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FB8CA007-D9FE-478A-B999-E35431B45BE0}" xr6:coauthVersionLast="47" xr6:coauthVersionMax="47" xr10:uidLastSave="{00000000-0000-0000-0000-000000000000}"/>
  <bookViews>
    <workbookView xWindow="-108" yWindow="-108" windowWidth="23256" windowHeight="12456" activeTab="8" xr2:uid="{28FE2164-69C5-480A-8D3F-020DF65B45BB}"/>
  </bookViews>
  <sheets>
    <sheet name="FS" sheetId="13" r:id="rId1"/>
    <sheet name="IS" sheetId="14" r:id="rId2"/>
    <sheet name="SCPE" sheetId="15" r:id="rId3"/>
    <sheet name="CF" sheetId="17" r:id="rId4"/>
    <sheet name="SalesCos" sheetId="12" r:id="rId5"/>
    <sheet name="Project Cost" sheetId="3" r:id="rId6"/>
    <sheet name="ROI" sheetId="16" r:id="rId7"/>
    <sheet name="CAPITAL CONTRIBUTION" sheetId="11" r:id="rId8"/>
    <sheet name="STAFF EXPENSE" sheetId="4" r:id="rId9"/>
    <sheet name="SUPPLIES EXPENSE" sheetId="5" r:id="rId10"/>
    <sheet name="FIXED ASSET EXPENSE" sheetId="6" r:id="rId11"/>
    <sheet name="INITIAL_INVENTORY" sheetId="10" r:id="rId12"/>
    <sheet name="PRE OPERATING EXPENSE" sheetId="7" r:id="rId13"/>
    <sheet name="MARKETING" sheetId="8" r:id="rId14"/>
    <sheet name="SAMPLE FORMAT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1" l="1"/>
  <c r="F21" i="11"/>
  <c r="G21" i="11"/>
  <c r="H21" i="11"/>
  <c r="E17" i="11"/>
  <c r="F17" i="11"/>
  <c r="G17" i="11"/>
  <c r="H17" i="11"/>
  <c r="D17" i="11"/>
  <c r="D22" i="11"/>
  <c r="D21" i="11"/>
  <c r="D18" i="11"/>
  <c r="E18" i="11"/>
  <c r="F18" i="11"/>
  <c r="G18" i="11"/>
  <c r="H18" i="11"/>
  <c r="C18" i="11"/>
  <c r="F14" i="13"/>
  <c r="G14" i="13"/>
  <c r="H14" i="13"/>
  <c r="E14" i="13"/>
  <c r="H18" i="6"/>
  <c r="C4" i="3"/>
  <c r="G13" i="6"/>
  <c r="H13" i="6" s="1"/>
  <c r="I13" i="6" s="1"/>
  <c r="J13" i="6" s="1"/>
  <c r="K13" i="6" s="1"/>
  <c r="L13" i="6" s="1"/>
  <c r="G6" i="6"/>
  <c r="H6" i="6" s="1"/>
  <c r="I6" i="6" s="1"/>
  <c r="J6" i="6" s="1"/>
  <c r="K6" i="6" s="1"/>
  <c r="L6" i="6" s="1"/>
  <c r="D11" i="16"/>
  <c r="E11" i="16"/>
  <c r="F11" i="16"/>
  <c r="G11" i="16"/>
  <c r="C11" i="16"/>
  <c r="L64" i="4"/>
  <c r="L62" i="4"/>
  <c r="L63" i="4"/>
  <c r="M63" i="4" s="1"/>
  <c r="L58" i="4"/>
  <c r="L59" i="4"/>
  <c r="L57" i="4"/>
  <c r="M57" i="4" s="1"/>
  <c r="J62" i="4"/>
  <c r="K62" i="4"/>
  <c r="J63" i="4"/>
  <c r="J64" i="4"/>
  <c r="K64" i="4" s="1"/>
  <c r="J58" i="4"/>
  <c r="K58" i="4" s="1"/>
  <c r="J59" i="4"/>
  <c r="K59" i="4" s="1"/>
  <c r="J57" i="4"/>
  <c r="H62" i="4"/>
  <c r="H63" i="4"/>
  <c r="I63" i="4" s="1"/>
  <c r="H64" i="4"/>
  <c r="H61" i="4"/>
  <c r="I61" i="4" s="1"/>
  <c r="H58" i="4"/>
  <c r="H59" i="4"/>
  <c r="I59" i="4" s="1"/>
  <c r="H57" i="4"/>
  <c r="F61" i="4"/>
  <c r="F62" i="4"/>
  <c r="F63" i="4"/>
  <c r="F64" i="4"/>
  <c r="G65" i="4"/>
  <c r="F58" i="4"/>
  <c r="G58" i="4" s="1"/>
  <c r="F59" i="4"/>
  <c r="F57" i="4"/>
  <c r="I57" i="4"/>
  <c r="H41" i="4"/>
  <c r="G61" i="4"/>
  <c r="G59" i="4"/>
  <c r="G57" i="4"/>
  <c r="K56" i="4"/>
  <c r="I55" i="4"/>
  <c r="I56" i="4"/>
  <c r="G56" i="4"/>
  <c r="G55" i="4"/>
  <c r="D62" i="4"/>
  <c r="E62" i="4" s="1"/>
  <c r="D63" i="4"/>
  <c r="D64" i="4"/>
  <c r="E64" i="4" s="1"/>
  <c r="D65" i="4"/>
  <c r="D61" i="4"/>
  <c r="D58" i="4"/>
  <c r="D59" i="4"/>
  <c r="D57" i="4"/>
  <c r="D60" i="4"/>
  <c r="D56" i="4"/>
  <c r="E56" i="4" s="1"/>
  <c r="D55" i="4"/>
  <c r="E55" i="4" s="1"/>
  <c r="E63" i="4"/>
  <c r="E59" i="4"/>
  <c r="E58" i="4"/>
  <c r="D39" i="4"/>
  <c r="D40" i="4"/>
  <c r="D41" i="4"/>
  <c r="D42" i="4"/>
  <c r="D43" i="4"/>
  <c r="D44" i="4"/>
  <c r="D45" i="4"/>
  <c r="D46" i="4"/>
  <c r="D47" i="4"/>
  <c r="D48" i="4"/>
  <c r="D49" i="4"/>
  <c r="E61" i="4"/>
  <c r="H44" i="4"/>
  <c r="E57" i="4"/>
  <c r="M6" i="4"/>
  <c r="M65" i="4"/>
  <c r="K65" i="4"/>
  <c r="I65" i="4"/>
  <c r="E65" i="4"/>
  <c r="M64" i="4"/>
  <c r="I64" i="4"/>
  <c r="G64" i="4"/>
  <c r="K63" i="4"/>
  <c r="G63" i="4"/>
  <c r="M62" i="4"/>
  <c r="I62" i="4"/>
  <c r="G62" i="4"/>
  <c r="M61" i="4"/>
  <c r="K61" i="4"/>
  <c r="M60" i="4"/>
  <c r="K60" i="4"/>
  <c r="I60" i="4"/>
  <c r="G60" i="4"/>
  <c r="E60" i="4"/>
  <c r="M59" i="4"/>
  <c r="M58" i="4"/>
  <c r="I58" i="4"/>
  <c r="K57" i="4"/>
  <c r="M56" i="4"/>
  <c r="M55" i="4"/>
  <c r="K55" i="4"/>
  <c r="M9" i="4"/>
  <c r="M7" i="4"/>
  <c r="M8" i="4"/>
  <c r="M10" i="4"/>
  <c r="M11" i="4"/>
  <c r="M12" i="4"/>
  <c r="M13" i="4"/>
  <c r="M14" i="4"/>
  <c r="M5" i="4"/>
  <c r="M4" i="4"/>
  <c r="H5" i="4"/>
  <c r="E134" i="12"/>
  <c r="E133" i="12"/>
  <c r="E131" i="12"/>
  <c r="E130" i="12"/>
  <c r="E128" i="12"/>
  <c r="E127" i="12"/>
  <c r="E125" i="12"/>
  <c r="E124" i="12"/>
  <c r="E123" i="12"/>
  <c r="E122" i="12"/>
  <c r="E120" i="12"/>
  <c r="E119" i="12"/>
  <c r="E118" i="12"/>
  <c r="E116" i="12"/>
  <c r="E115" i="12"/>
  <c r="E114" i="12"/>
  <c r="E112" i="12"/>
  <c r="E111" i="12"/>
  <c r="E109" i="12"/>
  <c r="E108" i="12"/>
  <c r="D142" i="12"/>
  <c r="D42" i="12"/>
  <c r="D45" i="12"/>
  <c r="D49" i="12"/>
  <c r="D53" i="12"/>
  <c r="D58" i="12"/>
  <c r="D61" i="12"/>
  <c r="D64" i="12"/>
  <c r="E65" i="5"/>
  <c r="D64" i="5"/>
  <c r="D63" i="5"/>
  <c r="L45" i="4"/>
  <c r="J45" i="4"/>
  <c r="C46" i="17"/>
  <c r="C22" i="3"/>
  <c r="D91" i="5"/>
  <c r="E91" i="5"/>
  <c r="F91" i="5"/>
  <c r="G91" i="5"/>
  <c r="C91" i="5"/>
  <c r="D22" i="14"/>
  <c r="E71" i="6"/>
  <c r="G71" i="6" s="1"/>
  <c r="H71" i="6" s="1"/>
  <c r="I71" i="6" s="1"/>
  <c r="J71" i="6" s="1"/>
  <c r="K71" i="6" s="1"/>
  <c r="L71" i="6" s="1"/>
  <c r="G70" i="6"/>
  <c r="H70" i="6" s="1"/>
  <c r="I70" i="6" s="1"/>
  <c r="J70" i="6" s="1"/>
  <c r="K70" i="6" s="1"/>
  <c r="L70" i="6" s="1"/>
  <c r="E70" i="6"/>
  <c r="E69" i="6"/>
  <c r="G69" i="6" s="1"/>
  <c r="H69" i="6" s="1"/>
  <c r="I69" i="6" s="1"/>
  <c r="J69" i="6" s="1"/>
  <c r="K69" i="6" s="1"/>
  <c r="L69" i="6" s="1"/>
  <c r="E68" i="6"/>
  <c r="G68" i="6" s="1"/>
  <c r="H68" i="6" s="1"/>
  <c r="I68" i="6" s="1"/>
  <c r="J68" i="6" s="1"/>
  <c r="K68" i="6" s="1"/>
  <c r="L68" i="6" s="1"/>
  <c r="E67" i="6"/>
  <c r="E66" i="6"/>
  <c r="E65" i="6"/>
  <c r="E88" i="6"/>
  <c r="G88" i="6" s="1"/>
  <c r="H88" i="6" s="1"/>
  <c r="I88" i="6" s="1"/>
  <c r="J88" i="6" s="1"/>
  <c r="K88" i="6" s="1"/>
  <c r="L88" i="6" s="1"/>
  <c r="E52" i="6"/>
  <c r="G52" i="6" s="1"/>
  <c r="H52" i="6" s="1"/>
  <c r="I52" i="6" s="1"/>
  <c r="J52" i="6" s="1"/>
  <c r="K52" i="6" s="1"/>
  <c r="L52" i="6" s="1"/>
  <c r="E51" i="6"/>
  <c r="G51" i="6" s="1"/>
  <c r="E43" i="6"/>
  <c r="G43" i="6" s="1"/>
  <c r="H43" i="6" s="1"/>
  <c r="I43" i="6" s="1"/>
  <c r="J43" i="6" s="1"/>
  <c r="K43" i="6" s="1"/>
  <c r="L43" i="6" s="1"/>
  <c r="E34" i="6"/>
  <c r="E30" i="6"/>
  <c r="G30" i="6" s="1"/>
  <c r="D62" i="5"/>
  <c r="D61" i="5"/>
  <c r="D60" i="5"/>
  <c r="D59" i="5"/>
  <c r="D58" i="5"/>
  <c r="D57" i="5"/>
  <c r="D56" i="5"/>
  <c r="E55" i="5"/>
  <c r="D54" i="5"/>
  <c r="D53" i="5"/>
  <c r="D52" i="5"/>
  <c r="D51" i="5"/>
  <c r="D50" i="5"/>
  <c r="E48" i="5"/>
  <c r="D47" i="5"/>
  <c r="D46" i="5"/>
  <c r="E45" i="5"/>
  <c r="E44" i="5"/>
  <c r="E43" i="5"/>
  <c r="E42" i="5"/>
  <c r="E40" i="6"/>
  <c r="G40" i="6" s="1"/>
  <c r="H40" i="6" s="1"/>
  <c r="I40" i="6" s="1"/>
  <c r="J40" i="6" s="1"/>
  <c r="K40" i="6" s="1"/>
  <c r="L40" i="6" s="1"/>
  <c r="D39" i="5"/>
  <c r="E29" i="6"/>
  <c r="G29" i="6" s="1"/>
  <c r="H29" i="6" s="1"/>
  <c r="I29" i="6" s="1"/>
  <c r="J29" i="6" s="1"/>
  <c r="K29" i="6" s="1"/>
  <c r="L29" i="6" s="1"/>
  <c r="E28" i="6"/>
  <c r="G28" i="6" s="1"/>
  <c r="H28" i="6" s="1"/>
  <c r="I28" i="6" s="1"/>
  <c r="J28" i="6" s="1"/>
  <c r="K28" i="6" s="1"/>
  <c r="L28" i="6" s="1"/>
  <c r="E27" i="6"/>
  <c r="G27" i="6" s="1"/>
  <c r="H27" i="6" s="1"/>
  <c r="I27" i="6" s="1"/>
  <c r="J27" i="6" s="1"/>
  <c r="K27" i="6" s="1"/>
  <c r="L27" i="6" s="1"/>
  <c r="E25" i="6"/>
  <c r="G25" i="6" s="1"/>
  <c r="H25" i="6" s="1"/>
  <c r="I25" i="6" s="1"/>
  <c r="J25" i="6" s="1"/>
  <c r="K25" i="6" s="1"/>
  <c r="L25" i="6" s="1"/>
  <c r="E24" i="6"/>
  <c r="G24" i="6" s="1"/>
  <c r="H24" i="6" s="1"/>
  <c r="I24" i="6" s="1"/>
  <c r="J24" i="6" s="1"/>
  <c r="K24" i="6" s="1"/>
  <c r="L24" i="6" s="1"/>
  <c r="E23" i="6"/>
  <c r="G23" i="6" s="1"/>
  <c r="H23" i="6" s="1"/>
  <c r="I23" i="6" s="1"/>
  <c r="J23" i="6" s="1"/>
  <c r="K23" i="6" s="1"/>
  <c r="L23" i="6" s="1"/>
  <c r="E22" i="6"/>
  <c r="G22" i="6" s="1"/>
  <c r="D18" i="5"/>
  <c r="E18" i="5" s="1"/>
  <c r="E16" i="5"/>
  <c r="E17" i="5"/>
  <c r="E15" i="5"/>
  <c r="E14" i="5"/>
  <c r="E13" i="5"/>
  <c r="E12" i="5"/>
  <c r="E10" i="5"/>
  <c r="E11" i="5"/>
  <c r="E37" i="5"/>
  <c r="E38" i="5"/>
  <c r="E33" i="5"/>
  <c r="E34" i="5"/>
  <c r="E35" i="5"/>
  <c r="E36" i="5"/>
  <c r="E31" i="5"/>
  <c r="E28" i="5"/>
  <c r="E27" i="5"/>
  <c r="D26" i="5"/>
  <c r="E26" i="5" s="1"/>
  <c r="E25" i="5"/>
  <c r="D23" i="5"/>
  <c r="E23" i="5" s="1"/>
  <c r="D22" i="5"/>
  <c r="E22" i="5" s="1"/>
  <c r="D9" i="5"/>
  <c r="E15" i="6"/>
  <c r="G15" i="6" s="1"/>
  <c r="E14" i="6"/>
  <c r="E89" i="6"/>
  <c r="G89" i="6" s="1"/>
  <c r="H89" i="6" s="1"/>
  <c r="I89" i="6" s="1"/>
  <c r="J89" i="6" s="1"/>
  <c r="K89" i="6" s="1"/>
  <c r="L89" i="6" s="1"/>
  <c r="E37" i="6"/>
  <c r="G37" i="6" s="1"/>
  <c r="E58" i="6"/>
  <c r="G58" i="6" s="1"/>
  <c r="E87" i="6"/>
  <c r="G87" i="6" s="1"/>
  <c r="H87" i="6" s="1"/>
  <c r="I87" i="6" s="1"/>
  <c r="J87" i="6" s="1"/>
  <c r="K87" i="6" s="1"/>
  <c r="L87" i="6" s="1"/>
  <c r="E86" i="6"/>
  <c r="G86" i="6" s="1"/>
  <c r="E9" i="6"/>
  <c r="E8" i="6"/>
  <c r="E7" i="6"/>
  <c r="E22" i="11" l="1"/>
  <c r="K66" i="4"/>
  <c r="I66" i="4"/>
  <c r="M66" i="4"/>
  <c r="E66" i="4"/>
  <c r="G66" i="4"/>
  <c r="M15" i="4"/>
  <c r="G65" i="6"/>
  <c r="H65" i="6" s="1"/>
  <c r="I65" i="6" s="1"/>
  <c r="J65" i="6" s="1"/>
  <c r="K65" i="6" s="1"/>
  <c r="L65" i="6" s="1"/>
  <c r="G67" i="6"/>
  <c r="H67" i="6" s="1"/>
  <c r="I67" i="6" s="1"/>
  <c r="J67" i="6" s="1"/>
  <c r="K67" i="6" s="1"/>
  <c r="L67" i="6" s="1"/>
  <c r="G66" i="6"/>
  <c r="H66" i="6" s="1"/>
  <c r="I66" i="6" s="1"/>
  <c r="J66" i="6" s="1"/>
  <c r="K66" i="6" s="1"/>
  <c r="L66" i="6" s="1"/>
  <c r="H51" i="6"/>
  <c r="I51" i="6" s="1"/>
  <c r="J51" i="6" s="1"/>
  <c r="K51" i="6" s="1"/>
  <c r="L51" i="6" s="1"/>
  <c r="G34" i="6"/>
  <c r="H34" i="6" s="1"/>
  <c r="I34" i="6" s="1"/>
  <c r="J34" i="6" s="1"/>
  <c r="K34" i="6" s="1"/>
  <c r="L34" i="6" s="1"/>
  <c r="H30" i="6"/>
  <c r="I30" i="6" s="1"/>
  <c r="J30" i="6" s="1"/>
  <c r="K30" i="6" s="1"/>
  <c r="L30" i="6" s="1"/>
  <c r="H22" i="6"/>
  <c r="I22" i="6" s="1"/>
  <c r="J22" i="6" s="1"/>
  <c r="K22" i="6" s="1"/>
  <c r="L22" i="6" s="1"/>
  <c r="H15" i="6"/>
  <c r="I15" i="6" s="1"/>
  <c r="J15" i="6" s="1"/>
  <c r="K15" i="6" s="1"/>
  <c r="L15" i="6" s="1"/>
  <c r="H58" i="6"/>
  <c r="I58" i="6" s="1"/>
  <c r="J58" i="6" s="1"/>
  <c r="K58" i="6" s="1"/>
  <c r="L58" i="6" s="1"/>
  <c r="H37" i="6"/>
  <c r="I37" i="6" s="1"/>
  <c r="J37" i="6" s="1"/>
  <c r="K37" i="6" s="1"/>
  <c r="L37" i="6" s="1"/>
  <c r="H86" i="6"/>
  <c r="I86" i="6" s="1"/>
  <c r="J86" i="6" s="1"/>
  <c r="K86" i="6" s="1"/>
  <c r="L86" i="6" s="1"/>
  <c r="G17" i="3" l="1"/>
  <c r="H45" i="15"/>
  <c r="H36" i="15"/>
  <c r="H27" i="15"/>
  <c r="H18" i="15"/>
  <c r="H9" i="15"/>
  <c r="G6" i="15"/>
  <c r="F6" i="15"/>
  <c r="E6" i="15"/>
  <c r="D6" i="15"/>
  <c r="C6" i="15"/>
  <c r="C10" i="11"/>
  <c r="E19" i="14"/>
  <c r="F19" i="14"/>
  <c r="G19" i="14"/>
  <c r="H19" i="14"/>
  <c r="C16" i="3"/>
  <c r="H38" i="6"/>
  <c r="I38" i="6" s="1"/>
  <c r="J38" i="6" s="1"/>
  <c r="K38" i="6" s="1"/>
  <c r="L38" i="6" s="1"/>
  <c r="H44" i="6"/>
  <c r="I44" i="6" s="1"/>
  <c r="J44" i="6" s="1"/>
  <c r="K44" i="6" s="1"/>
  <c r="L44" i="6" s="1"/>
  <c r="H48" i="6"/>
  <c r="I48" i="6" s="1"/>
  <c r="J48" i="6" s="1"/>
  <c r="K48" i="6" s="1"/>
  <c r="L48" i="6" s="1"/>
  <c r="H49" i="6"/>
  <c r="I49" i="6" s="1"/>
  <c r="J49" i="6" s="1"/>
  <c r="K49" i="6" s="1"/>
  <c r="L49" i="6" s="1"/>
  <c r="H60" i="6"/>
  <c r="I60" i="6" s="1"/>
  <c r="J60" i="6" s="1"/>
  <c r="K60" i="6" s="1"/>
  <c r="L60" i="6" s="1"/>
  <c r="H62" i="6"/>
  <c r="I62" i="6" s="1"/>
  <c r="J62" i="6" s="1"/>
  <c r="K62" i="6" s="1"/>
  <c r="L62" i="6" s="1"/>
  <c r="H77" i="6"/>
  <c r="I77" i="6" s="1"/>
  <c r="J77" i="6" s="1"/>
  <c r="K77" i="6" s="1"/>
  <c r="L77" i="6" s="1"/>
  <c r="H80" i="6"/>
  <c r="I80" i="6" s="1"/>
  <c r="J80" i="6" s="1"/>
  <c r="K80" i="6" s="1"/>
  <c r="L80" i="6" s="1"/>
  <c r="H82" i="6"/>
  <c r="I82" i="6" s="1"/>
  <c r="J82" i="6" s="1"/>
  <c r="K82" i="6" s="1"/>
  <c r="L82" i="6" s="1"/>
  <c r="H87" i="10"/>
  <c r="F87" i="10"/>
  <c r="G87" i="10"/>
  <c r="F5" i="10"/>
  <c r="F134" i="12"/>
  <c r="F133" i="12"/>
  <c r="F128" i="12"/>
  <c r="F127" i="12"/>
  <c r="F123" i="12"/>
  <c r="D55" i="12" s="1"/>
  <c r="G55" i="12" s="1"/>
  <c r="F124" i="12"/>
  <c r="F125" i="12"/>
  <c r="F118" i="12"/>
  <c r="D50" i="12" s="1"/>
  <c r="J50" i="12" s="1"/>
  <c r="M50" i="12" s="1"/>
  <c r="P50" i="12" s="1"/>
  <c r="S50" i="12" s="1"/>
  <c r="F116" i="12"/>
  <c r="F114" i="12"/>
  <c r="F112" i="12"/>
  <c r="F111" i="12"/>
  <c r="F109" i="12"/>
  <c r="F115" i="12"/>
  <c r="F120" i="12"/>
  <c r="F122" i="12"/>
  <c r="D88" i="12" s="1"/>
  <c r="E88" i="12" s="1"/>
  <c r="F88" i="12" s="1"/>
  <c r="G88" i="12" s="1"/>
  <c r="H88" i="12" s="1"/>
  <c r="I88" i="12" s="1"/>
  <c r="F119" i="12"/>
  <c r="F130" i="12"/>
  <c r="F108" i="12"/>
  <c r="F131" i="12"/>
  <c r="F124" i="10"/>
  <c r="F123" i="10"/>
  <c r="F122" i="10"/>
  <c r="F121" i="10"/>
  <c r="F120" i="10"/>
  <c r="F119" i="10"/>
  <c r="F118" i="10"/>
  <c r="F114" i="10"/>
  <c r="F113" i="10"/>
  <c r="F109" i="10"/>
  <c r="F108" i="10"/>
  <c r="F107" i="10"/>
  <c r="F106" i="10"/>
  <c r="F105" i="10"/>
  <c r="F104" i="10"/>
  <c r="F103" i="10"/>
  <c r="F102" i="10"/>
  <c r="F101" i="10"/>
  <c r="F97" i="10"/>
  <c r="F96" i="10"/>
  <c r="F92" i="10"/>
  <c r="F91" i="10"/>
  <c r="F86" i="10"/>
  <c r="F85" i="10"/>
  <c r="F84" i="10"/>
  <c r="F83" i="10"/>
  <c r="F82" i="10"/>
  <c r="F81" i="10"/>
  <c r="F77" i="10"/>
  <c r="F76" i="10"/>
  <c r="F75" i="10"/>
  <c r="F74" i="10"/>
  <c r="F73" i="10"/>
  <c r="F72" i="10"/>
  <c r="F71" i="10"/>
  <c r="F70" i="10"/>
  <c r="F69" i="10"/>
  <c r="F65" i="10"/>
  <c r="F64" i="10"/>
  <c r="F63" i="10"/>
  <c r="F62" i="10"/>
  <c r="F61" i="10"/>
  <c r="F60" i="10"/>
  <c r="F59" i="10"/>
  <c r="F58" i="10"/>
  <c r="F57" i="10"/>
  <c r="F56" i="10"/>
  <c r="F52" i="10"/>
  <c r="F51" i="10"/>
  <c r="F50" i="10"/>
  <c r="F49" i="10"/>
  <c r="F48" i="10"/>
  <c r="F47" i="10"/>
  <c r="F46" i="10"/>
  <c r="F45" i="10"/>
  <c r="F44" i="10"/>
  <c r="F43" i="10"/>
  <c r="F42" i="10"/>
  <c r="F38" i="10"/>
  <c r="F37" i="10"/>
  <c r="F36" i="10"/>
  <c r="F35" i="10"/>
  <c r="F34" i="10"/>
  <c r="F33" i="10"/>
  <c r="F32" i="10"/>
  <c r="F31" i="10"/>
  <c r="F30" i="10"/>
  <c r="F26" i="10"/>
  <c r="F25" i="10"/>
  <c r="F24" i="10"/>
  <c r="F23" i="10"/>
  <c r="F19" i="10"/>
  <c r="F13" i="10"/>
  <c r="F14" i="10"/>
  <c r="F15" i="10"/>
  <c r="F12" i="10"/>
  <c r="F6" i="10"/>
  <c r="F7" i="10"/>
  <c r="F8" i="10"/>
  <c r="C27" i="3" l="1"/>
  <c r="C17" i="11"/>
  <c r="C10" i="16"/>
  <c r="C4" i="16"/>
  <c r="D4" i="16" s="1"/>
  <c r="E4" i="16" s="1"/>
  <c r="F4" i="16" s="1"/>
  <c r="G4" i="16" s="1"/>
  <c r="D8" i="11"/>
  <c r="D6" i="11"/>
  <c r="D7" i="11"/>
  <c r="D9" i="11"/>
  <c r="D5" i="11"/>
  <c r="C22" i="11"/>
  <c r="D32" i="12"/>
  <c r="E32" i="12" s="1"/>
  <c r="F32" i="12" s="1"/>
  <c r="G32" i="12" s="1"/>
  <c r="H32" i="12" s="1"/>
  <c r="I32" i="12" s="1"/>
  <c r="D66" i="12"/>
  <c r="H50" i="12"/>
  <c r="K50" i="12" s="1"/>
  <c r="N50" i="12" s="1"/>
  <c r="Q50" i="12" s="1"/>
  <c r="D82" i="12"/>
  <c r="E82" i="12" s="1"/>
  <c r="F82" i="12" s="1"/>
  <c r="G82" i="12" s="1"/>
  <c r="H82" i="12" s="1"/>
  <c r="I82" i="12" s="1"/>
  <c r="D48" i="12"/>
  <c r="G50" i="12"/>
  <c r="I55" i="12"/>
  <c r="L55" i="12" s="1"/>
  <c r="O55" i="12" s="1"/>
  <c r="R55" i="12" s="1"/>
  <c r="D29" i="12"/>
  <c r="E29" i="12" s="1"/>
  <c r="F29" i="12" s="1"/>
  <c r="G29" i="12" s="1"/>
  <c r="H29" i="12" s="1"/>
  <c r="I29" i="12" s="1"/>
  <c r="D63" i="12"/>
  <c r="D91" i="12"/>
  <c r="E91" i="12" s="1"/>
  <c r="F91" i="12" s="1"/>
  <c r="G91" i="12" s="1"/>
  <c r="H91" i="12" s="1"/>
  <c r="I91" i="12" s="1"/>
  <c r="D57" i="12"/>
  <c r="D84" i="12"/>
  <c r="E84" i="12" s="1"/>
  <c r="F84" i="12" s="1"/>
  <c r="G84" i="12" s="1"/>
  <c r="H84" i="12" s="1"/>
  <c r="I84" i="12" s="1"/>
  <c r="E55" i="12"/>
  <c r="D10" i="12"/>
  <c r="E10" i="12" s="1"/>
  <c r="F10" i="12" s="1"/>
  <c r="G10" i="12" s="1"/>
  <c r="H10" i="12" s="1"/>
  <c r="I10" i="12" s="1"/>
  <c r="D44" i="12"/>
  <c r="D28" i="12"/>
  <c r="E28" i="12" s="1"/>
  <c r="F28" i="12" s="1"/>
  <c r="G28" i="12" s="1"/>
  <c r="H28" i="12" s="1"/>
  <c r="I28" i="12" s="1"/>
  <c r="D62" i="12"/>
  <c r="D90" i="12"/>
  <c r="E90" i="12" s="1"/>
  <c r="F90" i="12" s="1"/>
  <c r="G90" i="12" s="1"/>
  <c r="H90" i="12" s="1"/>
  <c r="I90" i="12" s="1"/>
  <c r="D56" i="12"/>
  <c r="I50" i="12"/>
  <c r="L50" i="12" s="1"/>
  <c r="O50" i="12" s="1"/>
  <c r="R50" i="12" s="1"/>
  <c r="D12" i="12"/>
  <c r="E12" i="12" s="1"/>
  <c r="F12" i="12" s="1"/>
  <c r="G12" i="12" s="1"/>
  <c r="H12" i="12" s="1"/>
  <c r="I12" i="12" s="1"/>
  <c r="D46" i="12"/>
  <c r="D25" i="12"/>
  <c r="E25" i="12" s="1"/>
  <c r="F25" i="12" s="1"/>
  <c r="G25" i="12" s="1"/>
  <c r="H25" i="12" s="1"/>
  <c r="I25" i="12" s="1"/>
  <c r="D59" i="12"/>
  <c r="F55" i="12"/>
  <c r="E50" i="12"/>
  <c r="J55" i="12"/>
  <c r="M55" i="12" s="1"/>
  <c r="P55" i="12" s="1"/>
  <c r="S55" i="12" s="1"/>
  <c r="D26" i="12"/>
  <c r="E26" i="12" s="1"/>
  <c r="F26" i="12" s="1"/>
  <c r="G26" i="12" s="1"/>
  <c r="H26" i="12" s="1"/>
  <c r="I26" i="12" s="1"/>
  <c r="D60" i="12"/>
  <c r="D18" i="12"/>
  <c r="D52" i="12"/>
  <c r="D13" i="12"/>
  <c r="E13" i="12" s="1"/>
  <c r="F13" i="12" s="1"/>
  <c r="G13" i="12" s="1"/>
  <c r="H13" i="12" s="1"/>
  <c r="I13" i="12" s="1"/>
  <c r="D47" i="12"/>
  <c r="D31" i="12"/>
  <c r="E31" i="12" s="1"/>
  <c r="F31" i="12" s="1"/>
  <c r="G31" i="12" s="1"/>
  <c r="H31" i="12" s="1"/>
  <c r="I31" i="12" s="1"/>
  <c r="D65" i="12"/>
  <c r="H55" i="12"/>
  <c r="K55" i="12" s="1"/>
  <c r="N55" i="12" s="1"/>
  <c r="Q55" i="12" s="1"/>
  <c r="D75" i="12"/>
  <c r="E75" i="12" s="1"/>
  <c r="F75" i="12" s="1"/>
  <c r="G75" i="12" s="1"/>
  <c r="H75" i="12" s="1"/>
  <c r="I75" i="12" s="1"/>
  <c r="D41" i="12"/>
  <c r="F50" i="12"/>
  <c r="D17" i="12"/>
  <c r="E17" i="12" s="1"/>
  <c r="F17" i="12" s="1"/>
  <c r="G17" i="12" s="1"/>
  <c r="H17" i="12" s="1"/>
  <c r="I17" i="12" s="1"/>
  <c r="D51" i="12"/>
  <c r="D20" i="12"/>
  <c r="E20" i="12" s="1"/>
  <c r="F20" i="12" s="1"/>
  <c r="G20" i="12" s="1"/>
  <c r="H20" i="12" s="1"/>
  <c r="I20" i="12" s="1"/>
  <c r="D54" i="12"/>
  <c r="D9" i="12"/>
  <c r="E9" i="12" s="1"/>
  <c r="F9" i="12" s="1"/>
  <c r="G9" i="12" s="1"/>
  <c r="H9" i="12" s="1"/>
  <c r="I9" i="12" s="1"/>
  <c r="D43" i="12"/>
  <c r="D74" i="12"/>
  <c r="E74" i="12" s="1"/>
  <c r="D40" i="12"/>
  <c r="E18" i="12"/>
  <c r="F18" i="12" s="1"/>
  <c r="G18" i="12" s="1"/>
  <c r="H18" i="12" s="1"/>
  <c r="I18" i="12" s="1"/>
  <c r="D97" i="12"/>
  <c r="E97" i="12" s="1"/>
  <c r="F97" i="12" s="1"/>
  <c r="G97" i="12" s="1"/>
  <c r="H97" i="12" s="1"/>
  <c r="I97" i="12" s="1"/>
  <c r="D96" i="12"/>
  <c r="E96" i="12" s="1"/>
  <c r="F96" i="12" s="1"/>
  <c r="G96" i="12" s="1"/>
  <c r="H96" i="12" s="1"/>
  <c r="I96" i="12" s="1"/>
  <c r="D85" i="12"/>
  <c r="E85" i="12" s="1"/>
  <c r="F85" i="12" s="1"/>
  <c r="G85" i="12" s="1"/>
  <c r="H85" i="12" s="1"/>
  <c r="I85" i="12" s="1"/>
  <c r="H6" i="15"/>
  <c r="D21" i="12"/>
  <c r="E21" i="12" s="1"/>
  <c r="F21" i="12" s="1"/>
  <c r="G21" i="12" s="1"/>
  <c r="H21" i="12" s="1"/>
  <c r="I21" i="12" s="1"/>
  <c r="D89" i="12"/>
  <c r="E89" i="12" s="1"/>
  <c r="F89" i="12" s="1"/>
  <c r="G89" i="12" s="1"/>
  <c r="H89" i="12" s="1"/>
  <c r="I89" i="12" s="1"/>
  <c r="F74" i="12"/>
  <c r="D94" i="12"/>
  <c r="E94" i="12" s="1"/>
  <c r="F94" i="12" s="1"/>
  <c r="G94" i="12" s="1"/>
  <c r="H94" i="12" s="1"/>
  <c r="I94" i="12" s="1"/>
  <c r="D86" i="12"/>
  <c r="E86" i="12" s="1"/>
  <c r="F86" i="12" s="1"/>
  <c r="G86" i="12" s="1"/>
  <c r="H86" i="12" s="1"/>
  <c r="I86" i="12" s="1"/>
  <c r="D93" i="12"/>
  <c r="E93" i="12" s="1"/>
  <c r="F93" i="12" s="1"/>
  <c r="G93" i="12" s="1"/>
  <c r="H93" i="12" s="1"/>
  <c r="I93" i="12" s="1"/>
  <c r="D81" i="12"/>
  <c r="E81" i="12" s="1"/>
  <c r="F81" i="12" s="1"/>
  <c r="G81" i="12" s="1"/>
  <c r="H81" i="12" s="1"/>
  <c r="I81" i="12" s="1"/>
  <c r="D80" i="12"/>
  <c r="E80" i="12" s="1"/>
  <c r="F80" i="12" s="1"/>
  <c r="G80" i="12" s="1"/>
  <c r="H80" i="12" s="1"/>
  <c r="I80" i="12" s="1"/>
  <c r="D78" i="12"/>
  <c r="E78" i="12" s="1"/>
  <c r="F78" i="12" s="1"/>
  <c r="G78" i="12" s="1"/>
  <c r="H78" i="12" s="1"/>
  <c r="I78" i="12" s="1"/>
  <c r="D77" i="12"/>
  <c r="E77" i="12" s="1"/>
  <c r="F77" i="12" s="1"/>
  <c r="G77" i="12" s="1"/>
  <c r="H77" i="12" s="1"/>
  <c r="I77" i="12" s="1"/>
  <c r="D100" i="12"/>
  <c r="E100" i="12" s="1"/>
  <c r="F100" i="12" s="1"/>
  <c r="G100" i="12" s="1"/>
  <c r="H100" i="12" s="1"/>
  <c r="I100" i="12" s="1"/>
  <c r="D99" i="12"/>
  <c r="E99" i="12" s="1"/>
  <c r="F99" i="12" s="1"/>
  <c r="G99" i="12" s="1"/>
  <c r="H99" i="12" s="1"/>
  <c r="I99" i="12" s="1"/>
  <c r="D22" i="12"/>
  <c r="E22" i="12" s="1"/>
  <c r="F22" i="12" s="1"/>
  <c r="G22" i="12" s="1"/>
  <c r="H22" i="12" s="1"/>
  <c r="I22" i="12" s="1"/>
  <c r="D23" i="12"/>
  <c r="E23" i="12" s="1"/>
  <c r="F23" i="12" s="1"/>
  <c r="G23" i="12" s="1"/>
  <c r="H23" i="12" s="1"/>
  <c r="I23" i="12" s="1"/>
  <c r="D16" i="12"/>
  <c r="E16" i="12" s="1"/>
  <c r="F16" i="12" s="1"/>
  <c r="G16" i="12" s="1"/>
  <c r="H16" i="12" s="1"/>
  <c r="I16" i="12" s="1"/>
  <c r="D14" i="12"/>
  <c r="D7" i="12"/>
  <c r="E7" i="12" s="1"/>
  <c r="F7" i="12" s="1"/>
  <c r="G7" i="12" s="1"/>
  <c r="H7" i="12" s="1"/>
  <c r="I7" i="12" s="1"/>
  <c r="D6" i="12"/>
  <c r="E6" i="12" s="1"/>
  <c r="F135" i="12"/>
  <c r="D10" i="11" l="1"/>
  <c r="C12" i="16"/>
  <c r="C13" i="16" s="1"/>
  <c r="D10" i="16"/>
  <c r="E66" i="12"/>
  <c r="J66" i="12"/>
  <c r="M66" i="12" s="1"/>
  <c r="P66" i="12" s="1"/>
  <c r="S66" i="12" s="1"/>
  <c r="I66" i="12"/>
  <c r="L66" i="12" s="1"/>
  <c r="O66" i="12" s="1"/>
  <c r="R66" i="12" s="1"/>
  <c r="H66" i="12"/>
  <c r="K66" i="12" s="1"/>
  <c r="N66" i="12" s="1"/>
  <c r="Q66" i="12" s="1"/>
  <c r="G66" i="12"/>
  <c r="F66" i="12"/>
  <c r="I59" i="12"/>
  <c r="L59" i="12" s="1"/>
  <c r="O59" i="12" s="1"/>
  <c r="R59" i="12" s="1"/>
  <c r="G59" i="12"/>
  <c r="H59" i="12"/>
  <c r="K59" i="12" s="1"/>
  <c r="N59" i="12" s="1"/>
  <c r="Q59" i="12" s="1"/>
  <c r="E59" i="12"/>
  <c r="J59" i="12"/>
  <c r="M59" i="12" s="1"/>
  <c r="P59" i="12" s="1"/>
  <c r="S59" i="12" s="1"/>
  <c r="F59" i="12"/>
  <c r="E65" i="12"/>
  <c r="F65" i="12"/>
  <c r="J65" i="12"/>
  <c r="M65" i="12" s="1"/>
  <c r="P65" i="12" s="1"/>
  <c r="S65" i="12" s="1"/>
  <c r="I65" i="12"/>
  <c r="L65" i="12" s="1"/>
  <c r="O65" i="12" s="1"/>
  <c r="R65" i="12" s="1"/>
  <c r="G65" i="12"/>
  <c r="H65" i="12"/>
  <c r="K65" i="12" s="1"/>
  <c r="N65" i="12" s="1"/>
  <c r="Q65" i="12" s="1"/>
  <c r="G57" i="12"/>
  <c r="H57" i="12"/>
  <c r="K57" i="12" s="1"/>
  <c r="N57" i="12" s="1"/>
  <c r="Q57" i="12" s="1"/>
  <c r="I57" i="12"/>
  <c r="L57" i="12" s="1"/>
  <c r="O57" i="12" s="1"/>
  <c r="R57" i="12" s="1"/>
  <c r="J57" i="12"/>
  <c r="M57" i="12" s="1"/>
  <c r="P57" i="12" s="1"/>
  <c r="S57" i="12" s="1"/>
  <c r="F57" i="12"/>
  <c r="E57" i="12"/>
  <c r="J46" i="12"/>
  <c r="M46" i="12" s="1"/>
  <c r="P46" i="12" s="1"/>
  <c r="S46" i="12" s="1"/>
  <c r="E46" i="12"/>
  <c r="I46" i="12"/>
  <c r="L46" i="12" s="1"/>
  <c r="O46" i="12" s="1"/>
  <c r="R46" i="12" s="1"/>
  <c r="G46" i="12"/>
  <c r="F46" i="12"/>
  <c r="H46" i="12"/>
  <c r="K46" i="12" s="1"/>
  <c r="N46" i="12" s="1"/>
  <c r="Q46" i="12" s="1"/>
  <c r="E43" i="12"/>
  <c r="I43" i="12"/>
  <c r="L43" i="12" s="1"/>
  <c r="O43" i="12" s="1"/>
  <c r="R43" i="12" s="1"/>
  <c r="G43" i="12"/>
  <c r="H43" i="12"/>
  <c r="K43" i="12" s="1"/>
  <c r="N43" i="12" s="1"/>
  <c r="Q43" i="12" s="1"/>
  <c r="J43" i="12"/>
  <c r="M43" i="12" s="1"/>
  <c r="P43" i="12" s="1"/>
  <c r="S43" i="12" s="1"/>
  <c r="F43" i="12"/>
  <c r="J47" i="12"/>
  <c r="M47" i="12" s="1"/>
  <c r="P47" i="12" s="1"/>
  <c r="S47" i="12" s="1"/>
  <c r="F47" i="12"/>
  <c r="H47" i="12"/>
  <c r="K47" i="12" s="1"/>
  <c r="N47" i="12" s="1"/>
  <c r="Q47" i="12" s="1"/>
  <c r="E47" i="12"/>
  <c r="I47" i="12"/>
  <c r="L47" i="12" s="1"/>
  <c r="O47" i="12" s="1"/>
  <c r="R47" i="12" s="1"/>
  <c r="G47" i="12"/>
  <c r="E63" i="12"/>
  <c r="J63" i="12"/>
  <c r="M63" i="12" s="1"/>
  <c r="P63" i="12" s="1"/>
  <c r="S63" i="12" s="1"/>
  <c r="I63" i="12"/>
  <c r="L63" i="12" s="1"/>
  <c r="O63" i="12" s="1"/>
  <c r="R63" i="12" s="1"/>
  <c r="G63" i="12"/>
  <c r="F63" i="12"/>
  <c r="H63" i="12"/>
  <c r="K63" i="12" s="1"/>
  <c r="N63" i="12" s="1"/>
  <c r="Q63" i="12" s="1"/>
  <c r="H54" i="12"/>
  <c r="K54" i="12" s="1"/>
  <c r="N54" i="12" s="1"/>
  <c r="Q54" i="12" s="1"/>
  <c r="J54" i="12"/>
  <c r="M54" i="12" s="1"/>
  <c r="P54" i="12" s="1"/>
  <c r="S54" i="12" s="1"/>
  <c r="F54" i="12"/>
  <c r="E54" i="12"/>
  <c r="G54" i="12"/>
  <c r="I54" i="12"/>
  <c r="L54" i="12" s="1"/>
  <c r="O54" i="12" s="1"/>
  <c r="R54" i="12" s="1"/>
  <c r="G56" i="12"/>
  <c r="I56" i="12"/>
  <c r="L56" i="12" s="1"/>
  <c r="O56" i="12" s="1"/>
  <c r="R56" i="12" s="1"/>
  <c r="H56" i="12"/>
  <c r="K56" i="12" s="1"/>
  <c r="N56" i="12" s="1"/>
  <c r="Q56" i="12" s="1"/>
  <c r="J56" i="12"/>
  <c r="M56" i="12" s="1"/>
  <c r="P56" i="12" s="1"/>
  <c r="S56" i="12" s="1"/>
  <c r="F56" i="12"/>
  <c r="E56" i="12"/>
  <c r="F44" i="12"/>
  <c r="E44" i="12"/>
  <c r="I44" i="12"/>
  <c r="L44" i="12" s="1"/>
  <c r="O44" i="12" s="1"/>
  <c r="R44" i="12" s="1"/>
  <c r="G44" i="12"/>
  <c r="J44" i="12"/>
  <c r="M44" i="12" s="1"/>
  <c r="P44" i="12" s="1"/>
  <c r="S44" i="12" s="1"/>
  <c r="H44" i="12"/>
  <c r="K44" i="12" s="1"/>
  <c r="N44" i="12" s="1"/>
  <c r="Q44" i="12" s="1"/>
  <c r="I41" i="12"/>
  <c r="L41" i="12" s="1"/>
  <c r="O41" i="12" s="1"/>
  <c r="R41" i="12" s="1"/>
  <c r="F41" i="12"/>
  <c r="G41" i="12"/>
  <c r="H41" i="12"/>
  <c r="K41" i="12" s="1"/>
  <c r="N41" i="12" s="1"/>
  <c r="Q41" i="12" s="1"/>
  <c r="J41" i="12"/>
  <c r="M41" i="12" s="1"/>
  <c r="P41" i="12" s="1"/>
  <c r="S41" i="12" s="1"/>
  <c r="E41" i="12"/>
  <c r="H51" i="12"/>
  <c r="K51" i="12" s="1"/>
  <c r="N51" i="12" s="1"/>
  <c r="Q51" i="12" s="1"/>
  <c r="J51" i="12"/>
  <c r="M51" i="12" s="1"/>
  <c r="P51" i="12" s="1"/>
  <c r="S51" i="12" s="1"/>
  <c r="F51" i="12"/>
  <c r="E51" i="12"/>
  <c r="I51" i="12"/>
  <c r="L51" i="12" s="1"/>
  <c r="O51" i="12" s="1"/>
  <c r="R51" i="12" s="1"/>
  <c r="G51" i="12"/>
  <c r="I60" i="12"/>
  <c r="L60" i="12" s="1"/>
  <c r="O60" i="12" s="1"/>
  <c r="R60" i="12" s="1"/>
  <c r="G60" i="12"/>
  <c r="E60" i="12"/>
  <c r="H60" i="12"/>
  <c r="K60" i="12" s="1"/>
  <c r="N60" i="12" s="1"/>
  <c r="Q60" i="12" s="1"/>
  <c r="J60" i="12"/>
  <c r="M60" i="12" s="1"/>
  <c r="P60" i="12" s="1"/>
  <c r="S60" i="12" s="1"/>
  <c r="F60" i="12"/>
  <c r="E62" i="12"/>
  <c r="I62" i="12"/>
  <c r="L62" i="12" s="1"/>
  <c r="O62" i="12" s="1"/>
  <c r="R62" i="12" s="1"/>
  <c r="G62" i="12"/>
  <c r="H62" i="12"/>
  <c r="K62" i="12" s="1"/>
  <c r="N62" i="12" s="1"/>
  <c r="Q62" i="12" s="1"/>
  <c r="J62" i="12"/>
  <c r="M62" i="12" s="1"/>
  <c r="P62" i="12" s="1"/>
  <c r="S62" i="12" s="1"/>
  <c r="F62" i="12"/>
  <c r="H40" i="12"/>
  <c r="K40" i="12" s="1"/>
  <c r="G40" i="12"/>
  <c r="J40" i="12"/>
  <c r="M40" i="12" s="1"/>
  <c r="P40" i="12" s="1"/>
  <c r="S40" i="12" s="1"/>
  <c r="I40" i="12"/>
  <c r="L40" i="12" s="1"/>
  <c r="F40" i="12"/>
  <c r="E40" i="12"/>
  <c r="E14" i="12"/>
  <c r="F14" i="12" s="1"/>
  <c r="G14" i="12" s="1"/>
  <c r="H14" i="12" s="1"/>
  <c r="I14" i="12" s="1"/>
  <c r="G52" i="12"/>
  <c r="J52" i="12"/>
  <c r="E52" i="12"/>
  <c r="F52" i="12"/>
  <c r="H52" i="12"/>
  <c r="I52" i="12"/>
  <c r="N40" i="12"/>
  <c r="O40" i="12"/>
  <c r="F101" i="12"/>
  <c r="G74" i="12"/>
  <c r="E101" i="12"/>
  <c r="F6" i="12"/>
  <c r="C124" i="5"/>
  <c r="C127" i="5" s="1"/>
  <c r="C109" i="5"/>
  <c r="C112" i="5" s="1"/>
  <c r="C98" i="5"/>
  <c r="D98" i="5" s="1"/>
  <c r="D90" i="5"/>
  <c r="E90" i="5" s="1"/>
  <c r="D37" i="8"/>
  <c r="C37" i="8"/>
  <c r="E36" i="8"/>
  <c r="F36" i="8" s="1"/>
  <c r="E83" i="5"/>
  <c r="F83" i="5" s="1"/>
  <c r="G83" i="5" s="1"/>
  <c r="H83" i="5" s="1"/>
  <c r="I83" i="5" s="1"/>
  <c r="I84" i="5" s="1"/>
  <c r="H17" i="14" s="1"/>
  <c r="E73" i="5"/>
  <c r="F73" i="5" s="1"/>
  <c r="G73" i="5" s="1"/>
  <c r="H73" i="5" s="1"/>
  <c r="I73" i="5" s="1"/>
  <c r="E74" i="5"/>
  <c r="F74" i="5" s="1"/>
  <c r="G74" i="5" s="1"/>
  <c r="H74" i="5" s="1"/>
  <c r="I74" i="5" s="1"/>
  <c r="E75" i="5"/>
  <c r="F75" i="5" s="1"/>
  <c r="G75" i="5" s="1"/>
  <c r="H75" i="5" s="1"/>
  <c r="I75" i="5" s="1"/>
  <c r="E76" i="5"/>
  <c r="F76" i="5" s="1"/>
  <c r="G76" i="5" s="1"/>
  <c r="H76" i="5" s="1"/>
  <c r="I76" i="5" s="1"/>
  <c r="E77" i="5"/>
  <c r="F77" i="5" s="1"/>
  <c r="G77" i="5" s="1"/>
  <c r="H77" i="5" s="1"/>
  <c r="I77" i="5" s="1"/>
  <c r="E72" i="5"/>
  <c r="F72" i="5" s="1"/>
  <c r="D107" i="4"/>
  <c r="E107" i="4" s="1"/>
  <c r="D108" i="4"/>
  <c r="E108" i="4" s="1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 s="1"/>
  <c r="D115" i="4"/>
  <c r="E115" i="4" s="1"/>
  <c r="D116" i="4"/>
  <c r="E116" i="4" s="1"/>
  <c r="D106" i="4"/>
  <c r="E106" i="4" s="1"/>
  <c r="G10" i="4"/>
  <c r="G11" i="4"/>
  <c r="G12" i="4"/>
  <c r="G13" i="4"/>
  <c r="G14" i="4"/>
  <c r="G9" i="4"/>
  <c r="G8" i="4"/>
  <c r="G7" i="4"/>
  <c r="G6" i="4"/>
  <c r="G5" i="4"/>
  <c r="G4" i="4"/>
  <c r="L99" i="4"/>
  <c r="M99" i="4" s="1"/>
  <c r="L98" i="4"/>
  <c r="M98" i="4" s="1"/>
  <c r="L97" i="4"/>
  <c r="M97" i="4" s="1"/>
  <c r="L96" i="4"/>
  <c r="M96" i="4" s="1"/>
  <c r="L95" i="4"/>
  <c r="M95" i="4" s="1"/>
  <c r="L94" i="4"/>
  <c r="M94" i="4" s="1"/>
  <c r="L93" i="4"/>
  <c r="M93" i="4" s="1"/>
  <c r="L92" i="4"/>
  <c r="M92" i="4" s="1"/>
  <c r="L91" i="4"/>
  <c r="M91" i="4" s="1"/>
  <c r="L90" i="4"/>
  <c r="M90" i="4" s="1"/>
  <c r="L89" i="4"/>
  <c r="M89" i="4" s="1"/>
  <c r="J99" i="4"/>
  <c r="K99" i="4" s="1"/>
  <c r="J98" i="4"/>
  <c r="K98" i="4" s="1"/>
  <c r="J97" i="4"/>
  <c r="K97" i="4" s="1"/>
  <c r="J96" i="4"/>
  <c r="K96" i="4" s="1"/>
  <c r="J95" i="4"/>
  <c r="K95" i="4" s="1"/>
  <c r="J94" i="4"/>
  <c r="K94" i="4" s="1"/>
  <c r="J93" i="4"/>
  <c r="K93" i="4" s="1"/>
  <c r="J92" i="4"/>
  <c r="K92" i="4" s="1"/>
  <c r="J91" i="4"/>
  <c r="K91" i="4" s="1"/>
  <c r="J90" i="4"/>
  <c r="K90" i="4" s="1"/>
  <c r="J89" i="4"/>
  <c r="K89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91" i="4"/>
  <c r="I91" i="4" s="1"/>
  <c r="H90" i="4"/>
  <c r="I90" i="4" s="1"/>
  <c r="H89" i="4"/>
  <c r="I89" i="4" s="1"/>
  <c r="F99" i="4"/>
  <c r="G99" i="4" s="1"/>
  <c r="F98" i="4"/>
  <c r="G98" i="4" s="1"/>
  <c r="F97" i="4"/>
  <c r="G97" i="4" s="1"/>
  <c r="F96" i="4"/>
  <c r="G96" i="4" s="1"/>
  <c r="F95" i="4"/>
  <c r="G95" i="4" s="1"/>
  <c r="F94" i="4"/>
  <c r="G94" i="4" s="1"/>
  <c r="F93" i="4"/>
  <c r="G93" i="4" s="1"/>
  <c r="F92" i="4"/>
  <c r="G92" i="4" s="1"/>
  <c r="F91" i="4"/>
  <c r="G91" i="4" s="1"/>
  <c r="F90" i="4"/>
  <c r="G90" i="4" s="1"/>
  <c r="F89" i="4"/>
  <c r="G89" i="4" s="1"/>
  <c r="D90" i="4"/>
  <c r="E90" i="4" s="1"/>
  <c r="D91" i="4"/>
  <c r="E91" i="4" s="1"/>
  <c r="D92" i="4"/>
  <c r="E92" i="4" s="1"/>
  <c r="D93" i="4"/>
  <c r="E93" i="4" s="1"/>
  <c r="D94" i="4"/>
  <c r="E94" i="4" s="1"/>
  <c r="D95" i="4"/>
  <c r="E95" i="4" s="1"/>
  <c r="D96" i="4"/>
  <c r="E96" i="4" s="1"/>
  <c r="D97" i="4"/>
  <c r="E97" i="4" s="1"/>
  <c r="D98" i="4"/>
  <c r="E98" i="4" s="1"/>
  <c r="D99" i="4"/>
  <c r="E99" i="4" s="1"/>
  <c r="D89" i="4"/>
  <c r="E89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D80" i="4"/>
  <c r="E80" i="4" s="1"/>
  <c r="D81" i="4"/>
  <c r="D82" i="4"/>
  <c r="E82" i="4" s="1"/>
  <c r="D72" i="4"/>
  <c r="E72" i="4" s="1"/>
  <c r="E39" i="4"/>
  <c r="E43" i="4"/>
  <c r="E48" i="4"/>
  <c r="E49" i="4"/>
  <c r="F39" i="4"/>
  <c r="G39" i="4" s="1"/>
  <c r="F40" i="4"/>
  <c r="F44" i="4"/>
  <c r="F49" i="4"/>
  <c r="G49" i="4" s="1"/>
  <c r="M45" i="4"/>
  <c r="K45" i="4"/>
  <c r="L49" i="4"/>
  <c r="M49" i="4" s="1"/>
  <c r="L44" i="4"/>
  <c r="M44" i="4" s="1"/>
  <c r="L40" i="4"/>
  <c r="L39" i="4"/>
  <c r="M39" i="4" s="1"/>
  <c r="J49" i="4"/>
  <c r="K49" i="4" s="1"/>
  <c r="J44" i="4"/>
  <c r="K44" i="4" s="1"/>
  <c r="J40" i="4"/>
  <c r="J39" i="4"/>
  <c r="K39" i="4" s="1"/>
  <c r="H49" i="4"/>
  <c r="I49" i="4" s="1"/>
  <c r="H40" i="4"/>
  <c r="H39" i="4"/>
  <c r="I39" i="4" s="1"/>
  <c r="F22" i="4"/>
  <c r="H22" i="4" s="1"/>
  <c r="F29" i="4"/>
  <c r="G29" i="4" s="1"/>
  <c r="F23" i="4"/>
  <c r="F107" i="4" s="1"/>
  <c r="G107" i="4" s="1"/>
  <c r="F24" i="4"/>
  <c r="F41" i="4" s="1"/>
  <c r="F25" i="4"/>
  <c r="F75" i="4" s="1"/>
  <c r="G75" i="4" s="1"/>
  <c r="F26" i="4"/>
  <c r="F76" i="4" s="1"/>
  <c r="G76" i="4" s="1"/>
  <c r="F27" i="4"/>
  <c r="F77" i="4" s="1"/>
  <c r="G77" i="4" s="1"/>
  <c r="F28" i="4"/>
  <c r="G28" i="4" s="1"/>
  <c r="F30" i="4"/>
  <c r="F80" i="4" s="1"/>
  <c r="G80" i="4" s="1"/>
  <c r="F31" i="4"/>
  <c r="G31" i="4" s="1"/>
  <c r="F32" i="4"/>
  <c r="F116" i="4" s="1"/>
  <c r="G116" i="4" s="1"/>
  <c r="E23" i="4"/>
  <c r="E24" i="4"/>
  <c r="E25" i="4"/>
  <c r="E26" i="4"/>
  <c r="E27" i="4"/>
  <c r="E28" i="4"/>
  <c r="E29" i="4"/>
  <c r="E30" i="4"/>
  <c r="E31" i="4"/>
  <c r="E32" i="4"/>
  <c r="E22" i="4"/>
  <c r="E10" i="16" l="1"/>
  <c r="D12" i="16"/>
  <c r="D13" i="16" s="1"/>
  <c r="I44" i="4"/>
  <c r="E41" i="4"/>
  <c r="G40" i="4"/>
  <c r="K40" i="4"/>
  <c r="E42" i="4"/>
  <c r="E40" i="4"/>
  <c r="G41" i="4"/>
  <c r="E47" i="4"/>
  <c r="I40" i="4"/>
  <c r="G44" i="4"/>
  <c r="M40" i="4"/>
  <c r="E46" i="4"/>
  <c r="E45" i="4"/>
  <c r="E44" i="4"/>
  <c r="G25" i="4"/>
  <c r="G23" i="4"/>
  <c r="E79" i="4"/>
  <c r="H28" i="4"/>
  <c r="I28" i="4" s="1"/>
  <c r="H29" i="4"/>
  <c r="I29" i="4" s="1"/>
  <c r="F78" i="4"/>
  <c r="G78" i="4" s="1"/>
  <c r="F48" i="4"/>
  <c r="G48" i="4" s="1"/>
  <c r="G30" i="4"/>
  <c r="G22" i="4"/>
  <c r="H26" i="4"/>
  <c r="H110" i="4" s="1"/>
  <c r="I110" i="4" s="1"/>
  <c r="H24" i="4"/>
  <c r="H108" i="4" s="1"/>
  <c r="I108" i="4" s="1"/>
  <c r="F47" i="4"/>
  <c r="G24" i="4"/>
  <c r="H31" i="4"/>
  <c r="H81" i="4" s="1"/>
  <c r="I81" i="4" s="1"/>
  <c r="H30" i="4"/>
  <c r="H47" i="4" s="1"/>
  <c r="G32" i="4"/>
  <c r="H106" i="4"/>
  <c r="I106" i="4" s="1"/>
  <c r="J22" i="4"/>
  <c r="H72" i="4"/>
  <c r="I72" i="4" s="1"/>
  <c r="I22" i="4"/>
  <c r="F114" i="4"/>
  <c r="G114" i="4" s="1"/>
  <c r="G26" i="4"/>
  <c r="F79" i="4"/>
  <c r="G79" i="4" s="1"/>
  <c r="F113" i="4"/>
  <c r="G113" i="4" s="1"/>
  <c r="G27" i="4"/>
  <c r="F46" i="4"/>
  <c r="F112" i="4"/>
  <c r="G112" i="4" s="1"/>
  <c r="H27" i="4"/>
  <c r="F45" i="4"/>
  <c r="F111" i="4"/>
  <c r="G111" i="4" s="1"/>
  <c r="H112" i="4"/>
  <c r="I112" i="4" s="1"/>
  <c r="H25" i="4"/>
  <c r="F72" i="4"/>
  <c r="G72" i="4" s="1"/>
  <c r="F81" i="4"/>
  <c r="G81" i="4" s="1"/>
  <c r="F110" i="4"/>
  <c r="G110" i="4" s="1"/>
  <c r="F43" i="4"/>
  <c r="G43" i="4" s="1"/>
  <c r="F73" i="4"/>
  <c r="G73" i="4" s="1"/>
  <c r="F82" i="4"/>
  <c r="G82" i="4" s="1"/>
  <c r="F106" i="4"/>
  <c r="G106" i="4" s="1"/>
  <c r="F109" i="4"/>
  <c r="G109" i="4" s="1"/>
  <c r="H32" i="4"/>
  <c r="H23" i="4"/>
  <c r="F42" i="4"/>
  <c r="F74" i="4"/>
  <c r="G74" i="4" s="1"/>
  <c r="F108" i="4"/>
  <c r="G108" i="4" s="1"/>
  <c r="F115" i="4"/>
  <c r="G115" i="4" s="1"/>
  <c r="E33" i="12"/>
  <c r="D6" i="14" s="1"/>
  <c r="H48" i="12"/>
  <c r="K48" i="12" s="1"/>
  <c r="N48" i="12" s="1"/>
  <c r="Q48" i="12" s="1"/>
  <c r="F48" i="12"/>
  <c r="F67" i="12" s="1"/>
  <c r="I48" i="12"/>
  <c r="L48" i="12" s="1"/>
  <c r="O48" i="12" s="1"/>
  <c r="R48" i="12" s="1"/>
  <c r="G48" i="12"/>
  <c r="G67" i="12" s="1"/>
  <c r="E48" i="12"/>
  <c r="E67" i="12" s="1"/>
  <c r="J48" i="12"/>
  <c r="M48" i="12" s="1"/>
  <c r="P48" i="12" s="1"/>
  <c r="S48" i="12" s="1"/>
  <c r="L52" i="12"/>
  <c r="I67" i="12"/>
  <c r="K52" i="12"/>
  <c r="H67" i="12"/>
  <c r="M52" i="12"/>
  <c r="R40" i="12"/>
  <c r="Q40" i="12"/>
  <c r="D7" i="14"/>
  <c r="G68" i="12"/>
  <c r="F68" i="12"/>
  <c r="E68" i="12"/>
  <c r="D9" i="13"/>
  <c r="C36" i="17" s="1"/>
  <c r="E7" i="14"/>
  <c r="H68" i="12"/>
  <c r="E9" i="13"/>
  <c r="J68" i="12"/>
  <c r="I68" i="12"/>
  <c r="C99" i="5"/>
  <c r="D99" i="5"/>
  <c r="E98" i="5"/>
  <c r="F98" i="5" s="1"/>
  <c r="F99" i="5" s="1"/>
  <c r="D112" i="5"/>
  <c r="C113" i="5"/>
  <c r="C128" i="5"/>
  <c r="D23" i="14" s="1"/>
  <c r="D127" i="5"/>
  <c r="H74" i="12"/>
  <c r="G101" i="12"/>
  <c r="F33" i="12"/>
  <c r="G6" i="12"/>
  <c r="F90" i="5"/>
  <c r="E78" i="5"/>
  <c r="D16" i="14" s="1"/>
  <c r="D32" i="13" s="1"/>
  <c r="C44" i="17" s="1"/>
  <c r="F78" i="5"/>
  <c r="E16" i="14" s="1"/>
  <c r="E32" i="13" s="1"/>
  <c r="D44" i="17" s="1"/>
  <c r="E37" i="8"/>
  <c r="G36" i="8"/>
  <c r="G37" i="8" s="1"/>
  <c r="F37" i="8"/>
  <c r="G72" i="5"/>
  <c r="E84" i="5"/>
  <c r="H84" i="5"/>
  <c r="G17" i="14" s="1"/>
  <c r="G84" i="5"/>
  <c r="F17" i="14" s="1"/>
  <c r="F84" i="5"/>
  <c r="E17" i="14" s="1"/>
  <c r="E117" i="4"/>
  <c r="D15" i="14" s="1"/>
  <c r="D31" i="13" s="1"/>
  <c r="C43" i="17" s="1"/>
  <c r="M100" i="4"/>
  <c r="E100" i="4"/>
  <c r="D14" i="14" s="1"/>
  <c r="D30" i="13" s="1"/>
  <c r="C42" i="17" s="1"/>
  <c r="G100" i="4"/>
  <c r="E14" i="14" s="1"/>
  <c r="I100" i="4"/>
  <c r="K100" i="4"/>
  <c r="E81" i="4"/>
  <c r="E33" i="4"/>
  <c r="D11" i="14" s="1"/>
  <c r="D33" i="13" s="1"/>
  <c r="C45" i="17" s="1"/>
  <c r="C14" i="3"/>
  <c r="C13" i="3"/>
  <c r="C12" i="3"/>
  <c r="G8" i="10"/>
  <c r="H8" i="10" s="1"/>
  <c r="G109" i="10"/>
  <c r="H109" i="10" s="1"/>
  <c r="G106" i="10"/>
  <c r="H106" i="10" s="1"/>
  <c r="G113" i="10"/>
  <c r="H113" i="10" s="1"/>
  <c r="G114" i="10"/>
  <c r="H114" i="10" s="1"/>
  <c r="G124" i="10"/>
  <c r="H124" i="10" s="1"/>
  <c r="G123" i="10"/>
  <c r="H123" i="10" s="1"/>
  <c r="G122" i="10"/>
  <c r="H122" i="10" s="1"/>
  <c r="G121" i="10"/>
  <c r="H121" i="10" s="1"/>
  <c r="G120" i="10"/>
  <c r="H120" i="10" s="1"/>
  <c r="G119" i="10"/>
  <c r="H119" i="10" s="1"/>
  <c r="G118" i="10"/>
  <c r="H118" i="10" s="1"/>
  <c r="G108" i="10"/>
  <c r="H108" i="10" s="1"/>
  <c r="G107" i="10"/>
  <c r="H107" i="10" s="1"/>
  <c r="G105" i="10"/>
  <c r="H105" i="10" s="1"/>
  <c r="G104" i="10"/>
  <c r="H104" i="10" s="1"/>
  <c r="G103" i="10"/>
  <c r="H103" i="10" s="1"/>
  <c r="G102" i="10"/>
  <c r="H102" i="10" s="1"/>
  <c r="G101" i="10"/>
  <c r="H101" i="10" s="1"/>
  <c r="G97" i="10"/>
  <c r="H97" i="10" s="1"/>
  <c r="G96" i="10"/>
  <c r="H96" i="10" s="1"/>
  <c r="G92" i="10"/>
  <c r="H92" i="10" s="1"/>
  <c r="G91" i="10"/>
  <c r="H91" i="10" s="1"/>
  <c r="G86" i="10"/>
  <c r="H86" i="10" s="1"/>
  <c r="G85" i="10"/>
  <c r="H85" i="10" s="1"/>
  <c r="G84" i="10"/>
  <c r="H84" i="10" s="1"/>
  <c r="G83" i="10"/>
  <c r="H83" i="10" s="1"/>
  <c r="G82" i="10"/>
  <c r="H82" i="10" s="1"/>
  <c r="G81" i="10"/>
  <c r="H81" i="10" s="1"/>
  <c r="G77" i="10"/>
  <c r="H77" i="10" s="1"/>
  <c r="G76" i="10"/>
  <c r="H76" i="10" s="1"/>
  <c r="G75" i="10"/>
  <c r="H75" i="10" s="1"/>
  <c r="G74" i="10"/>
  <c r="H74" i="10" s="1"/>
  <c r="G73" i="10"/>
  <c r="H73" i="10" s="1"/>
  <c r="G72" i="10"/>
  <c r="H72" i="10" s="1"/>
  <c r="G71" i="10"/>
  <c r="H71" i="10" s="1"/>
  <c r="G70" i="10"/>
  <c r="H70" i="10" s="1"/>
  <c r="G69" i="10"/>
  <c r="H69" i="10" s="1"/>
  <c r="G65" i="10"/>
  <c r="H65" i="10" s="1"/>
  <c r="G64" i="10"/>
  <c r="H64" i="10" s="1"/>
  <c r="G63" i="10"/>
  <c r="H63" i="10" s="1"/>
  <c r="G62" i="10"/>
  <c r="H62" i="10" s="1"/>
  <c r="G61" i="10"/>
  <c r="H61" i="10" s="1"/>
  <c r="G60" i="10"/>
  <c r="H60" i="10" s="1"/>
  <c r="G59" i="10"/>
  <c r="H59" i="10" s="1"/>
  <c r="G58" i="10"/>
  <c r="H58" i="10" s="1"/>
  <c r="G57" i="10"/>
  <c r="H57" i="10" s="1"/>
  <c r="G56" i="10"/>
  <c r="H56" i="10" s="1"/>
  <c r="G52" i="10"/>
  <c r="H52" i="10" s="1"/>
  <c r="G51" i="10"/>
  <c r="H51" i="10" s="1"/>
  <c r="G50" i="10"/>
  <c r="H50" i="10" s="1"/>
  <c r="G49" i="10"/>
  <c r="H49" i="10" s="1"/>
  <c r="G48" i="10"/>
  <c r="H48" i="10" s="1"/>
  <c r="G47" i="10"/>
  <c r="H47" i="10" s="1"/>
  <c r="G46" i="10"/>
  <c r="H46" i="10" s="1"/>
  <c r="G45" i="10"/>
  <c r="H45" i="10" s="1"/>
  <c r="G44" i="10"/>
  <c r="H44" i="10" s="1"/>
  <c r="G43" i="10"/>
  <c r="H43" i="10" s="1"/>
  <c r="G42" i="10"/>
  <c r="H42" i="10" s="1"/>
  <c r="G38" i="10"/>
  <c r="H38" i="10" s="1"/>
  <c r="G37" i="10"/>
  <c r="H37" i="10" s="1"/>
  <c r="G36" i="10"/>
  <c r="H36" i="10" s="1"/>
  <c r="G35" i="10"/>
  <c r="H35" i="10" s="1"/>
  <c r="G34" i="10"/>
  <c r="H34" i="10" s="1"/>
  <c r="G33" i="10"/>
  <c r="H33" i="10" s="1"/>
  <c r="G32" i="10"/>
  <c r="H32" i="10" s="1"/>
  <c r="G31" i="10"/>
  <c r="H31" i="10" s="1"/>
  <c r="G30" i="10"/>
  <c r="H30" i="10" s="1"/>
  <c r="G26" i="10"/>
  <c r="H26" i="10" s="1"/>
  <c r="G25" i="10"/>
  <c r="H25" i="10" s="1"/>
  <c r="G24" i="10"/>
  <c r="H24" i="10" s="1"/>
  <c r="G23" i="10"/>
  <c r="H23" i="10" s="1"/>
  <c r="G19" i="10"/>
  <c r="H19" i="10" s="1"/>
  <c r="G15" i="10"/>
  <c r="H15" i="10" s="1"/>
  <c r="G14" i="10"/>
  <c r="H14" i="10" s="1"/>
  <c r="G13" i="10"/>
  <c r="H13" i="10" s="1"/>
  <c r="G12" i="10"/>
  <c r="H12" i="10" s="1"/>
  <c r="G7" i="10"/>
  <c r="H7" i="10" s="1"/>
  <c r="G6" i="10"/>
  <c r="H6" i="10" s="1"/>
  <c r="G5" i="10"/>
  <c r="H5" i="10" s="1"/>
  <c r="C21" i="3"/>
  <c r="C20" i="3"/>
  <c r="C19" i="3"/>
  <c r="C18" i="3"/>
  <c r="C19" i="8"/>
  <c r="F13" i="7"/>
  <c r="C35" i="7" s="1"/>
  <c r="F9" i="7"/>
  <c r="C26" i="7" s="1"/>
  <c r="F5" i="7"/>
  <c r="C23" i="7" s="1"/>
  <c r="C15" i="3" s="1"/>
  <c r="E30" i="5"/>
  <c r="E29" i="5"/>
  <c r="E24" i="5"/>
  <c r="E21" i="5"/>
  <c r="E20" i="5"/>
  <c r="E9" i="5"/>
  <c r="E8" i="5"/>
  <c r="E7" i="5"/>
  <c r="E6" i="5"/>
  <c r="E5" i="5"/>
  <c r="E40" i="5"/>
  <c r="E32" i="5"/>
  <c r="I6" i="4"/>
  <c r="I7" i="4"/>
  <c r="I8" i="4"/>
  <c r="I9" i="4"/>
  <c r="I10" i="4"/>
  <c r="I11" i="4"/>
  <c r="I12" i="4"/>
  <c r="I13" i="4"/>
  <c r="I14" i="4"/>
  <c r="I4" i="4"/>
  <c r="I5" i="4"/>
  <c r="H9" i="4"/>
  <c r="H4" i="4"/>
  <c r="H7" i="4"/>
  <c r="H6" i="4"/>
  <c r="H8" i="4"/>
  <c r="H10" i="4"/>
  <c r="H11" i="4"/>
  <c r="H12" i="4"/>
  <c r="H13" i="4"/>
  <c r="H14" i="4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4" i="4"/>
  <c r="G15" i="3" s="1"/>
  <c r="G8" i="6"/>
  <c r="H8" i="6" s="1"/>
  <c r="I8" i="6" s="1"/>
  <c r="J8" i="6" s="1"/>
  <c r="K8" i="6" s="1"/>
  <c r="L8" i="6" s="1"/>
  <c r="G9" i="6"/>
  <c r="H9" i="6" s="1"/>
  <c r="I9" i="6" s="1"/>
  <c r="J9" i="6" s="1"/>
  <c r="K9" i="6" s="1"/>
  <c r="L9" i="6" s="1"/>
  <c r="G14" i="6"/>
  <c r="H14" i="6" s="1"/>
  <c r="I14" i="6" s="1"/>
  <c r="J14" i="6" s="1"/>
  <c r="K14" i="6" s="1"/>
  <c r="L14" i="6" s="1"/>
  <c r="E10" i="6"/>
  <c r="E11" i="6"/>
  <c r="G11" i="6" s="1"/>
  <c r="H11" i="6" s="1"/>
  <c r="E84" i="6"/>
  <c r="E85" i="6"/>
  <c r="E83" i="6"/>
  <c r="C9" i="3" s="1"/>
  <c r="D19" i="13" s="1"/>
  <c r="C54" i="17" s="1"/>
  <c r="E81" i="6"/>
  <c r="C8" i="3" s="1"/>
  <c r="D18" i="13" s="1"/>
  <c r="C53" i="17" s="1"/>
  <c r="E79" i="6"/>
  <c r="E78" i="6"/>
  <c r="E75" i="6"/>
  <c r="E76" i="6"/>
  <c r="E74" i="6"/>
  <c r="C7" i="3" s="1"/>
  <c r="D17" i="13" s="1"/>
  <c r="C52" i="17" s="1"/>
  <c r="E55" i="6"/>
  <c r="E54" i="6"/>
  <c r="E56" i="6"/>
  <c r="E17" i="6"/>
  <c r="E63" i="6"/>
  <c r="E16" i="6"/>
  <c r="E61" i="6"/>
  <c r="E53" i="6"/>
  <c r="E50" i="6"/>
  <c r="E59" i="6"/>
  <c r="E46" i="6"/>
  <c r="E41" i="6"/>
  <c r="E47" i="6"/>
  <c r="E45" i="6"/>
  <c r="E42" i="6"/>
  <c r="E39" i="6"/>
  <c r="E36" i="6"/>
  <c r="E35" i="6"/>
  <c r="E33" i="6"/>
  <c r="E21" i="6"/>
  <c r="E26" i="6"/>
  <c r="E32" i="6"/>
  <c r="E20" i="6"/>
  <c r="C5" i="3" s="1"/>
  <c r="D15" i="13" s="1"/>
  <c r="C50" i="17" s="1"/>
  <c r="G7" i="6"/>
  <c r="G4" i="3"/>
  <c r="C10" i="3" s="1"/>
  <c r="F10" i="16" l="1"/>
  <c r="E12" i="16"/>
  <c r="E13" i="16" s="1"/>
  <c r="C6" i="3"/>
  <c r="D16" i="13" s="1"/>
  <c r="C51" i="17" s="1"/>
  <c r="D14" i="13"/>
  <c r="C49" i="17" s="1"/>
  <c r="E50" i="4"/>
  <c r="D12" i="14" s="1"/>
  <c r="D28" i="13" s="1"/>
  <c r="C40" i="17" s="1"/>
  <c r="J29" i="4"/>
  <c r="K29" i="4" s="1"/>
  <c r="G42" i="4"/>
  <c r="G45" i="4"/>
  <c r="I47" i="4"/>
  <c r="G46" i="4"/>
  <c r="G47" i="4"/>
  <c r="E83" i="4"/>
  <c r="D13" i="14" s="1"/>
  <c r="D29" i="13" s="1"/>
  <c r="C41" i="17" s="1"/>
  <c r="H113" i="4"/>
  <c r="I113" i="4" s="1"/>
  <c r="H46" i="4"/>
  <c r="H78" i="4"/>
  <c r="I78" i="4" s="1"/>
  <c r="J28" i="4"/>
  <c r="L28" i="4" s="1"/>
  <c r="L112" i="4" s="1"/>
  <c r="M112" i="4" s="1"/>
  <c r="H45" i="4"/>
  <c r="H48" i="4"/>
  <c r="I48" i="4" s="1"/>
  <c r="J26" i="4"/>
  <c r="L26" i="4" s="1"/>
  <c r="H79" i="4"/>
  <c r="I79" i="4" s="1"/>
  <c r="I31" i="4"/>
  <c r="J31" i="4"/>
  <c r="G117" i="4"/>
  <c r="E15" i="14" s="1"/>
  <c r="E31" i="13" s="1"/>
  <c r="D43" i="17" s="1"/>
  <c r="H114" i="4"/>
  <c r="I114" i="4" s="1"/>
  <c r="J30" i="4"/>
  <c r="J114" i="4" s="1"/>
  <c r="K114" i="4" s="1"/>
  <c r="H80" i="4"/>
  <c r="I80" i="4" s="1"/>
  <c r="I30" i="4"/>
  <c r="H115" i="4"/>
  <c r="I115" i="4" s="1"/>
  <c r="I24" i="4"/>
  <c r="J24" i="4"/>
  <c r="J41" i="4" s="1"/>
  <c r="H74" i="4"/>
  <c r="I74" i="4" s="1"/>
  <c r="I26" i="4"/>
  <c r="H43" i="4"/>
  <c r="I43" i="4" s="1"/>
  <c r="H76" i="4"/>
  <c r="I76" i="4" s="1"/>
  <c r="F4" i="4"/>
  <c r="F15" i="4" s="1"/>
  <c r="G33" i="4"/>
  <c r="E11" i="14" s="1"/>
  <c r="E33" i="13" s="1"/>
  <c r="D45" i="17" s="1"/>
  <c r="I27" i="4"/>
  <c r="J27" i="4"/>
  <c r="H111" i="4"/>
  <c r="I111" i="4" s="1"/>
  <c r="H77" i="4"/>
  <c r="I77" i="4" s="1"/>
  <c r="J25" i="4"/>
  <c r="I25" i="4"/>
  <c r="H109" i="4"/>
  <c r="I109" i="4" s="1"/>
  <c r="H75" i="4"/>
  <c r="I75" i="4" s="1"/>
  <c r="H42" i="4"/>
  <c r="K22" i="4"/>
  <c r="L22" i="4"/>
  <c r="J106" i="4"/>
  <c r="K106" i="4" s="1"/>
  <c r="J72" i="4"/>
  <c r="K72" i="4" s="1"/>
  <c r="G83" i="4"/>
  <c r="E13" i="14" s="1"/>
  <c r="E29" i="13" s="1"/>
  <c r="K8" i="4"/>
  <c r="H73" i="4"/>
  <c r="I73" i="4" s="1"/>
  <c r="I23" i="4"/>
  <c r="J23" i="4"/>
  <c r="H107" i="4"/>
  <c r="I107" i="4" s="1"/>
  <c r="H82" i="4"/>
  <c r="I82" i="4" s="1"/>
  <c r="I32" i="4"/>
  <c r="J32" i="4"/>
  <c r="H116" i="4"/>
  <c r="I116" i="4" s="1"/>
  <c r="F14" i="14"/>
  <c r="E30" i="13"/>
  <c r="J113" i="4"/>
  <c r="K113" i="4" s="1"/>
  <c r="J46" i="4"/>
  <c r="J79" i="4"/>
  <c r="K79" i="4" s="1"/>
  <c r="L29" i="4"/>
  <c r="H69" i="12"/>
  <c r="I69" i="12"/>
  <c r="E69" i="12"/>
  <c r="F69" i="12"/>
  <c r="J67" i="12"/>
  <c r="J69" i="12" s="1"/>
  <c r="G69" i="12"/>
  <c r="P52" i="12"/>
  <c r="M67" i="12"/>
  <c r="N52" i="12"/>
  <c r="K67" i="12"/>
  <c r="O52" i="12"/>
  <c r="L67" i="12"/>
  <c r="D36" i="17"/>
  <c r="F7" i="14"/>
  <c r="F9" i="13"/>
  <c r="E36" i="17" s="1"/>
  <c r="L68" i="12"/>
  <c r="M68" i="12"/>
  <c r="K68" i="12"/>
  <c r="E6" i="14"/>
  <c r="E8" i="14" s="1"/>
  <c r="D8" i="14"/>
  <c r="G98" i="5"/>
  <c r="G99" i="5" s="1"/>
  <c r="E99" i="5"/>
  <c r="D10" i="13"/>
  <c r="G39" i="6"/>
  <c r="H39" i="6" s="1"/>
  <c r="I39" i="6" s="1"/>
  <c r="J39" i="6" s="1"/>
  <c r="K39" i="6" s="1"/>
  <c r="L39" i="6" s="1"/>
  <c r="G42" i="6"/>
  <c r="H42" i="6" s="1"/>
  <c r="I42" i="6" s="1"/>
  <c r="J42" i="6" s="1"/>
  <c r="K42" i="6" s="1"/>
  <c r="L42" i="6" s="1"/>
  <c r="G45" i="6"/>
  <c r="H45" i="6" s="1"/>
  <c r="I45" i="6" s="1"/>
  <c r="J45" i="6" s="1"/>
  <c r="K45" i="6" s="1"/>
  <c r="L45" i="6" s="1"/>
  <c r="G17" i="6"/>
  <c r="H17" i="6" s="1"/>
  <c r="I17" i="6" s="1"/>
  <c r="J17" i="6" s="1"/>
  <c r="K17" i="6" s="1"/>
  <c r="L17" i="6" s="1"/>
  <c r="G47" i="6"/>
  <c r="G56" i="6"/>
  <c r="H56" i="6" s="1"/>
  <c r="I56" i="6" s="1"/>
  <c r="J56" i="6" s="1"/>
  <c r="K56" i="6" s="1"/>
  <c r="L56" i="6" s="1"/>
  <c r="H7" i="6"/>
  <c r="G41" i="6"/>
  <c r="H41" i="6" s="1"/>
  <c r="I41" i="6" s="1"/>
  <c r="J41" i="6" s="1"/>
  <c r="K41" i="6" s="1"/>
  <c r="L41" i="6" s="1"/>
  <c r="G32" i="6"/>
  <c r="H32" i="6" s="1"/>
  <c r="I32" i="6" s="1"/>
  <c r="J32" i="6" s="1"/>
  <c r="K32" i="6" s="1"/>
  <c r="L32" i="6" s="1"/>
  <c r="G46" i="6"/>
  <c r="H46" i="6" s="1"/>
  <c r="I46" i="6" s="1"/>
  <c r="J46" i="6" s="1"/>
  <c r="K46" i="6" s="1"/>
  <c r="L46" i="6" s="1"/>
  <c r="G81" i="6"/>
  <c r="H81" i="6" s="1"/>
  <c r="E18" i="13" s="1"/>
  <c r="G26" i="6"/>
  <c r="H26" i="6" s="1"/>
  <c r="G55" i="6"/>
  <c r="H55" i="6" s="1"/>
  <c r="I55" i="6" s="1"/>
  <c r="J55" i="6" s="1"/>
  <c r="K55" i="6" s="1"/>
  <c r="L55" i="6" s="1"/>
  <c r="G79" i="6"/>
  <c r="H79" i="6" s="1"/>
  <c r="I79" i="6" s="1"/>
  <c r="J79" i="6" s="1"/>
  <c r="K79" i="6" s="1"/>
  <c r="L79" i="6" s="1"/>
  <c r="G63" i="6"/>
  <c r="H63" i="6" s="1"/>
  <c r="I63" i="6" s="1"/>
  <c r="J63" i="6" s="1"/>
  <c r="K63" i="6" s="1"/>
  <c r="L63" i="6" s="1"/>
  <c r="G16" i="6"/>
  <c r="H16" i="6" s="1"/>
  <c r="I16" i="6" s="1"/>
  <c r="J16" i="6" s="1"/>
  <c r="K16" i="6" s="1"/>
  <c r="L16" i="6" s="1"/>
  <c r="G20" i="6"/>
  <c r="H20" i="6" s="1"/>
  <c r="G10" i="6"/>
  <c r="H10" i="6" s="1"/>
  <c r="I10" i="6" s="1"/>
  <c r="J10" i="6" s="1"/>
  <c r="K10" i="6" s="1"/>
  <c r="L10" i="6" s="1"/>
  <c r="G21" i="6"/>
  <c r="H21" i="6" s="1"/>
  <c r="I21" i="6" s="1"/>
  <c r="J21" i="6" s="1"/>
  <c r="K21" i="6" s="1"/>
  <c r="L21" i="6" s="1"/>
  <c r="G59" i="6"/>
  <c r="H59" i="6" s="1"/>
  <c r="I59" i="6" s="1"/>
  <c r="J59" i="6" s="1"/>
  <c r="K59" i="6" s="1"/>
  <c r="L59" i="6" s="1"/>
  <c r="G50" i="6"/>
  <c r="H50" i="6" s="1"/>
  <c r="G35" i="6"/>
  <c r="H35" i="6" s="1"/>
  <c r="I35" i="6" s="1"/>
  <c r="J35" i="6" s="1"/>
  <c r="K35" i="6" s="1"/>
  <c r="L35" i="6" s="1"/>
  <c r="G53" i="6"/>
  <c r="H53" i="6" s="1"/>
  <c r="I53" i="6" s="1"/>
  <c r="J53" i="6" s="1"/>
  <c r="K53" i="6" s="1"/>
  <c r="L53" i="6" s="1"/>
  <c r="G75" i="6"/>
  <c r="H75" i="6" s="1"/>
  <c r="G85" i="6"/>
  <c r="H85" i="6" s="1"/>
  <c r="I85" i="6" s="1"/>
  <c r="J85" i="6" s="1"/>
  <c r="K85" i="6" s="1"/>
  <c r="L85" i="6" s="1"/>
  <c r="G54" i="6"/>
  <c r="H54" i="6" s="1"/>
  <c r="I54" i="6" s="1"/>
  <c r="J54" i="6" s="1"/>
  <c r="K54" i="6" s="1"/>
  <c r="L54" i="6" s="1"/>
  <c r="G33" i="6"/>
  <c r="H33" i="6" s="1"/>
  <c r="G76" i="6"/>
  <c r="H76" i="6" s="1"/>
  <c r="I76" i="6" s="1"/>
  <c r="J76" i="6" s="1"/>
  <c r="K76" i="6" s="1"/>
  <c r="L76" i="6" s="1"/>
  <c r="G83" i="6"/>
  <c r="H83" i="6" s="1"/>
  <c r="G36" i="6"/>
  <c r="H36" i="6" s="1"/>
  <c r="I36" i="6" s="1"/>
  <c r="J36" i="6" s="1"/>
  <c r="K36" i="6" s="1"/>
  <c r="L36" i="6" s="1"/>
  <c r="G61" i="6"/>
  <c r="H61" i="6" s="1"/>
  <c r="I61" i="6" s="1"/>
  <c r="J61" i="6" s="1"/>
  <c r="K61" i="6" s="1"/>
  <c r="L61" i="6" s="1"/>
  <c r="G78" i="6"/>
  <c r="H78" i="6" s="1"/>
  <c r="I78" i="6" s="1"/>
  <c r="J78" i="6" s="1"/>
  <c r="K78" i="6" s="1"/>
  <c r="L78" i="6" s="1"/>
  <c r="G84" i="6"/>
  <c r="H84" i="6" s="1"/>
  <c r="I84" i="6" s="1"/>
  <c r="J84" i="6" s="1"/>
  <c r="K84" i="6" s="1"/>
  <c r="L84" i="6" s="1"/>
  <c r="I11" i="6"/>
  <c r="D17" i="14"/>
  <c r="E127" i="5"/>
  <c r="D128" i="5"/>
  <c r="E23" i="14" s="1"/>
  <c r="E112" i="5"/>
  <c r="D113" i="5"/>
  <c r="E22" i="14" s="1"/>
  <c r="I74" i="12"/>
  <c r="I101" i="12" s="1"/>
  <c r="H101" i="12"/>
  <c r="H6" i="12"/>
  <c r="G33" i="12"/>
  <c r="G90" i="5"/>
  <c r="G78" i="5"/>
  <c r="F16" i="14" s="1"/>
  <c r="F32" i="13" s="1"/>
  <c r="E44" i="17" s="1"/>
  <c r="H72" i="5"/>
  <c r="C42" i="7"/>
  <c r="K10" i="4"/>
  <c r="K5" i="4"/>
  <c r="K14" i="4"/>
  <c r="K9" i="4"/>
  <c r="K11" i="4"/>
  <c r="K4" i="4"/>
  <c r="K7" i="4"/>
  <c r="K6" i="4"/>
  <c r="K13" i="4"/>
  <c r="K12" i="4"/>
  <c r="H125" i="10"/>
  <c r="G74" i="6"/>
  <c r="G10" i="16" l="1"/>
  <c r="G12" i="16" s="1"/>
  <c r="G13" i="16" s="1"/>
  <c r="F12" i="16"/>
  <c r="F13" i="16" s="1"/>
  <c r="C55" i="17"/>
  <c r="E16" i="13"/>
  <c r="E19" i="13"/>
  <c r="I20" i="6"/>
  <c r="G50" i="4"/>
  <c r="E12" i="14" s="1"/>
  <c r="E28" i="13" s="1"/>
  <c r="D40" i="17" s="1"/>
  <c r="I41" i="4"/>
  <c r="K46" i="4"/>
  <c r="I45" i="4"/>
  <c r="I46" i="4"/>
  <c r="I42" i="4"/>
  <c r="D41" i="17"/>
  <c r="K28" i="4"/>
  <c r="K26" i="4"/>
  <c r="J76" i="4"/>
  <c r="K76" i="4" s="1"/>
  <c r="L78" i="4"/>
  <c r="M78" i="4" s="1"/>
  <c r="M28" i="4"/>
  <c r="J78" i="4"/>
  <c r="K78" i="4" s="1"/>
  <c r="J112" i="4"/>
  <c r="K112" i="4" s="1"/>
  <c r="J43" i="4"/>
  <c r="K43" i="4" s="1"/>
  <c r="J110" i="4"/>
  <c r="K110" i="4" s="1"/>
  <c r="L30" i="4"/>
  <c r="M30" i="4" s="1"/>
  <c r="K30" i="4"/>
  <c r="J47" i="4"/>
  <c r="J80" i="4"/>
  <c r="K80" i="4" s="1"/>
  <c r="I33" i="4"/>
  <c r="F11" i="14" s="1"/>
  <c r="F33" i="13" s="1"/>
  <c r="E45" i="17" s="1"/>
  <c r="I117" i="4"/>
  <c r="F15" i="14" s="1"/>
  <c r="F31" i="13" s="1"/>
  <c r="E43" i="17" s="1"/>
  <c r="K24" i="4"/>
  <c r="L24" i="4"/>
  <c r="K41" i="4"/>
  <c r="J108" i="4"/>
  <c r="K108" i="4" s="1"/>
  <c r="J74" i="4"/>
  <c r="K74" i="4" s="1"/>
  <c r="L31" i="4"/>
  <c r="J48" i="4"/>
  <c r="K48" i="4" s="1"/>
  <c r="K31" i="4"/>
  <c r="J81" i="4"/>
  <c r="K81" i="4" s="1"/>
  <c r="J115" i="4"/>
  <c r="K115" i="4" s="1"/>
  <c r="M22" i="4"/>
  <c r="L106" i="4"/>
  <c r="M106" i="4" s="1"/>
  <c r="L72" i="4"/>
  <c r="M72" i="4" s="1"/>
  <c r="K25" i="4"/>
  <c r="L25" i="4"/>
  <c r="J109" i="4"/>
  <c r="K109" i="4" s="1"/>
  <c r="J75" i="4"/>
  <c r="K75" i="4" s="1"/>
  <c r="J42" i="4"/>
  <c r="L23" i="4"/>
  <c r="K23" i="4"/>
  <c r="J73" i="4"/>
  <c r="K73" i="4" s="1"/>
  <c r="J107" i="4"/>
  <c r="K107" i="4" s="1"/>
  <c r="G14" i="14"/>
  <c r="F30" i="13"/>
  <c r="I83" i="4"/>
  <c r="F13" i="14" s="1"/>
  <c r="F29" i="13" s="1"/>
  <c r="E41" i="17" s="1"/>
  <c r="J111" i="4"/>
  <c r="K111" i="4" s="1"/>
  <c r="J77" i="4"/>
  <c r="K77" i="4" s="1"/>
  <c r="K27" i="4"/>
  <c r="L27" i="4"/>
  <c r="L110" i="4"/>
  <c r="M110" i="4" s="1"/>
  <c r="L76" i="4"/>
  <c r="M76" i="4" s="1"/>
  <c r="L43" i="4"/>
  <c r="M43" i="4" s="1"/>
  <c r="M26" i="4"/>
  <c r="L32" i="4"/>
  <c r="J82" i="4"/>
  <c r="K82" i="4" s="1"/>
  <c r="J116" i="4"/>
  <c r="K116" i="4" s="1"/>
  <c r="K32" i="4"/>
  <c r="L46" i="4"/>
  <c r="M29" i="4"/>
  <c r="L79" i="4"/>
  <c r="M79" i="4" s="1"/>
  <c r="L113" i="4"/>
  <c r="M113" i="4" s="1"/>
  <c r="L69" i="12"/>
  <c r="Q52" i="12"/>
  <c r="Q67" i="12" s="1"/>
  <c r="N67" i="12"/>
  <c r="C134" i="5"/>
  <c r="C16" i="16"/>
  <c r="D134" i="5"/>
  <c r="D16" i="16"/>
  <c r="S52" i="12"/>
  <c r="S67" i="12" s="1"/>
  <c r="P67" i="12"/>
  <c r="R52" i="12"/>
  <c r="R67" i="12" s="1"/>
  <c r="O67" i="12"/>
  <c r="K69" i="12"/>
  <c r="M69" i="12"/>
  <c r="E10" i="13"/>
  <c r="F10" i="13" s="1"/>
  <c r="G10" i="13" s="1"/>
  <c r="H10" i="13" s="1"/>
  <c r="C37" i="17"/>
  <c r="H7" i="14"/>
  <c r="R68" i="12"/>
  <c r="H9" i="13"/>
  <c r="S68" i="12"/>
  <c r="Q68" i="12"/>
  <c r="F6" i="14"/>
  <c r="F8" i="14" s="1"/>
  <c r="G7" i="14"/>
  <c r="G9" i="13"/>
  <c r="F36" i="17" s="1"/>
  <c r="N68" i="12"/>
  <c r="P68" i="12"/>
  <c r="O68" i="12"/>
  <c r="D21" i="14" a="1"/>
  <c r="D21" i="14" s="1"/>
  <c r="I81" i="6"/>
  <c r="F18" i="13" s="1"/>
  <c r="H47" i="6"/>
  <c r="I47" i="6" s="1"/>
  <c r="J47" i="6" s="1"/>
  <c r="K47" i="6" s="1"/>
  <c r="L47" i="6" s="1"/>
  <c r="I7" i="6"/>
  <c r="I83" i="6"/>
  <c r="F19" i="13" s="1"/>
  <c r="I50" i="6"/>
  <c r="F16" i="13" s="1"/>
  <c r="I33" i="6"/>
  <c r="I75" i="6"/>
  <c r="I26" i="6"/>
  <c r="J26" i="6" s="1"/>
  <c r="K26" i="6" s="1"/>
  <c r="L26" i="6" s="1"/>
  <c r="G90" i="6"/>
  <c r="H74" i="6"/>
  <c r="J11" i="6"/>
  <c r="K11" i="6" s="1"/>
  <c r="L11" i="6" s="1"/>
  <c r="F127" i="5"/>
  <c r="E128" i="5"/>
  <c r="F23" i="14" s="1"/>
  <c r="F112" i="5"/>
  <c r="E113" i="5"/>
  <c r="F22" i="14" s="1"/>
  <c r="I6" i="12"/>
  <c r="I33" i="12" s="1"/>
  <c r="H33" i="12"/>
  <c r="I72" i="5"/>
  <c r="I78" i="5" s="1"/>
  <c r="H16" i="14" s="1"/>
  <c r="H32" i="13" s="1"/>
  <c r="H78" i="5"/>
  <c r="G16" i="14" s="1"/>
  <c r="G32" i="13" s="1"/>
  <c r="F44" i="17" s="1"/>
  <c r="K15" i="4"/>
  <c r="D20" i="13" l="1"/>
  <c r="D18" i="14" s="1"/>
  <c r="C35" i="17" s="1"/>
  <c r="G93" i="6"/>
  <c r="I74" i="6"/>
  <c r="E17" i="13"/>
  <c r="E15" i="13"/>
  <c r="J20" i="6"/>
  <c r="F15" i="13"/>
  <c r="I50" i="4"/>
  <c r="F12" i="14" s="1"/>
  <c r="F28" i="13" s="1"/>
  <c r="E40" i="17" s="1"/>
  <c r="K42" i="4"/>
  <c r="M46" i="4"/>
  <c r="K47" i="4"/>
  <c r="L114" i="4"/>
  <c r="M114" i="4" s="1"/>
  <c r="L47" i="4"/>
  <c r="L80" i="4"/>
  <c r="M80" i="4" s="1"/>
  <c r="K50" i="4"/>
  <c r="G12" i="14" s="1"/>
  <c r="G28" i="13" s="1"/>
  <c r="M31" i="4"/>
  <c r="L48" i="4"/>
  <c r="M48" i="4" s="1"/>
  <c r="L115" i="4"/>
  <c r="M115" i="4" s="1"/>
  <c r="L81" i="4"/>
  <c r="M81" i="4" s="1"/>
  <c r="L41" i="4"/>
  <c r="L108" i="4"/>
  <c r="M108" i="4" s="1"/>
  <c r="L74" i="4"/>
  <c r="M74" i="4" s="1"/>
  <c r="M24" i="4"/>
  <c r="K117" i="4"/>
  <c r="G15" i="14" s="1"/>
  <c r="G31" i="13" s="1"/>
  <c r="F43" i="17" s="1"/>
  <c r="K83" i="4"/>
  <c r="G13" i="14" s="1"/>
  <c r="G29" i="13" s="1"/>
  <c r="F41" i="17" s="1"/>
  <c r="K33" i="4"/>
  <c r="G11" i="14" s="1"/>
  <c r="G33" i="13" s="1"/>
  <c r="F45" i="17" s="1"/>
  <c r="M23" i="4"/>
  <c r="L107" i="4"/>
  <c r="M107" i="4" s="1"/>
  <c r="L73" i="4"/>
  <c r="M73" i="4" s="1"/>
  <c r="M32" i="4"/>
  <c r="L116" i="4"/>
  <c r="M116" i="4" s="1"/>
  <c r="L82" i="4"/>
  <c r="M82" i="4" s="1"/>
  <c r="M25" i="4"/>
  <c r="L42" i="4"/>
  <c r="L109" i="4"/>
  <c r="M109" i="4" s="1"/>
  <c r="L75" i="4"/>
  <c r="M75" i="4" s="1"/>
  <c r="L111" i="4"/>
  <c r="M111" i="4" s="1"/>
  <c r="L77" i="4"/>
  <c r="M77" i="4" s="1"/>
  <c r="M27" i="4"/>
  <c r="H14" i="14"/>
  <c r="H30" i="13" s="1"/>
  <c r="G30" i="13"/>
  <c r="N69" i="12"/>
  <c r="Q69" i="12"/>
  <c r="S69" i="12"/>
  <c r="P69" i="12"/>
  <c r="D135" i="5"/>
  <c r="E26" i="13"/>
  <c r="C135" i="5"/>
  <c r="D26" i="13"/>
  <c r="C38" i="17" s="1"/>
  <c r="E134" i="5"/>
  <c r="E16" i="16"/>
  <c r="R69" i="12"/>
  <c r="O69" i="12"/>
  <c r="G36" i="17"/>
  <c r="G44" i="17"/>
  <c r="H6" i="14"/>
  <c r="H8" i="14" s="1"/>
  <c r="G6" i="14"/>
  <c r="G8" i="14" s="1"/>
  <c r="I90" i="6"/>
  <c r="J7" i="6"/>
  <c r="J50" i="6"/>
  <c r="G16" i="13" s="1"/>
  <c r="J83" i="6"/>
  <c r="G19" i="13" s="1"/>
  <c r="J81" i="6"/>
  <c r="G18" i="13" s="1"/>
  <c r="J33" i="6"/>
  <c r="J75" i="6"/>
  <c r="H90" i="6"/>
  <c r="G127" i="5"/>
  <c r="G128" i="5" s="1"/>
  <c r="H23" i="14" s="1"/>
  <c r="F128" i="5"/>
  <c r="G23" i="14" s="1"/>
  <c r="G112" i="5"/>
  <c r="G113" i="5" s="1"/>
  <c r="H22" i="14" s="1"/>
  <c r="F113" i="5"/>
  <c r="G22" i="14" s="1"/>
  <c r="D20" i="14" a="1"/>
  <c r="D21" i="13" l="1"/>
  <c r="K20" i="6"/>
  <c r="G15" i="13"/>
  <c r="J74" i="6"/>
  <c r="F17" i="13"/>
  <c r="G94" i="6"/>
  <c r="F40" i="17"/>
  <c r="M47" i="4"/>
  <c r="M41" i="4"/>
  <c r="M42" i="4"/>
  <c r="M117" i="4"/>
  <c r="H15" i="14" s="1"/>
  <c r="H31" i="13" s="1"/>
  <c r="G43" i="17" s="1"/>
  <c r="M83" i="4"/>
  <c r="H13" i="14" s="1"/>
  <c r="H29" i="13" s="1"/>
  <c r="G41" i="17" s="1"/>
  <c r="M33" i="4"/>
  <c r="H11" i="14" s="1"/>
  <c r="H33" i="13" s="1"/>
  <c r="G45" i="17" s="1"/>
  <c r="D38" i="17"/>
  <c r="E135" i="5"/>
  <c r="F26" i="13"/>
  <c r="E38" i="17" s="1"/>
  <c r="G134" i="5"/>
  <c r="G16" i="16"/>
  <c r="F134" i="5"/>
  <c r="F16" i="16"/>
  <c r="K83" i="6"/>
  <c r="H19" i="13" s="1"/>
  <c r="K50" i="6"/>
  <c r="H16" i="13" s="1"/>
  <c r="K7" i="6"/>
  <c r="K81" i="6"/>
  <c r="H18" i="13" s="1"/>
  <c r="K33" i="6"/>
  <c r="K75" i="6"/>
  <c r="J90" i="6"/>
  <c r="D20" i="14"/>
  <c r="E90" i="6"/>
  <c r="H93" i="6" s="1"/>
  <c r="G95" i="6" l="1"/>
  <c r="E20" i="13"/>
  <c r="H94" i="6"/>
  <c r="K74" i="6"/>
  <c r="G17" i="13"/>
  <c r="L20" i="6"/>
  <c r="H15" i="13"/>
  <c r="M50" i="4"/>
  <c r="H12" i="14" s="1"/>
  <c r="H28" i="13" s="1"/>
  <c r="G40" i="17" s="1"/>
  <c r="F135" i="5"/>
  <c r="G26" i="13"/>
  <c r="G135" i="5"/>
  <c r="H26" i="13"/>
  <c r="L81" i="6"/>
  <c r="L7" i="6"/>
  <c r="L50" i="6"/>
  <c r="L83" i="6"/>
  <c r="L33" i="6"/>
  <c r="L75" i="6"/>
  <c r="K90" i="6"/>
  <c r="L74" i="6" l="1"/>
  <c r="H17" i="13"/>
  <c r="E18" i="14"/>
  <c r="E21" i="13"/>
  <c r="G96" i="6"/>
  <c r="F20" i="13"/>
  <c r="H95" i="6"/>
  <c r="F38" i="17"/>
  <c r="G38" i="17"/>
  <c r="L90" i="6"/>
  <c r="H96" i="6" l="1"/>
  <c r="G97" i="6"/>
  <c r="G20" i="13"/>
  <c r="D35" i="17"/>
  <c r="E25" i="14"/>
  <c r="E26" i="14" s="1"/>
  <c r="F18" i="14"/>
  <c r="F21" i="13"/>
  <c r="E35" i="17" l="1"/>
  <c r="F25" i="14"/>
  <c r="F26" i="14" s="1"/>
  <c r="E27" i="14"/>
  <c r="E27" i="13" s="1"/>
  <c r="E35" i="13" s="1"/>
  <c r="G18" i="14"/>
  <c r="G21" i="13"/>
  <c r="H97" i="6"/>
  <c r="H20" i="13"/>
  <c r="F35" i="17" l="1"/>
  <c r="G25" i="14"/>
  <c r="G26" i="14" s="1"/>
  <c r="E28" i="14"/>
  <c r="F27" i="14"/>
  <c r="F27" i="13" s="1"/>
  <c r="H18" i="14"/>
  <c r="H21" i="13"/>
  <c r="F35" i="13" l="1"/>
  <c r="E39" i="17"/>
  <c r="D33" i="17"/>
  <c r="D16" i="15"/>
  <c r="D5" i="16"/>
  <c r="D6" i="16" s="1"/>
  <c r="D7" i="16" s="1"/>
  <c r="E45" i="13"/>
  <c r="F16" i="15"/>
  <c r="D17" i="16"/>
  <c r="C16" i="15"/>
  <c r="E16" i="15"/>
  <c r="G16" i="15"/>
  <c r="G35" i="17"/>
  <c r="H25" i="14"/>
  <c r="H26" i="14" s="1"/>
  <c r="G27" i="14"/>
  <c r="G27" i="13" s="1"/>
  <c r="F28" i="14"/>
  <c r="C11" i="3"/>
  <c r="C23" i="3" s="1"/>
  <c r="C24" i="3" s="1"/>
  <c r="G28" i="14" l="1"/>
  <c r="G34" i="15" s="1"/>
  <c r="H16" i="15"/>
  <c r="E19" i="11" s="1"/>
  <c r="E20" i="11"/>
  <c r="G24" i="15"/>
  <c r="C24" i="15"/>
  <c r="F24" i="15"/>
  <c r="E24" i="15"/>
  <c r="D24" i="15"/>
  <c r="H27" i="14"/>
  <c r="H27" i="13" s="1"/>
  <c r="E33" i="17"/>
  <c r="E47" i="17" s="1"/>
  <c r="E25" i="15"/>
  <c r="G25" i="15"/>
  <c r="C25" i="15"/>
  <c r="F45" i="13"/>
  <c r="F25" i="15"/>
  <c r="E5" i="16"/>
  <c r="E6" i="16" s="1"/>
  <c r="E7" i="16" s="1"/>
  <c r="D25" i="15"/>
  <c r="E17" i="16"/>
  <c r="F33" i="17"/>
  <c r="F17" i="16"/>
  <c r="D34" i="15"/>
  <c r="E34" i="15"/>
  <c r="G35" i="13"/>
  <c r="F39" i="17"/>
  <c r="D24" i="14"/>
  <c r="D25" i="14" s="1"/>
  <c r="D26" i="14" s="1"/>
  <c r="D27" i="14" s="1"/>
  <c r="C34" i="17"/>
  <c r="F34" i="15" l="1"/>
  <c r="C34" i="15"/>
  <c r="H34" i="15" s="1"/>
  <c r="G19" i="11" s="1"/>
  <c r="F5" i="16"/>
  <c r="F6" i="16" s="1"/>
  <c r="F7" i="16" s="1"/>
  <c r="G45" i="13"/>
  <c r="G20" i="11" s="1"/>
  <c r="F47" i="17"/>
  <c r="H28" i="14"/>
  <c r="H35" i="13"/>
  <c r="G39" i="17"/>
  <c r="C42" i="15"/>
  <c r="F42" i="15"/>
  <c r="E42" i="15"/>
  <c r="G42" i="15"/>
  <c r="H24" i="15"/>
  <c r="F33" i="15"/>
  <c r="C33" i="15"/>
  <c r="F20" i="11"/>
  <c r="G33" i="15"/>
  <c r="E33" i="15"/>
  <c r="D33" i="15"/>
  <c r="H25" i="15"/>
  <c r="F19" i="11" s="1"/>
  <c r="D28" i="14"/>
  <c r="D27" i="13"/>
  <c r="D42" i="15" l="1"/>
  <c r="H42" i="15" s="1"/>
  <c r="G33" i="17"/>
  <c r="G47" i="17" s="1"/>
  <c r="D43" i="15"/>
  <c r="G17" i="16"/>
  <c r="E43" i="15"/>
  <c r="H45" i="13"/>
  <c r="H20" i="11" s="1"/>
  <c r="F43" i="15"/>
  <c r="G43" i="15"/>
  <c r="C43" i="15"/>
  <c r="G5" i="16"/>
  <c r="G6" i="16" s="1"/>
  <c r="G7" i="16" s="1"/>
  <c r="H33" i="15"/>
  <c r="D35" i="13"/>
  <c r="D39" i="17"/>
  <c r="D47" i="17" s="1"/>
  <c r="C39" i="17"/>
  <c r="C5" i="16"/>
  <c r="C6" i="16" s="1"/>
  <c r="C7" i="16" s="1"/>
  <c r="C17" i="16"/>
  <c r="D7" i="15"/>
  <c r="D8" i="15" s="1"/>
  <c r="D10" i="15" s="1"/>
  <c r="D14" i="15" s="1"/>
  <c r="F7" i="15"/>
  <c r="F8" i="15" s="1"/>
  <c r="F10" i="15" s="1"/>
  <c r="F14" i="15" s="1"/>
  <c r="C33" i="17"/>
  <c r="E7" i="15"/>
  <c r="E8" i="15" s="1"/>
  <c r="E10" i="15" s="1"/>
  <c r="E14" i="15" s="1"/>
  <c r="D45" i="13"/>
  <c r="G7" i="15"/>
  <c r="G8" i="15" s="1"/>
  <c r="G10" i="15" s="1"/>
  <c r="G14" i="15" s="1"/>
  <c r="C7" i="15"/>
  <c r="H43" i="15" l="1"/>
  <c r="H19" i="11" s="1"/>
  <c r="D20" i="11"/>
  <c r="G15" i="15"/>
  <c r="G17" i="15" s="1"/>
  <c r="G19" i="15" s="1"/>
  <c r="G23" i="15" s="1"/>
  <c r="G26" i="15" s="1"/>
  <c r="G28" i="15" s="1"/>
  <c r="G32" i="15" s="1"/>
  <c r="G35" i="15" s="1"/>
  <c r="G37" i="15" s="1"/>
  <c r="G41" i="15" s="1"/>
  <c r="G44" i="15" s="1"/>
  <c r="G46" i="15" s="1"/>
  <c r="C15" i="15"/>
  <c r="D15" i="15"/>
  <c r="D17" i="15" s="1"/>
  <c r="D19" i="15" s="1"/>
  <c r="D23" i="15" s="1"/>
  <c r="D26" i="15" s="1"/>
  <c r="D28" i="15" s="1"/>
  <c r="D32" i="15" s="1"/>
  <c r="D35" i="15" s="1"/>
  <c r="D37" i="15" s="1"/>
  <c r="D41" i="15" s="1"/>
  <c r="D44" i="15" s="1"/>
  <c r="D46" i="15" s="1"/>
  <c r="H39" i="13" s="1"/>
  <c r="E15" i="15"/>
  <c r="E17" i="15" s="1"/>
  <c r="E19" i="15" s="1"/>
  <c r="E23" i="15" s="1"/>
  <c r="E26" i="15" s="1"/>
  <c r="E28" i="15" s="1"/>
  <c r="E32" i="15" s="1"/>
  <c r="E35" i="15" s="1"/>
  <c r="E37" i="15" s="1"/>
  <c r="E41" i="15" s="1"/>
  <c r="E44" i="15" s="1"/>
  <c r="E46" i="15" s="1"/>
  <c r="F15" i="15"/>
  <c r="F17" i="15" s="1"/>
  <c r="F19" i="15" s="1"/>
  <c r="F23" i="15" s="1"/>
  <c r="F26" i="15" s="1"/>
  <c r="F28" i="15" s="1"/>
  <c r="F32" i="15" s="1"/>
  <c r="F35" i="15" s="1"/>
  <c r="F37" i="15" s="1"/>
  <c r="F41" i="15" s="1"/>
  <c r="F44" i="15" s="1"/>
  <c r="F46" i="15" s="1"/>
  <c r="C47" i="17"/>
  <c r="C57" i="17" s="1"/>
  <c r="H7" i="15"/>
  <c r="D19" i="11" s="1"/>
  <c r="C8" i="15"/>
  <c r="H15" i="15" l="1"/>
  <c r="C10" i="15"/>
  <c r="H8" i="15"/>
  <c r="H10" i="15" s="1"/>
  <c r="D56" i="17"/>
  <c r="D57" i="17" s="1"/>
  <c r="D8" i="13"/>
  <c r="D11" i="13" s="1"/>
  <c r="D22" i="13" s="1"/>
  <c r="H40" i="13"/>
  <c r="H41" i="13" s="1"/>
  <c r="H42" i="13" s="1"/>
  <c r="H43" i="13" s="1"/>
  <c r="H44" i="13" s="1"/>
  <c r="H46" i="13" l="1"/>
  <c r="G19" i="16"/>
  <c r="E8" i="13"/>
  <c r="E11" i="13" s="1"/>
  <c r="E22" i="13" s="1"/>
  <c r="E56" i="17"/>
  <c r="E57" i="17" s="1"/>
  <c r="C18" i="16"/>
  <c r="C14" i="15"/>
  <c r="D39" i="13"/>
  <c r="D40" i="13" s="1"/>
  <c r="D41" i="13" s="1"/>
  <c r="D42" i="13" s="1"/>
  <c r="D43" i="13" s="1"/>
  <c r="D44" i="13" s="1"/>
  <c r="F22" i="11" l="1"/>
  <c r="D46" i="13"/>
  <c r="D48" i="13" s="1"/>
  <c r="C19" i="16"/>
  <c r="C17" i="15"/>
  <c r="H14" i="15"/>
  <c r="D18" i="16"/>
  <c r="F56" i="17"/>
  <c r="F57" i="17" s="1"/>
  <c r="F8" i="13"/>
  <c r="F11" i="13" s="1"/>
  <c r="F22" i="13" s="1"/>
  <c r="G22" i="11" l="1"/>
  <c r="G8" i="13"/>
  <c r="G11" i="13" s="1"/>
  <c r="G22" i="13" s="1"/>
  <c r="G56" i="17"/>
  <c r="G57" i="17" s="1"/>
  <c r="H8" i="13" s="1"/>
  <c r="H11" i="13" s="1"/>
  <c r="H22" i="13" s="1"/>
  <c r="E39" i="13"/>
  <c r="C19" i="15"/>
  <c r="C23" i="15" s="1"/>
  <c r="H17" i="15"/>
  <c r="H19" i="15" s="1"/>
  <c r="E18" i="16"/>
  <c r="H22" i="11" l="1"/>
  <c r="C26" i="15"/>
  <c r="H23" i="15"/>
  <c r="H48" i="13"/>
  <c r="G18" i="16"/>
  <c r="E40" i="13"/>
  <c r="E41" i="13" s="1"/>
  <c r="E42" i="13" s="1"/>
  <c r="E43" i="13" s="1"/>
  <c r="E44" i="13" s="1"/>
  <c r="F18" i="16"/>
  <c r="D19" i="16" l="1"/>
  <c r="E46" i="13"/>
  <c r="E48" i="13" s="1"/>
  <c r="H26" i="15"/>
  <c r="H28" i="15" s="1"/>
  <c r="C28" i="15"/>
  <c r="F39" i="13" l="1"/>
  <c r="F40" i="13" s="1"/>
  <c r="F41" i="13" s="1"/>
  <c r="F42" i="13" s="1"/>
  <c r="F43" i="13" s="1"/>
  <c r="F44" i="13" s="1"/>
  <c r="C32" i="15"/>
  <c r="C35" i="15" l="1"/>
  <c r="H32" i="15"/>
  <c r="F46" i="13"/>
  <c r="F48" i="13" s="1"/>
  <c r="E19" i="16"/>
  <c r="H35" i="15" l="1"/>
  <c r="H37" i="15" s="1"/>
  <c r="C37" i="15"/>
  <c r="C41" i="15" l="1"/>
  <c r="G39" i="13"/>
  <c r="G40" i="13" l="1"/>
  <c r="G41" i="13" s="1"/>
  <c r="G42" i="13" s="1"/>
  <c r="G43" i="13" s="1"/>
  <c r="C44" i="15"/>
  <c r="H41" i="15"/>
  <c r="G44" i="13" l="1"/>
  <c r="F19" i="16" s="1"/>
  <c r="H44" i="15"/>
  <c r="H46" i="15" s="1"/>
  <c r="C46" i="15"/>
  <c r="G46" i="13" l="1"/>
  <c r="G48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<sst xmlns="http://schemas.openxmlformats.org/spreadsheetml/2006/main" count="1015" uniqueCount="612">
  <si>
    <t>CAPITAL</t>
  </si>
  <si>
    <t>Capital</t>
  </si>
  <si>
    <t>Time of Organization</t>
  </si>
  <si>
    <t>Initial</t>
  </si>
  <si>
    <t>Retained Earnings</t>
  </si>
  <si>
    <t>Total</t>
  </si>
  <si>
    <t>SCHEDULE OF STAFF EXPENSE</t>
  </si>
  <si>
    <t>Personnel</t>
  </si>
  <si>
    <t>No. of Employees</t>
  </si>
  <si>
    <t>Monthly Rate</t>
  </si>
  <si>
    <t>Annual Rate</t>
  </si>
  <si>
    <t>13th Month Pay</t>
  </si>
  <si>
    <t>SSS</t>
  </si>
  <si>
    <t>Philhealth</t>
  </si>
  <si>
    <t>Pagibig</t>
  </si>
  <si>
    <t>Monthly</t>
  </si>
  <si>
    <t>General Manager</t>
  </si>
  <si>
    <t>Total Annual Salary</t>
  </si>
  <si>
    <t>Total Annual Benefit</t>
  </si>
  <si>
    <t>SCHEDULE OF SUPPLIES AND EQUIPMENT</t>
  </si>
  <si>
    <t>Supplies</t>
  </si>
  <si>
    <t>No. of items</t>
  </si>
  <si>
    <t>Unit Cost</t>
  </si>
  <si>
    <t>Total Cost</t>
  </si>
  <si>
    <t>SALES PROJECTION</t>
  </si>
  <si>
    <t>Meal Time</t>
  </si>
  <si>
    <t>Lunch</t>
  </si>
  <si>
    <t>Dinner</t>
  </si>
  <si>
    <t>Expenses</t>
  </si>
  <si>
    <t>Desired Profit</t>
  </si>
  <si>
    <t>Forecasted Daily Sales</t>
  </si>
  <si>
    <t>Forecasted Monthly</t>
  </si>
  <si>
    <t>Forecasted Annual</t>
  </si>
  <si>
    <t>Schedule of Total Project Costs</t>
  </si>
  <si>
    <t>Lease Deposit (6 months)</t>
  </si>
  <si>
    <t>Leasehold Improvements</t>
  </si>
  <si>
    <t>Kitchen Equipment</t>
  </si>
  <si>
    <t>Furniture and Fixtures</t>
  </si>
  <si>
    <t>Point of Sale (POS) Systems</t>
  </si>
  <si>
    <t>Initial Inventory</t>
  </si>
  <si>
    <t>INITIAL WORKING CAPITAL</t>
  </si>
  <si>
    <t>Permits and Licenses</t>
  </si>
  <si>
    <t>Hiring and Training</t>
  </si>
  <si>
    <t>Pre-operating marketing/Promotonal Expenses</t>
  </si>
  <si>
    <t>Marketing Campaigns</t>
  </si>
  <si>
    <t>Website Development</t>
  </si>
  <si>
    <t>Branding and Design</t>
  </si>
  <si>
    <t>Grand Opening Event</t>
  </si>
  <si>
    <t>BreakDown</t>
  </si>
  <si>
    <t xml:space="preserve">Lease Deposit </t>
  </si>
  <si>
    <t>Months</t>
  </si>
  <si>
    <t>Accounting/Consulting Fees</t>
  </si>
  <si>
    <t>Wifi-Set up</t>
  </si>
  <si>
    <t>Transporatation Cost</t>
  </si>
  <si>
    <t>Operating Supplies</t>
  </si>
  <si>
    <t>Assistant Manager</t>
  </si>
  <si>
    <t>Host/Hostess</t>
  </si>
  <si>
    <t>Servers/Waitstaff</t>
  </si>
  <si>
    <t>Bartender</t>
  </si>
  <si>
    <t>Head Chef/Executive Chef</t>
  </si>
  <si>
    <t>Line Cooks</t>
  </si>
  <si>
    <t>Dishwashers</t>
  </si>
  <si>
    <t>Cashier</t>
  </si>
  <si>
    <t>Prep Cook</t>
  </si>
  <si>
    <t>HR/Administrative Assistant</t>
  </si>
  <si>
    <t>SCHEDULE OF SUPPLIES EXPENSE</t>
  </si>
  <si>
    <t>SCHEDULE OF FIXED ASSET EXPENSE</t>
  </si>
  <si>
    <t>Estimated Useful Life</t>
  </si>
  <si>
    <t>General Leasehold Improvements</t>
  </si>
  <si>
    <t>POS Terminals</t>
  </si>
  <si>
    <t>Peripheral Devices</t>
  </si>
  <si>
    <t>Cash Register</t>
  </si>
  <si>
    <t>Receipt Printers</t>
  </si>
  <si>
    <t>Barcode scanners</t>
  </si>
  <si>
    <t>Card readers</t>
  </si>
  <si>
    <t>HVAC System</t>
  </si>
  <si>
    <t>Lighting System</t>
  </si>
  <si>
    <t>Cooking Equipment</t>
  </si>
  <si>
    <t>Refrigeration and Storage</t>
  </si>
  <si>
    <t>Beverage Equipment</t>
  </si>
  <si>
    <t>Dining Furniture</t>
  </si>
  <si>
    <t>Play Area</t>
  </si>
  <si>
    <t>Dining Tableware</t>
  </si>
  <si>
    <t>Serving Platters</t>
  </si>
  <si>
    <t>Restroom Upgrades ( 2 Restrooms)</t>
  </si>
  <si>
    <t>Depreciation per year</t>
  </si>
  <si>
    <t>Cost Per Unit</t>
  </si>
  <si>
    <t>TOTAL FIXED ASSET EXPENSE</t>
  </si>
  <si>
    <t>Total Depreciation</t>
  </si>
  <si>
    <t>MONTHLY</t>
  </si>
  <si>
    <t>SSS (9.5%)</t>
  </si>
  <si>
    <t>Employee Benefit</t>
  </si>
  <si>
    <t>Kitchen Supplies</t>
  </si>
  <si>
    <t>SCHEDULE OF PRE-OPERATING EXPENSE</t>
  </si>
  <si>
    <t>Pre-operating Costs</t>
  </si>
  <si>
    <t>Delivery Fees for Equipment and Supplies</t>
  </si>
  <si>
    <t>Initial Stock Delivery</t>
  </si>
  <si>
    <t>Transportation for Marketing Materials</t>
  </si>
  <si>
    <t>Installation Fee</t>
  </si>
  <si>
    <t>Recruitment Costs</t>
  </si>
  <si>
    <t>Training Materials</t>
  </si>
  <si>
    <t>Staff Training Hours (1st month)</t>
  </si>
  <si>
    <t>Business Registration</t>
  </si>
  <si>
    <t>Health Permits</t>
  </si>
  <si>
    <t>SEC Registration Fee</t>
  </si>
  <si>
    <t>Documentary Stamp Tax</t>
  </si>
  <si>
    <t>Local Business Permit</t>
  </si>
  <si>
    <t>Barangay Clearance</t>
  </si>
  <si>
    <t>Accounting/Bookkeeping (monthly)</t>
  </si>
  <si>
    <t>Sanitary Permit</t>
  </si>
  <si>
    <t>Food Handler's Permit</t>
  </si>
  <si>
    <t>Business License</t>
  </si>
  <si>
    <t>Building Inspection Certificate</t>
  </si>
  <si>
    <t>Health Certificate</t>
  </si>
  <si>
    <t>Food Safety Inspection</t>
  </si>
  <si>
    <t>Waste Management Permit</t>
  </si>
  <si>
    <t xml:space="preserve"> In Peso (₱)</t>
  </si>
  <si>
    <t>Food Handler's Permit (₱500) Per Employee</t>
  </si>
  <si>
    <t>Number of Employees</t>
  </si>
  <si>
    <t>Health Certificate (₱200) Per Employee</t>
  </si>
  <si>
    <t>Fire Safety Inspection Certificate (FSIC)</t>
  </si>
  <si>
    <t>Fire Safety Compliance Certificate (FSCC)</t>
  </si>
  <si>
    <t xml:space="preserve">Fire Safety </t>
  </si>
  <si>
    <t xml:space="preserve">Fire Extinguishers </t>
  </si>
  <si>
    <t>First Aid</t>
  </si>
  <si>
    <t>Emergency Response Plan</t>
  </si>
  <si>
    <t>Basic life support certification</t>
  </si>
  <si>
    <t>First Aid Kit</t>
  </si>
  <si>
    <t>First Aid Training</t>
  </si>
  <si>
    <t xml:space="preserve">Basic life support certification (₱2,000) Per Employee </t>
  </si>
  <si>
    <t>BIR Tax Registration Fees</t>
  </si>
  <si>
    <t>Business Plan Development</t>
  </si>
  <si>
    <t>Payroll System Setup</t>
  </si>
  <si>
    <t>FIXED ASSETS</t>
  </si>
  <si>
    <t>Transportation Cost</t>
  </si>
  <si>
    <t>Total Pre-operating Costs</t>
  </si>
  <si>
    <t>Longganisa</t>
  </si>
  <si>
    <t>Embutido</t>
  </si>
  <si>
    <t>Tomatoes</t>
  </si>
  <si>
    <t>Calamansi</t>
  </si>
  <si>
    <t>Baguette</t>
  </si>
  <si>
    <t>Pandesal</t>
  </si>
  <si>
    <t>Tablea</t>
  </si>
  <si>
    <t>Ingredients</t>
  </si>
  <si>
    <t>Digital Marketing (Social Media Ads)</t>
  </si>
  <si>
    <t>Domain Registration and Hosting</t>
  </si>
  <si>
    <t>Website Design and Development</t>
  </si>
  <si>
    <t>Logo Design</t>
  </si>
  <si>
    <t>Menu Design</t>
  </si>
  <si>
    <t>Branded Materials (Business Cards, Flyers)</t>
  </si>
  <si>
    <t>Food and Beverage Samples</t>
  </si>
  <si>
    <t>Decorations</t>
  </si>
  <si>
    <t>Promotional Giveaways</t>
  </si>
  <si>
    <t>Photography/Videography</t>
  </si>
  <si>
    <t>Total Marketing/Promotional Expenses</t>
  </si>
  <si>
    <t>Initial Working Capital</t>
  </si>
  <si>
    <t>Utilities Expense</t>
  </si>
  <si>
    <t>Electricity Charges</t>
  </si>
  <si>
    <t>Water Charges</t>
  </si>
  <si>
    <t>Gas/Propane</t>
  </si>
  <si>
    <t>Waste Disposal</t>
  </si>
  <si>
    <t>Sewer Charges</t>
  </si>
  <si>
    <t>Chili</t>
  </si>
  <si>
    <t>Salt</t>
  </si>
  <si>
    <t>Chicken tocino</t>
  </si>
  <si>
    <t>Garlic</t>
  </si>
  <si>
    <t>Olive oil</t>
  </si>
  <si>
    <t>Malunggay leaves</t>
  </si>
  <si>
    <t>Parmesan cheese</t>
  </si>
  <si>
    <t>Squid</t>
  </si>
  <si>
    <t>All-purpose flour</t>
  </si>
  <si>
    <t>Cornstarch</t>
  </si>
  <si>
    <t>Paprika</t>
  </si>
  <si>
    <t>Egg</t>
  </si>
  <si>
    <t>Breadcrumbs</t>
  </si>
  <si>
    <t>Oil, canola</t>
  </si>
  <si>
    <t>All purpose cream</t>
  </si>
  <si>
    <t>Cheesy Pesto sauce</t>
  </si>
  <si>
    <t>Mayonnaise</t>
  </si>
  <si>
    <t>Cucumber</t>
  </si>
  <si>
    <t>Red onion</t>
  </si>
  <si>
    <t>Red wine vinegar</t>
  </si>
  <si>
    <t>Lemon juice</t>
  </si>
  <si>
    <t>Romaine lettuce</t>
  </si>
  <si>
    <t>Salted eggs</t>
  </si>
  <si>
    <t>Chicken breast</t>
  </si>
  <si>
    <t>Heavy cream</t>
  </si>
  <si>
    <t>Pesto sauce</t>
  </si>
  <si>
    <t>Rice</t>
  </si>
  <si>
    <t>Beef sirloin</t>
  </si>
  <si>
    <t>Italian herbs (mixed)</t>
  </si>
  <si>
    <t>Worcestershire sauce</t>
  </si>
  <si>
    <t>Red wine (optional)</t>
  </si>
  <si>
    <t>Tilapia fillets</t>
  </si>
  <si>
    <t>Garlic powder</t>
  </si>
  <si>
    <t>Ziti pasta</t>
  </si>
  <si>
    <t>Filipino-style spaghetti sauce</t>
  </si>
  <si>
    <t>Mozzarella cheese</t>
  </si>
  <si>
    <t>Pasta, linguine</t>
  </si>
  <si>
    <t>Lasagna sheets</t>
  </si>
  <si>
    <t>Tuna flakes</t>
  </si>
  <si>
    <t>Quick-melt cheese</t>
  </si>
  <si>
    <t>Ricotta cheese</t>
  </si>
  <si>
    <t>Ground pork</t>
  </si>
  <si>
    <t>Canned tuna</t>
  </si>
  <si>
    <t>Pizza crust</t>
  </si>
  <si>
    <t>Bell peppers</t>
  </si>
  <si>
    <t>Adobo flakes</t>
  </si>
  <si>
    <t>Pizza sauce</t>
  </si>
  <si>
    <t>Mascarpone cheese</t>
  </si>
  <si>
    <t>Ube halaya (jam)</t>
  </si>
  <si>
    <t>Sugar</t>
  </si>
  <si>
    <t>Ladyfingers</t>
  </si>
  <si>
    <t>Coffee (brewed)</t>
  </si>
  <si>
    <t>Cocoa powder</t>
  </si>
  <si>
    <t>Dark chocolate shavings</t>
  </si>
  <si>
    <t>Milk</t>
  </si>
  <si>
    <t>Gelatin powder</t>
  </si>
  <si>
    <t>Vanilla extract</t>
  </si>
  <si>
    <t>Pastillas</t>
  </si>
  <si>
    <t>Fruit cocktail</t>
  </si>
  <si>
    <t>Espresso shots</t>
  </si>
  <si>
    <t>Milo powder</t>
  </si>
  <si>
    <t>Green tea bags</t>
  </si>
  <si>
    <t>Honey</t>
  </si>
  <si>
    <t>Sweetened condensed milk</t>
  </si>
  <si>
    <t>Pandan extract</t>
  </si>
  <si>
    <t>Ice cubes</t>
  </si>
  <si>
    <t>Coconut jelly (nata de coco)</t>
  </si>
  <si>
    <t>Black tea bags</t>
  </si>
  <si>
    <t>Poultry Products:</t>
  </si>
  <si>
    <t>Amount Used (g)</t>
  </si>
  <si>
    <t>Fish/Seafood:</t>
  </si>
  <si>
    <t>Beef:</t>
  </si>
  <si>
    <t>Pork:</t>
  </si>
  <si>
    <t>Vegetables:</t>
  </si>
  <si>
    <t>Fresh basil leaves/Basil</t>
  </si>
  <si>
    <t>Dairy Products:</t>
  </si>
  <si>
    <t>Condiments &amp; Sauces:</t>
  </si>
  <si>
    <t>Balsamic vinegar</t>
  </si>
  <si>
    <t>Baked Goods &amp; Grains:</t>
  </si>
  <si>
    <t>Spices &amp; Seasonings:</t>
  </si>
  <si>
    <t>Oils &amp; Fats:</t>
  </si>
  <si>
    <t>Flour &amp; Starches:</t>
  </si>
  <si>
    <t>Beverages &amp; Liquids:</t>
  </si>
  <si>
    <t>Water (Hot/cold)</t>
  </si>
  <si>
    <t>Sweeteners:</t>
  </si>
  <si>
    <t>Fruits:</t>
  </si>
  <si>
    <t>Lemon Slices/wedges</t>
  </si>
  <si>
    <t>Quantity (g)</t>
  </si>
  <si>
    <t>Expected Daily Usage (100 Meals/Customer)</t>
  </si>
  <si>
    <t>Initial Inventory (1 Week)</t>
  </si>
  <si>
    <t>SCHEDULE OF CAPITAL CONTRIBUTION</t>
  </si>
  <si>
    <t>Christadel Joy Escalona</t>
  </si>
  <si>
    <t>Christine Joy Karasig</t>
  </si>
  <si>
    <t>Edric Hernandez</t>
  </si>
  <si>
    <t>Renee Kyle Capellan</t>
  </si>
  <si>
    <t>Ysabel Victoria Lozada</t>
  </si>
  <si>
    <t>PHIC (2.25%)</t>
  </si>
  <si>
    <t>HDMF   (₱100)</t>
  </si>
  <si>
    <t>SALARIES AND WAGES</t>
  </si>
  <si>
    <t>SALARIES AND OTHER BENEFITS</t>
  </si>
  <si>
    <t>SSS CONTRIBUTIONS</t>
  </si>
  <si>
    <t>PHIC CONTRIBUTIONS</t>
  </si>
  <si>
    <t>HDMF CONTRIBUTIONS</t>
  </si>
  <si>
    <t>Total HDMF Contributions</t>
  </si>
  <si>
    <t>Total PHIC Contributions</t>
  </si>
  <si>
    <t>Total SSS Contributions</t>
  </si>
  <si>
    <t>Total 13th Month Pay</t>
  </si>
  <si>
    <t>Internet Monthly Subscription Fee</t>
  </si>
  <si>
    <t>SUMMARY OF UTILITIES</t>
  </si>
  <si>
    <t>Monthly Estimates</t>
  </si>
  <si>
    <t>No. of Months</t>
  </si>
  <si>
    <t>Note: Annual Increase of 3%</t>
  </si>
  <si>
    <t>Utilities</t>
  </si>
  <si>
    <t>SUMMARY OF PROFESSIONAL FEES</t>
  </si>
  <si>
    <t>Professional Fee</t>
  </si>
  <si>
    <t>Bookkeeping</t>
  </si>
  <si>
    <t>Traditional Marketing (Flyers, Posters)</t>
  </si>
  <si>
    <t>Marketing Expense</t>
  </si>
  <si>
    <t>Note: Annual Increase of 5%</t>
  </si>
  <si>
    <t>SCHEDULE OF  MARKETING/PROMOTIONAL EXPENSES</t>
  </si>
  <si>
    <t>Pre-operating Marketing  Costs</t>
  </si>
  <si>
    <t>SUMMARY OF SUPPLIES EXPENSE</t>
  </si>
  <si>
    <t>Supplies Expense</t>
  </si>
  <si>
    <t>Operating Supplies Expense</t>
  </si>
  <si>
    <t>SUMMARY OF TRANSPORTATION EXPENSE</t>
  </si>
  <si>
    <t>RENT EXPENSE</t>
  </si>
  <si>
    <t>Assumptions:</t>
  </si>
  <si>
    <r>
      <t xml:space="preserve">Monthly Budget for rental will be </t>
    </r>
    <r>
      <rPr>
        <sz val="11"/>
        <color theme="1"/>
        <rFont val="Aptos Narrow"/>
        <family val="2"/>
      </rPr>
      <t>₱</t>
    </r>
    <r>
      <rPr>
        <sz val="11"/>
        <color theme="1"/>
        <rFont val="Aptos Narrow"/>
        <family val="2"/>
        <scheme val="minor"/>
      </rPr>
      <t>70,000 per month</t>
    </r>
  </si>
  <si>
    <t>Rent Expense per year</t>
  </si>
  <si>
    <t>MISCELLANEOUS EXPENSE</t>
  </si>
  <si>
    <r>
      <t xml:space="preserve">Monthly Budget for Miscellaneous expenses will be </t>
    </r>
    <r>
      <rPr>
        <sz val="11"/>
        <color theme="1"/>
        <rFont val="Aptos Narrow"/>
        <family val="2"/>
      </rPr>
      <t>₱</t>
    </r>
    <r>
      <rPr>
        <sz val="11"/>
        <color theme="1"/>
        <rFont val="Aptos Narrow"/>
        <family val="2"/>
        <scheme val="minor"/>
      </rPr>
      <t>1,000</t>
    </r>
  </si>
  <si>
    <t>Miscellaneous expenses</t>
  </si>
  <si>
    <t>FILITALIA CUCINA</t>
  </si>
  <si>
    <t>Sales Projection</t>
  </si>
  <si>
    <t>Sales</t>
  </si>
  <si>
    <t>Selling Price</t>
  </si>
  <si>
    <t>Qty</t>
  </si>
  <si>
    <t>APPETIZERS</t>
  </si>
  <si>
    <t>Tocino Bruschetta</t>
  </si>
  <si>
    <t>Pesto Calamari</t>
  </si>
  <si>
    <t>SALADS</t>
  </si>
  <si>
    <t>Panzanella</t>
  </si>
  <si>
    <t>Salted Egg Caesar Salad</t>
  </si>
  <si>
    <t>MAIN DISHES</t>
  </si>
  <si>
    <t>Grilled Chicken with Pesto and Calamansi</t>
  </si>
  <si>
    <t>Beef Salpicao</t>
  </si>
  <si>
    <t>Baked Tilapia with Tomato Basil Salsa</t>
  </si>
  <si>
    <t>PASTA</t>
  </si>
  <si>
    <t>Baked Ziti with Longganisa</t>
  </si>
  <si>
    <t>Carbonara with Tocino</t>
  </si>
  <si>
    <t>Lasagna</t>
  </si>
  <si>
    <t>SANDWICH &amp; PIZZA</t>
  </si>
  <si>
    <t>Embutido and Ricotta Sandwich</t>
  </si>
  <si>
    <t>Pinoy-Italian Meatball Sub</t>
  </si>
  <si>
    <t>Tuna Sisig Pizza</t>
  </si>
  <si>
    <t>Adobo Pizza</t>
  </si>
  <si>
    <t>DESSERTS</t>
  </si>
  <si>
    <t>Ube Tiramisu</t>
  </si>
  <si>
    <t>Pastillas Panna Cotta</t>
  </si>
  <si>
    <t>HOT BEVERAGES</t>
  </si>
  <si>
    <t>Milo Espresso Shot</t>
  </si>
  <si>
    <t>Tablea Cappuccino</t>
  </si>
  <si>
    <t>COLD BEVERAGES</t>
  </si>
  <si>
    <t>Buko Pandan Iced Latte</t>
  </si>
  <si>
    <t>Basil Iced Tea</t>
  </si>
  <si>
    <t>Cost of Sales</t>
  </si>
  <si>
    <t>Rate</t>
  </si>
  <si>
    <t>Adjusted Distribution</t>
  </si>
  <si>
    <t>Annual Serving</t>
  </si>
  <si>
    <t>Serving Per Food Item</t>
  </si>
  <si>
    <t>SALADS ( 10% of meals)</t>
  </si>
  <si>
    <t>DESSERTS (5% of meals)</t>
  </si>
  <si>
    <t>HOT BEVERAGES ( 2.5% of meals )</t>
  </si>
  <si>
    <t>COLD BEVERAGES ( 2.5% of meals)</t>
  </si>
  <si>
    <t>SUMMARY OF DISTRIBUTION</t>
  </si>
  <si>
    <t>Note: *See Summary of Distribution (For the Quantity)</t>
  </si>
  <si>
    <t>*Increase of 10% Annually</t>
  </si>
  <si>
    <t>APPETIZERS (5% of meals)</t>
  </si>
  <si>
    <t>MAIN DISHES (50% of meals)</t>
  </si>
  <si>
    <t>PASTA ( 12.5% of meals )</t>
  </si>
  <si>
    <t>SANDWICH &amp; PIZZA ( 12.5% of meals)</t>
  </si>
  <si>
    <t>Expected Weekly Usage (g)</t>
  </si>
  <si>
    <t>Black pepper</t>
  </si>
  <si>
    <t>STATEMENT OF CHANGES IN PARTNERS' EQUITY</t>
  </si>
  <si>
    <t>AS OF YEAR ENDING</t>
  </si>
  <si>
    <t>Beg. Balance</t>
  </si>
  <si>
    <t>ESCALONA</t>
  </si>
  <si>
    <t>KARASIG</t>
  </si>
  <si>
    <t>HERNANDEZ</t>
  </si>
  <si>
    <t>CAPELLAN</t>
  </si>
  <si>
    <t>LOZADA</t>
  </si>
  <si>
    <t>Add: Share in Net Income</t>
  </si>
  <si>
    <t>TOTAL</t>
  </si>
  <si>
    <t>Less: Withdrawal</t>
  </si>
  <si>
    <t>Total Partners' Equity</t>
  </si>
  <si>
    <t>INCOME STATEMENT</t>
  </si>
  <si>
    <t>FOR THE YEARS ENDED</t>
  </si>
  <si>
    <t>Gross Profit</t>
  </si>
  <si>
    <t>Notes</t>
  </si>
  <si>
    <t>Operating Expenses</t>
  </si>
  <si>
    <t>Salaries and Wages</t>
  </si>
  <si>
    <t>SSS Contribution</t>
  </si>
  <si>
    <t>PHIC Contribution</t>
  </si>
  <si>
    <t>HDMF Contribution</t>
  </si>
  <si>
    <t>Professional Fees</t>
  </si>
  <si>
    <t>Transportation Expense</t>
  </si>
  <si>
    <t>Depreciation Expense</t>
  </si>
  <si>
    <t>Rent Expense</t>
  </si>
  <si>
    <t>Miscellaneous Expenses</t>
  </si>
  <si>
    <t>Net Income Tax Before Tax</t>
  </si>
  <si>
    <t>Note: Annual Increase of 2%</t>
  </si>
  <si>
    <t>Transportation  Expense</t>
  </si>
  <si>
    <t>Miscellaneous Expense</t>
  </si>
  <si>
    <t>STATEMENT OF FINANCIAL POSITION</t>
  </si>
  <si>
    <t>ASSETS</t>
  </si>
  <si>
    <t>Cash</t>
  </si>
  <si>
    <t>Inventories</t>
  </si>
  <si>
    <t>YEARLY</t>
  </si>
  <si>
    <t>CONSOLIDATED SALES PROJECTION</t>
  </si>
  <si>
    <t xml:space="preserve">Cost of Sales </t>
  </si>
  <si>
    <t>ACCUMULATED DEPRECIATION</t>
  </si>
  <si>
    <t>FINANCIAL RATIOS</t>
  </si>
  <si>
    <t xml:space="preserve">Capitalization </t>
  </si>
  <si>
    <t>Cash Received From Partners</t>
  </si>
  <si>
    <t>Partner Name</t>
  </si>
  <si>
    <t>Cash Contribution</t>
  </si>
  <si>
    <t xml:space="preserve">Initial Popularity  </t>
  </si>
  <si>
    <t>December 31</t>
  </si>
  <si>
    <t>VAT Payable</t>
  </si>
  <si>
    <t>Note: 12% VAT rate if gross annual sales or receipts exceed ₱3 million.</t>
  </si>
  <si>
    <t>SUMMARY OF TAXES AND LICENSES</t>
  </si>
  <si>
    <t>Income Tax Payable</t>
  </si>
  <si>
    <t>Income Tax Payable  (25%)</t>
  </si>
  <si>
    <t>Contingency</t>
  </si>
  <si>
    <t xml:space="preserve">AS OF YEAR ENDING </t>
  </si>
  <si>
    <t>Net Income Tax After Tax</t>
  </si>
  <si>
    <t>Prepaid Rent</t>
  </si>
  <si>
    <t>Total Current Assets</t>
  </si>
  <si>
    <t>Non-current Assets</t>
  </si>
  <si>
    <t>Accumulated Depreciation</t>
  </si>
  <si>
    <t>Total Non-current Assets</t>
  </si>
  <si>
    <t>Total Assets</t>
  </si>
  <si>
    <t>Y2</t>
  </si>
  <si>
    <t>Y3</t>
  </si>
  <si>
    <t>Y4</t>
  </si>
  <si>
    <t>Y5</t>
  </si>
  <si>
    <t>LIABILITIES AND PARTNERS' EQUITY</t>
  </si>
  <si>
    <t>Current Liabilities</t>
  </si>
  <si>
    <t>Partners' Capital</t>
  </si>
  <si>
    <t xml:space="preserve">Escalona </t>
  </si>
  <si>
    <t>Karasig</t>
  </si>
  <si>
    <t>Hernandez</t>
  </si>
  <si>
    <t xml:space="preserve">Capellan </t>
  </si>
  <si>
    <t>Lozada</t>
  </si>
  <si>
    <t>13th Month</t>
  </si>
  <si>
    <t>TOTAL LIABILITIES AND PARTNERS'S EQUITY</t>
  </si>
  <si>
    <t>Utilities Payable</t>
  </si>
  <si>
    <t>Salaries Payable</t>
  </si>
  <si>
    <t>Rent Payable</t>
  </si>
  <si>
    <t>Total Current Liabilities</t>
  </si>
  <si>
    <t>CHECKING/BALANCE</t>
  </si>
  <si>
    <t>Current  Assets</t>
  </si>
  <si>
    <t>Note 1</t>
  </si>
  <si>
    <t>Note 2</t>
  </si>
  <si>
    <t>Note 5</t>
  </si>
  <si>
    <t>Note 6</t>
  </si>
  <si>
    <t>Note 9</t>
  </si>
  <si>
    <t>Note 7</t>
  </si>
  <si>
    <t>Note 8</t>
  </si>
  <si>
    <t>Note 3</t>
  </si>
  <si>
    <t>Note 4</t>
  </si>
  <si>
    <t>Note 10</t>
  </si>
  <si>
    <t>Note 11</t>
  </si>
  <si>
    <t>Total Pre-Operating Supplies Expense</t>
  </si>
  <si>
    <t>Note 12</t>
  </si>
  <si>
    <t>Touchscreen monitors (KwikPOS)</t>
  </si>
  <si>
    <t>Frezmac SS 2 Door Undercounter Freezer</t>
  </si>
  <si>
    <t>Undercounter Chiller</t>
  </si>
  <si>
    <t>Modelux Gas 6 Open
Burner 36" MDX-OB36-M</t>
  </si>
  <si>
    <t>Redor Tabletop Gas Fryer</t>
  </si>
  <si>
    <t>ELDA CDH Professional Hood</t>
  </si>
  <si>
    <t>Three Layer Stainless Preparation Table</t>
  </si>
  <si>
    <t>Compartment Dispenser</t>
  </si>
  <si>
    <t>KHIND Stand Mixer</t>
  </si>
  <si>
    <t>Hamden Stainless Steel Sink with Regular Waste Drain</t>
  </si>
  <si>
    <t>MSM Grease Trap 50L</t>
  </si>
  <si>
    <t xml:space="preserve"> Birke Kitchen Faucet</t>
  </si>
  <si>
    <t>Sefa Grab Bar</t>
  </si>
  <si>
    <t>Pozzi Amela Lavatory with Half Pedestal</t>
  </si>
  <si>
    <t>Sefa Lavatory Faucet</t>
  </si>
  <si>
    <t>Birke Hand Bidet Set</t>
  </si>
  <si>
    <t>P.Tech Quartz Stone Countertop</t>
  </si>
  <si>
    <t>Zest Linear Pendant Light</t>
  </si>
  <si>
    <t>Ikea TÄLLBYN Pendant lamp</t>
  </si>
  <si>
    <t>Alphalux Pendant Lamp 3xe27</t>
  </si>
  <si>
    <t>Alphalux Round Recessed Downlight</t>
  </si>
  <si>
    <t>Alphalux Emergency &amp; Safety Series Led Emergency Lights</t>
  </si>
  <si>
    <t>Lachie Rattan Dining Chair with Cushion</t>
  </si>
  <si>
    <t>Abaca Placemats</t>
  </si>
  <si>
    <t>Heim Polyester/Steel Banana Umbrella Series Cantilever Patio Umbrella</t>
  </si>
  <si>
    <t>Baumann Professional Espresso Machine with Grinder</t>
  </si>
  <si>
    <t>SANDEN Cake Showcase</t>
  </si>
  <si>
    <t>TCL Ceiling Cassette
Non-Inverter Air conditioner</t>
  </si>
  <si>
    <t>CAMBRO Cam shelving</t>
  </si>
  <si>
    <t>Mariwasa White Quarry Floor Tiles</t>
  </si>
  <si>
    <t>Mariwasa Ceramic Tiles</t>
  </si>
  <si>
    <t>EKBACKEN Countertop</t>
  </si>
  <si>
    <t>Ikea GODIS Glassware</t>
  </si>
  <si>
    <t>Ikea UPPLAGA Cup and saucer</t>
  </si>
  <si>
    <t>Ikea Vardagen Grill Pan</t>
  </si>
  <si>
    <t>Wokbang German Stainless Steel Kitchen Knife Set</t>
  </si>
  <si>
    <t>Aokiwo 6-Piece Wooden Cooking Spoon</t>
  </si>
  <si>
    <t>Ikea BÄCKRÖDING Spatula</t>
  </si>
  <si>
    <t>Ikea GRUNKA 4- piece kitchen utensil</t>
  </si>
  <si>
    <t>Ikea FINMAT Whisk and Tong</t>
  </si>
  <si>
    <t>Ikea MAGASIN Pizza Rolling pin and Cutter</t>
  </si>
  <si>
    <t>KitchenPro Cutting boards</t>
  </si>
  <si>
    <t>Vegetable Peelers</t>
  </si>
  <si>
    <t>Graters</t>
  </si>
  <si>
    <t>Measuring Cups</t>
  </si>
  <si>
    <t>Measuring Spoons</t>
  </si>
  <si>
    <t>Mixing Bowls</t>
  </si>
  <si>
    <t>Colanders</t>
  </si>
  <si>
    <t>Strainers</t>
  </si>
  <si>
    <t>Kitchen Scales</t>
  </si>
  <si>
    <t>Ikea MAGASIN Pizza Cutter</t>
  </si>
  <si>
    <t>Pastry Brushes</t>
  </si>
  <si>
    <t>Can Openers</t>
  </si>
  <si>
    <t>Kitchen Scissors</t>
  </si>
  <si>
    <t>Dinner Plates</t>
  </si>
  <si>
    <t>Soup Bowls</t>
  </si>
  <si>
    <t>Cutlery Set</t>
  </si>
  <si>
    <t>Serving Trays</t>
  </si>
  <si>
    <t>Salt and Pepper Shakers</t>
  </si>
  <si>
    <t>Condiment Containers</t>
  </si>
  <si>
    <t>Ice Buckets</t>
  </si>
  <si>
    <t>Pitchers</t>
  </si>
  <si>
    <t>Serving Spoons</t>
  </si>
  <si>
    <t>Appetizer Plates</t>
  </si>
  <si>
    <t>Dessert Spoons</t>
  </si>
  <si>
    <t>Ovens (Convection)</t>
  </si>
  <si>
    <t>Pizza Ovens</t>
  </si>
  <si>
    <t>Deep Fryer</t>
  </si>
  <si>
    <t>Charbroilers</t>
  </si>
  <si>
    <t>Microwave Ovens</t>
  </si>
  <si>
    <t>Rice Cooker</t>
  </si>
  <si>
    <t>Electric Kettle</t>
  </si>
  <si>
    <t>Coffee Grinders</t>
  </si>
  <si>
    <t>Water Dispenser/Cooler</t>
  </si>
  <si>
    <t>Glass Pitchers</t>
  </si>
  <si>
    <t>Dishwashing and cleaning Equipments</t>
  </si>
  <si>
    <t>Dish Racks</t>
  </si>
  <si>
    <t>Recycling Bins</t>
  </si>
  <si>
    <t>Mops and Buckets</t>
  </si>
  <si>
    <t>Brooms and Dustpans</t>
  </si>
  <si>
    <t>Cleaning Towels</t>
  </si>
  <si>
    <t>Cleaning Brushes</t>
  </si>
  <si>
    <t>Dishwashing and cleaning supplies</t>
  </si>
  <si>
    <t>Gloves</t>
  </si>
  <si>
    <t>Gloves (Disposable)</t>
  </si>
  <si>
    <t>Packaging</t>
  </si>
  <si>
    <t>Takeaway Containers</t>
  </si>
  <si>
    <t>Plastic Cups with Lids</t>
  </si>
  <si>
    <t>Paper Cups with Lids</t>
  </si>
  <si>
    <t>Paper Bags</t>
  </si>
  <si>
    <t>Plastic Cutlery Set</t>
  </si>
  <si>
    <t>Aluminum Foil</t>
  </si>
  <si>
    <t>Packaging Tape</t>
  </si>
  <si>
    <t>Wax Paper Sheets</t>
  </si>
  <si>
    <t>Plastic Wrap (Cling Film)</t>
  </si>
  <si>
    <t>Paper Straws</t>
  </si>
  <si>
    <t>Cup Holders</t>
  </si>
  <si>
    <t>Biodegradable Bowls with Lids</t>
  </si>
  <si>
    <t>Heat-Sealable Bags</t>
  </si>
  <si>
    <t>Vacuum Sealer</t>
  </si>
  <si>
    <t>Food Label Stickers</t>
  </si>
  <si>
    <t>4-Burner Gas Range with Griddle &amp; Oven</t>
  </si>
  <si>
    <t>Redor SS Triple Bowl sin Table</t>
  </si>
  <si>
    <t>Service Carts</t>
  </si>
  <si>
    <t xml:space="preserve">Counter </t>
  </si>
  <si>
    <t>Creation of Adam Artwork</t>
  </si>
  <si>
    <t>St Michael Vanquishing Satan</t>
  </si>
  <si>
    <t>Bench</t>
  </si>
  <si>
    <t>Alfresco</t>
  </si>
  <si>
    <t>Dining Table</t>
  </si>
  <si>
    <t>Play Tables and Chairs</t>
  </si>
  <si>
    <t>Décor And Accessories</t>
  </si>
  <si>
    <t>Accent Lighting Fixtures with Capiz and Metal Designs</t>
  </si>
  <si>
    <t>Tabletop Candle Holders with Capiz Shell</t>
  </si>
  <si>
    <t>Wooden Divider Screens with Rattan Weaving</t>
  </si>
  <si>
    <t>Planters with Tropical Indoor Plants</t>
  </si>
  <si>
    <t>Chalkboard Menu Boards with Wooden</t>
  </si>
  <si>
    <t>Indoor and outdoor signage</t>
  </si>
  <si>
    <t>Number Holders with Capiz Shell Base</t>
  </si>
  <si>
    <t>Mirrors with Rattan Frames</t>
  </si>
  <si>
    <t>Carpet/Rug Mats with Italian Patterns and Filipino Weaving</t>
  </si>
  <si>
    <t>Annual Supplies Expense</t>
  </si>
  <si>
    <t>Organizatonal Cost</t>
  </si>
  <si>
    <t>Net Income</t>
  </si>
  <si>
    <t xml:space="preserve">CAPITAL </t>
  </si>
  <si>
    <t>Add: Retained Earnings</t>
  </si>
  <si>
    <t xml:space="preserve">FOR THE YEARS ENDED </t>
  </si>
  <si>
    <t>FILITALIA CUCINA CASH FLOW STATEMENT</t>
  </si>
  <si>
    <t>Cash Flow from Operating Activities</t>
  </si>
  <si>
    <t>Organization Cost</t>
  </si>
  <si>
    <t>(Inc.) Dec. Inventory</t>
  </si>
  <si>
    <t>(Inc.) Dec. Prepaid Rent</t>
  </si>
  <si>
    <t>Inc.(Dec.)  VAT Payable</t>
  </si>
  <si>
    <t>Inc.(Dec.)   Income Tax Payable</t>
  </si>
  <si>
    <t>Inc.(Dec.)   SSS Contribution</t>
  </si>
  <si>
    <t>Inc.(Dec.)   PHIC Contribution</t>
  </si>
  <si>
    <t>Inc.(Dec.)   HDMF Contribution</t>
  </si>
  <si>
    <t>Inc.(Dec.)   13th Month</t>
  </si>
  <si>
    <t>Inc.(Dec.)   Utilities Payable</t>
  </si>
  <si>
    <t>Inc.(Dec.)   Salaries Payable</t>
  </si>
  <si>
    <t>Inc.(Dec.)   Rent Payable</t>
  </si>
  <si>
    <t>Net Cash Provided by (Used in) Operating Activities</t>
  </si>
  <si>
    <t>Cash Flow from Investing Activities</t>
  </si>
  <si>
    <t>Net Cash Provided by (Used in) Investing Activities</t>
  </si>
  <si>
    <t>Cash Balance, Beg.</t>
  </si>
  <si>
    <t>Cash Balance, End.</t>
  </si>
  <si>
    <r>
      <t>In Peso (</t>
    </r>
    <r>
      <rPr>
        <b/>
        <sz val="11"/>
        <color theme="1"/>
        <rFont val="Aptos Narrow"/>
        <family val="2"/>
      </rPr>
      <t>₱)</t>
    </r>
  </si>
  <si>
    <t>ORGANIZATIONAL COSTS</t>
  </si>
  <si>
    <t>Initial Investment</t>
  </si>
  <si>
    <t>Net Profit</t>
  </si>
  <si>
    <t>ROA=Net Income/Total Assets​×100</t>
  </si>
  <si>
    <t>ROE=Net Income/Shareholder’s Equity​×100</t>
  </si>
  <si>
    <t>Gross Profit Margin=Gross Profit/Sales</t>
  </si>
  <si>
    <t>Net Profit Margin=Net Income/Sales​×100</t>
  </si>
  <si>
    <t>ROI Amount</t>
  </si>
  <si>
    <t>ROI Percent</t>
  </si>
  <si>
    <t>Breakdown Calculation of Daily Customers</t>
  </si>
  <si>
    <r>
      <t>Occupancy Rate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90% occupancy during operating hours</t>
    </r>
  </si>
  <si>
    <t>Estimated Daily Customers</t>
  </si>
  <si>
    <t xml:space="preserve">Note: Expected number of patrons is 504 per day  X 365 Days = 183,960 Annual Servings </t>
  </si>
  <si>
    <t>Partner's Share</t>
  </si>
  <si>
    <t>Pozzi Errol One Piece Water Closet</t>
  </si>
  <si>
    <t>Leasehold Improvements/Building Renovation</t>
  </si>
  <si>
    <t>SSS                        EE (4.5%)</t>
  </si>
  <si>
    <r>
      <t>Capacity</t>
    </r>
    <r>
      <rPr>
        <sz val="11"/>
        <color theme="1"/>
        <rFont val="Aptos Narrow"/>
        <family val="2"/>
        <scheme val="minor"/>
      </rPr>
      <t xml:space="preserve">: Number of seats in the restaurant = </t>
    </r>
    <r>
      <rPr>
        <b/>
        <sz val="11"/>
        <color theme="1"/>
        <rFont val="Aptos Narrow"/>
        <family val="2"/>
        <scheme val="minor"/>
      </rPr>
      <t>70 customers.</t>
    </r>
  </si>
  <si>
    <r>
      <t>Operating Hours</t>
    </r>
    <r>
      <rPr>
        <sz val="11"/>
        <color theme="1"/>
        <rFont val="Aptos Narrow"/>
        <family val="2"/>
        <scheme val="minor"/>
      </rPr>
      <t xml:space="preserve">: Total hours the restaurant is open per day = </t>
    </r>
    <r>
      <rPr>
        <b/>
        <sz val="11"/>
        <color theme="1"/>
        <rFont val="Aptos Narrow"/>
        <family val="2"/>
        <scheme val="minor"/>
      </rPr>
      <t>8 hours</t>
    </r>
    <r>
      <rPr>
        <sz val="11"/>
        <color theme="1"/>
        <rFont val="Aptos Narrow"/>
        <family val="2"/>
        <scheme val="minor"/>
      </rPr>
      <t>.</t>
    </r>
  </si>
  <si>
    <t>SSS EE (Employee Share)</t>
  </si>
  <si>
    <t>Total SSS EE</t>
  </si>
  <si>
    <t>Partners' Share In Net Income (70%)</t>
  </si>
  <si>
    <t>RETURN ON INVESTMENT</t>
  </si>
  <si>
    <t>RETURN OF INVESTMENT</t>
  </si>
  <si>
    <t>Labor and Construction</t>
  </si>
  <si>
    <t>Building Renovation</t>
  </si>
  <si>
    <t>Partners' Distribution</t>
  </si>
  <si>
    <t>Initial Investment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</si>
</sst>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_-;_-@_-"/>
    <numFmt numFmtId="169" formatCode="_-* #,##0_-;\-* #,##0_-;_-* &quot;-&quot;?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rial"/>
      <family val="2"/>
    </font>
    <font>
      <b/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4" fontId="0" fillId="0" borderId="0" xfId="0" applyNumberFormat="1"/>
    <xf numFmtId="0" fontId="3" fillId="0" borderId="0" xfId="0" applyFont="1" applyAlignment="1">
      <alignment wrapText="1"/>
    </xf>
    <xf numFmtId="164" fontId="0" fillId="0" borderId="0" xfId="1" applyNumberFormat="1" applyFont="1"/>
    <xf numFmtId="164" fontId="0" fillId="0" borderId="1" xfId="1" applyNumberFormat="1" applyFont="1" applyBorder="1"/>
    <xf numFmtId="0" fontId="4" fillId="0" borderId="0" xfId="0" applyFont="1"/>
    <xf numFmtId="164" fontId="0" fillId="2" borderId="0" xfId="1" applyNumberFormat="1" applyFont="1" applyFill="1"/>
    <xf numFmtId="0" fontId="0" fillId="0" borderId="0" xfId="0" applyAlignment="1">
      <alignment horizontal="left" indent="2"/>
    </xf>
    <xf numFmtId="164" fontId="0" fillId="0" borderId="0" xfId="1" applyNumberFormat="1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1" xfId="0" applyBorder="1" applyAlignment="1">
      <alignment horizontal="left" indent="2"/>
    </xf>
    <xf numFmtId="164" fontId="0" fillId="0" borderId="0" xfId="1" applyNumberFormat="1" applyFont="1" applyAlignment="1"/>
    <xf numFmtId="164" fontId="0" fillId="0" borderId="0" xfId="0" applyNumberForma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/>
    <xf numFmtId="43" fontId="0" fillId="0" borderId="0" xfId="1" applyFont="1" applyAlignment="1">
      <alignment horizontal="center"/>
    </xf>
    <xf numFmtId="164" fontId="0" fillId="0" borderId="0" xfId="1" applyNumberFormat="1" applyFont="1" applyBorder="1"/>
    <xf numFmtId="0" fontId="0" fillId="0" borderId="0" xfId="0" applyAlignment="1">
      <alignment horizontal="left" vertical="center" wrapText="1" indent="3"/>
    </xf>
    <xf numFmtId="0" fontId="0" fillId="0" borderId="0" xfId="0" applyAlignment="1">
      <alignment horizontal="left" wrapText="1" indent="2"/>
    </xf>
    <xf numFmtId="164" fontId="0" fillId="3" borderId="0" xfId="1" applyNumberFormat="1" applyFont="1" applyFill="1"/>
    <xf numFmtId="164" fontId="0" fillId="4" borderId="0" xfId="1" applyNumberFormat="1" applyFont="1" applyFill="1"/>
    <xf numFmtId="0" fontId="2" fillId="0" borderId="0" xfId="0" applyFont="1" applyAlignment="1">
      <alignment horizontal="right" indent="2"/>
    </xf>
    <xf numFmtId="43" fontId="0" fillId="0" borderId="0" xfId="0" applyNumberFormat="1"/>
    <xf numFmtId="43" fontId="0" fillId="0" borderId="1" xfId="0" applyNumberFormat="1" applyBorder="1"/>
    <xf numFmtId="0" fontId="6" fillId="0" borderId="0" xfId="0" applyFont="1" applyAlignment="1">
      <alignment horizontal="left" vertical="center"/>
    </xf>
    <xf numFmtId="164" fontId="0" fillId="5" borderId="0" xfId="1" applyNumberFormat="1" applyFont="1" applyFill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 indent="2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 indent="2"/>
    </xf>
    <xf numFmtId="164" fontId="0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1" applyNumberFormat="1" applyFont="1" applyBorder="1"/>
    <xf numFmtId="43" fontId="0" fillId="0" borderId="2" xfId="0" applyNumberFormat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9" fontId="0" fillId="0" borderId="0" xfId="0" applyNumberForma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0" fontId="0" fillId="0" borderId="1" xfId="2" applyNumberFormat="1" applyFont="1" applyBorder="1" applyAlignment="1">
      <alignment vertical="center" wrapText="1"/>
    </xf>
    <xf numFmtId="0" fontId="3" fillId="0" borderId="0" xfId="0" applyFont="1" applyAlignment="1">
      <alignment horizontal="left" indent="7"/>
    </xf>
    <xf numFmtId="165" fontId="0" fillId="0" borderId="0" xfId="0" applyNumberForma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1"/>
    </xf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164" fontId="2" fillId="7" borderId="3" xfId="0" applyNumberFormat="1" applyFont="1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43" fontId="2" fillId="7" borderId="3" xfId="0" applyNumberFormat="1" applyFont="1" applyFill="1" applyBorder="1"/>
    <xf numFmtId="43" fontId="0" fillId="6" borderId="2" xfId="0" applyNumberFormat="1" applyFill="1" applyBorder="1"/>
    <xf numFmtId="164" fontId="0" fillId="6" borderId="2" xfId="0" applyNumberFormat="1" applyFill="1" applyBorder="1"/>
    <xf numFmtId="0" fontId="0" fillId="6" borderId="6" xfId="0" applyFill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2" fillId="6" borderId="6" xfId="1" applyNumberFormat="1" applyFont="1" applyFill="1" applyBorder="1" applyAlignment="1">
      <alignment horizontal="center" vertical="center" wrapText="1"/>
    </xf>
    <xf numFmtId="164" fontId="2" fillId="6" borderId="6" xfId="1" applyNumberFormat="1" applyFont="1" applyFill="1" applyBorder="1" applyAlignment="1">
      <alignment horizontal="center"/>
    </xf>
    <xf numFmtId="164" fontId="2" fillId="7" borderId="3" xfId="1" applyNumberFormat="1" applyFont="1" applyFill="1" applyBorder="1" applyAlignment="1">
      <alignment horizontal="center"/>
    </xf>
    <xf numFmtId="164" fontId="0" fillId="0" borderId="12" xfId="1" applyNumberFormat="1" applyFont="1" applyBorder="1"/>
    <xf numFmtId="164" fontId="0" fillId="0" borderId="5" xfId="1" applyNumberFormat="1" applyFont="1" applyBorder="1"/>
    <xf numFmtId="164" fontId="0" fillId="0" borderId="13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8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2" fillId="7" borderId="4" xfId="1" applyNumberFormat="1" applyFont="1" applyFill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2" fillId="7" borderId="3" xfId="1" applyNumberFormat="1" applyFont="1" applyFill="1" applyBorder="1"/>
    <xf numFmtId="164" fontId="2" fillId="7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164" fontId="2" fillId="7" borderId="4" xfId="1" applyNumberFormat="1" applyFont="1" applyFill="1" applyBorder="1"/>
    <xf numFmtId="43" fontId="2" fillId="6" borderId="6" xfId="1" applyFont="1" applyFill="1" applyBorder="1" applyAlignment="1">
      <alignment horizontal="center" vertical="center" wrapText="1"/>
    </xf>
    <xf numFmtId="0" fontId="2" fillId="6" borderId="7" xfId="0" applyFont="1" applyFill="1" applyBorder="1"/>
    <xf numFmtId="164" fontId="0" fillId="0" borderId="0" xfId="1" applyNumberFormat="1" applyFont="1" applyAlignment="1">
      <alignment horizontal="right"/>
    </xf>
    <xf numFmtId="164" fontId="0" fillId="5" borderId="0" xfId="1" applyNumberFormat="1" applyFont="1" applyFill="1" applyBorder="1"/>
    <xf numFmtId="164" fontId="2" fillId="7" borderId="2" xfId="1" applyNumberFormat="1" applyFont="1" applyFill="1" applyBorder="1"/>
    <xf numFmtId="49" fontId="2" fillId="6" borderId="6" xfId="0" applyNumberFormat="1" applyFont="1" applyFill="1" applyBorder="1"/>
    <xf numFmtId="164" fontId="2" fillId="7" borderId="2" xfId="0" applyNumberFormat="1" applyFont="1" applyFill="1" applyBorder="1"/>
    <xf numFmtId="0" fontId="2" fillId="0" borderId="1" xfId="0" applyFont="1" applyBorder="1"/>
    <xf numFmtId="9" fontId="2" fillId="7" borderId="3" xfId="2" applyFont="1" applyFill="1" applyBorder="1"/>
    <xf numFmtId="0" fontId="2" fillId="0" borderId="1" xfId="0" applyFont="1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43" fontId="0" fillId="0" borderId="8" xfId="0" applyNumberFormat="1" applyBorder="1" applyAlignment="1">
      <alignment horizontal="left" indent="2"/>
    </xf>
    <xf numFmtId="43" fontId="0" fillId="0" borderId="0" xfId="0" applyNumberFormat="1" applyAlignment="1">
      <alignment horizontal="left" indent="2"/>
    </xf>
    <xf numFmtId="43" fontId="0" fillId="0" borderId="9" xfId="0" applyNumberFormat="1" applyBorder="1" applyAlignment="1">
      <alignment horizontal="left" indent="2"/>
    </xf>
    <xf numFmtId="43" fontId="0" fillId="0" borderId="10" xfId="0" applyNumberFormat="1" applyBorder="1" applyAlignment="1">
      <alignment horizontal="left" indent="2"/>
    </xf>
    <xf numFmtId="43" fontId="0" fillId="0" borderId="1" xfId="0" applyNumberFormat="1" applyBorder="1" applyAlignment="1">
      <alignment horizontal="left" indent="2"/>
    </xf>
    <xf numFmtId="43" fontId="0" fillId="0" borderId="11" xfId="0" applyNumberFormat="1" applyBorder="1" applyAlignment="1">
      <alignment horizontal="left" indent="2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3"/>
    </xf>
    <xf numFmtId="164" fontId="0" fillId="0" borderId="6" xfId="0" applyNumberFormat="1" applyBorder="1"/>
    <xf numFmtId="3" fontId="0" fillId="0" borderId="0" xfId="0" applyNumberForma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2" fillId="7" borderId="0" xfId="0" applyNumberFormat="1" applyFont="1" applyFill="1"/>
    <xf numFmtId="164" fontId="0" fillId="2" borderId="0" xfId="0" applyNumberFormat="1" applyFill="1"/>
    <xf numFmtId="0" fontId="0" fillId="0" borderId="1" xfId="0" applyBorder="1" applyAlignment="1">
      <alignment horizontal="left" indent="4"/>
    </xf>
    <xf numFmtId="9" fontId="2" fillId="7" borderId="4" xfId="2" applyFont="1" applyFill="1" applyBorder="1"/>
    <xf numFmtId="9" fontId="2" fillId="0" borderId="0" xfId="2" applyFont="1"/>
    <xf numFmtId="164" fontId="0" fillId="3" borderId="0" xfId="1" applyNumberFormat="1" applyFont="1" applyFill="1" applyBorder="1" applyAlignment="1">
      <alignment horizontal="center"/>
    </xf>
    <xf numFmtId="164" fontId="0" fillId="3" borderId="0" xfId="0" applyNumberFormat="1" applyFill="1"/>
    <xf numFmtId="164" fontId="0" fillId="3" borderId="1" xfId="0" applyNumberFormat="1" applyFill="1" applyBorder="1"/>
    <xf numFmtId="164" fontId="0" fillId="0" borderId="9" xfId="1" applyNumberFormat="1" applyFont="1" applyFill="1" applyBorder="1" applyAlignment="1">
      <alignment horizontal="center"/>
    </xf>
    <xf numFmtId="43" fontId="2" fillId="7" borderId="4" xfId="1" applyFont="1" applyFill="1" applyBorder="1"/>
    <xf numFmtId="0" fontId="2" fillId="6" borderId="0" xfId="0" applyFont="1" applyFill="1"/>
    <xf numFmtId="9" fontId="0" fillId="0" borderId="1" xfId="0" applyNumberFormat="1" applyBorder="1"/>
    <xf numFmtId="9" fontId="0" fillId="0" borderId="0" xfId="2" applyFont="1"/>
    <xf numFmtId="164" fontId="0" fillId="0" borderId="15" xfId="0" applyNumberFormat="1" applyBorder="1"/>
    <xf numFmtId="164" fontId="0" fillId="0" borderId="16" xfId="0" applyNumberFormat="1" applyBorder="1"/>
    <xf numFmtId="164" fontId="0" fillId="4" borderId="12" xfId="1" applyNumberFormat="1" applyFont="1" applyFill="1" applyBorder="1"/>
    <xf numFmtId="164" fontId="0" fillId="4" borderId="8" xfId="1" applyNumberFormat="1" applyFont="1" applyFill="1" applyBorder="1"/>
    <xf numFmtId="164" fontId="0" fillId="4" borderId="8" xfId="1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2" fillId="7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indent="1"/>
    </xf>
    <xf numFmtId="0" fontId="2" fillId="0" borderId="5" xfId="0" applyFont="1" applyBorder="1" applyAlignment="1">
      <alignment horizontal="right"/>
    </xf>
    <xf numFmtId="0" fontId="2" fillId="8" borderId="6" xfId="0" applyFont="1" applyFill="1" applyBorder="1" applyAlignment="1">
      <alignment horizontal="center"/>
    </xf>
    <xf numFmtId="1" fontId="2" fillId="6" borderId="6" xfId="1" applyNumberFormat="1" applyFont="1" applyFill="1" applyBorder="1" applyAlignment="1">
      <alignment horizontal="center"/>
    </xf>
    <xf numFmtId="164" fontId="2" fillId="6" borderId="7" xfId="1" applyNumberFormat="1" applyFont="1" applyFill="1" applyBorder="1" applyAlignment="1">
      <alignment horizontal="center"/>
    </xf>
    <xf numFmtId="164" fontId="2" fillId="6" borderId="2" xfId="1" applyNumberFormat="1" applyFont="1" applyFill="1" applyBorder="1" applyAlignment="1">
      <alignment horizontal="center"/>
    </xf>
    <xf numFmtId="164" fontId="2" fillId="6" borderId="14" xfId="1" applyNumberFormat="1" applyFont="1" applyFill="1" applyBorder="1" applyAlignment="1">
      <alignment horizontal="center"/>
    </xf>
    <xf numFmtId="164" fontId="2" fillId="0" borderId="5" xfId="1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indent="1"/>
    </xf>
    <xf numFmtId="0" fontId="0" fillId="0" borderId="0" xfId="0" applyBorder="1"/>
    <xf numFmtId="0" fontId="0" fillId="0" borderId="16" xfId="0" applyBorder="1"/>
    <xf numFmtId="169" fontId="0" fillId="0" borderId="16" xfId="0" applyNumberFormat="1" applyBorder="1"/>
    <xf numFmtId="169" fontId="0" fillId="0" borderId="17" xfId="0" applyNumberFormat="1" applyBorder="1"/>
    <xf numFmtId="0" fontId="2" fillId="7" borderId="0" xfId="0" applyFont="1" applyFill="1"/>
    <xf numFmtId="164" fontId="2" fillId="8" borderId="6" xfId="1" applyNumberFormat="1" applyFont="1" applyFill="1" applyBorder="1" applyAlignment="1">
      <alignment horizontal="center" vertical="center" wrapText="1"/>
    </xf>
    <xf numFmtId="169" fontId="2" fillId="9" borderId="18" xfId="0" applyNumberFormat="1" applyFont="1" applyFill="1" applyBorder="1"/>
    <xf numFmtId="1" fontId="2" fillId="8" borderId="6" xfId="1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vertical="center" wrapText="1"/>
    </xf>
    <xf numFmtId="164" fontId="2" fillId="9" borderId="4" xfId="1" applyNumberFormat="1" applyFont="1" applyFill="1" applyBorder="1" applyAlignment="1">
      <alignment horizontal="center"/>
    </xf>
    <xf numFmtId="164" fontId="2" fillId="8" borderId="15" xfId="1" applyNumberFormat="1" applyFont="1" applyFill="1" applyBorder="1" applyAlignment="1">
      <alignment horizontal="center" vertical="center" wrapText="1"/>
    </xf>
    <xf numFmtId="169" fontId="0" fillId="0" borderId="0" xfId="0" applyNumberFormat="1" applyBorder="1"/>
    <xf numFmtId="169" fontId="0" fillId="0" borderId="1" xfId="0" applyNumberFormat="1" applyBorder="1"/>
    <xf numFmtId="0" fontId="0" fillId="0" borderId="0" xfId="1" applyNumberFormat="1" applyFont="1" applyAlignment="1">
      <alignment horizontal="right"/>
    </xf>
    <xf numFmtId="0" fontId="0" fillId="0" borderId="1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144780</xdr:colOff>
      <xdr:row>9</xdr:row>
      <xdr:rowOff>114300</xdr:rowOff>
    </xdr:from>
    <xdr:ext cx="3246120" cy="20497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DD4BAB-857B-18B5-B5E9-19D254193D37}"/>
            </a:ext>
          </a:extLst>
        </xdr:cNvPr>
        <xdr:cNvSpPr txBox="1"/>
      </xdr:nvSpPr>
      <xdr:spPr>
        <a:xfrm>
          <a:off x="10668000" y="1943100"/>
          <a:ext cx="3246120" cy="20497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PH" sz="1100" b="1"/>
            <a:t>Pag-IBIG</a:t>
          </a:r>
          <a:r>
            <a:rPr lang="en-PH" sz="1100"/>
            <a:t> contributions rate based on monthly income:</a:t>
          </a:r>
        </a:p>
        <a:p>
          <a:endParaRPr lang="en-PH" sz="1100"/>
        </a:p>
        <a:p>
          <a:r>
            <a:rPr lang="en-PH" sz="1100"/>
            <a:t>Employee’s Contribution: </a:t>
          </a:r>
          <a:r>
            <a:rPr lang="en-PH" sz="1100" b="1"/>
            <a:t>2%</a:t>
          </a:r>
          <a:r>
            <a:rPr lang="en-PH" sz="1100"/>
            <a:t> of the employee’s monthly basic salary, capped at a maximum monthly compensation of </a:t>
          </a:r>
          <a:r>
            <a:rPr lang="en-PH" sz="1100" b="1"/>
            <a:t>PHP 5,000</a:t>
          </a:r>
          <a:r>
            <a:rPr lang="en-PH" sz="1100"/>
            <a:t>.</a:t>
          </a:r>
        </a:p>
        <a:p>
          <a:r>
            <a:rPr lang="en-PH" sz="1100"/>
            <a:t>Employer’s Contribution: </a:t>
          </a:r>
          <a:r>
            <a:rPr lang="en-PH" sz="1100" b="1"/>
            <a:t>2%</a:t>
          </a:r>
          <a:r>
            <a:rPr lang="en-PH" sz="1100"/>
            <a:t> of the employee’s monthly basic salary, also capped at a maximum of </a:t>
          </a:r>
          <a:r>
            <a:rPr lang="en-PH" sz="1100" b="1"/>
            <a:t>PHP 5,000</a:t>
          </a:r>
          <a:r>
            <a:rPr lang="en-PH" sz="1100"/>
            <a:t>.</a:t>
          </a:r>
        </a:p>
        <a:p>
          <a:r>
            <a:rPr lang="en-PH" sz="1100"/>
            <a:t>For voluntary members, the contribution is typically a flat rate of 2% of their declared monthly income, with the same </a:t>
          </a:r>
          <a:r>
            <a:rPr lang="en-PH" sz="1100" b="1"/>
            <a:t>PHP 5,000 cap</a:t>
          </a:r>
          <a:r>
            <a:rPr lang="en-PH" sz="1100"/>
            <a:t>.</a:t>
          </a:r>
        </a:p>
      </xdr:txBody>
    </xdr:sp>
    <xdr:clientData/>
  </xdr:oneCellAnchor>
  <xdr:oneCellAnchor>
    <xdr:from>
      <xdr:col>13</xdr:col>
      <xdr:colOff>106680</xdr:colOff>
      <xdr:row>1</xdr:row>
      <xdr:rowOff>60960</xdr:rowOff>
    </xdr:from>
    <xdr:ext cx="3246120" cy="777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4E8407-DADC-2B4B-598D-0644A575D128}"/>
            </a:ext>
          </a:extLst>
        </xdr:cNvPr>
        <xdr:cNvSpPr txBox="1"/>
      </xdr:nvSpPr>
      <xdr:spPr>
        <a:xfrm>
          <a:off x="10629900" y="243840"/>
          <a:ext cx="3246120" cy="77724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SOCIAL</a:t>
          </a:r>
          <a:r>
            <a:rPr lang="en-PH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SECURITY (SS) </a:t>
          </a:r>
          <a:r>
            <a:rPr lang="en-PH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PH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FOURTEEN PERCENT (14%) </a:t>
          </a:r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the monthly salary credit (MSC) not exceeding P30,000 and paid by both employer </a:t>
          </a:r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(9.5%) </a:t>
          </a:r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employee </a:t>
          </a:r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(4.5%), </a:t>
          </a:r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effective January 1, 2023.</a:t>
          </a:r>
          <a:endParaRPr lang="en-PH" sz="1100"/>
        </a:p>
      </xdr:txBody>
    </xdr:sp>
    <xdr:clientData/>
  </xdr:oneCellAnchor>
  <xdr:oneCellAnchor>
    <xdr:from>
      <xdr:col>13</xdr:col>
      <xdr:colOff>129540</xdr:colOff>
      <xdr:row>5</xdr:row>
      <xdr:rowOff>0</xdr:rowOff>
    </xdr:from>
    <xdr:ext cx="3261360" cy="8001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75224D-7DB3-A3FE-6E5E-9DF6A347CC10}"/>
            </a:ext>
          </a:extLst>
        </xdr:cNvPr>
        <xdr:cNvSpPr txBox="1"/>
      </xdr:nvSpPr>
      <xdr:spPr>
        <a:xfrm>
          <a:off x="10652760" y="1097280"/>
          <a:ext cx="3261360" cy="800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of 2024, the </a:t>
          </a:r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PhilHealth</a:t>
          </a:r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contribution rate is set at </a:t>
          </a:r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4.5%</a:t>
          </a:r>
          <a:r>
            <a:rPr lang="en-P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the employee's monthly basic salary. This rate is shared equally between the employer and the employee, with each contributing </a:t>
          </a:r>
          <a:r>
            <a:rPr lang="en-PH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2.25%</a:t>
          </a:r>
          <a:endParaRPr lang="en-PH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B97-F7F0-4D8B-82B9-AA2F57CBF3ED}">
  <sheetPr>
    <tabColor theme="9" tint="-0.499984740745262"/>
  </sheetPr>
  <dimension ref="B1:H54"/>
  <sheetViews>
    <sheetView topLeftCell="A10" zoomScale="85" zoomScaleNormal="85" workbookViewId="0">
      <selection activeCell="E14" sqref="E14:H14"/>
    </sheetView>
  </sheetViews>
  <sheetFormatPr defaultRowHeight="14.4" x14ac:dyDescent="0.3"/>
  <cols>
    <col min="1" max="1" width="3.6640625" customWidth="1"/>
    <col min="2" max="2" width="39.44140625" customWidth="1"/>
    <col min="3" max="3" width="6.44140625" style="1" customWidth="1"/>
    <col min="4" max="8" width="22.88671875" customWidth="1"/>
  </cols>
  <sheetData>
    <row r="1" spans="2:8" x14ac:dyDescent="0.3">
      <c r="B1" s="8" t="s">
        <v>294</v>
      </c>
    </row>
    <row r="2" spans="2:8" x14ac:dyDescent="0.3">
      <c r="B2" s="8" t="s">
        <v>375</v>
      </c>
    </row>
    <row r="3" spans="2:8" x14ac:dyDescent="0.3">
      <c r="B3" s="69" t="s">
        <v>346</v>
      </c>
    </row>
    <row r="5" spans="2:8" x14ac:dyDescent="0.3">
      <c r="C5" s="81" t="s">
        <v>360</v>
      </c>
      <c r="D5" s="81">
        <v>2024</v>
      </c>
      <c r="E5" s="81">
        <v>2025</v>
      </c>
      <c r="F5" s="81">
        <v>2026</v>
      </c>
      <c r="G5" s="81">
        <v>2027</v>
      </c>
      <c r="H5" s="81">
        <v>2028</v>
      </c>
    </row>
    <row r="6" spans="2:8" x14ac:dyDescent="0.3">
      <c r="B6" s="8" t="s">
        <v>376</v>
      </c>
    </row>
    <row r="7" spans="2:8" x14ac:dyDescent="0.3">
      <c r="B7" s="68" t="s">
        <v>423</v>
      </c>
    </row>
    <row r="8" spans="2:8" x14ac:dyDescent="0.3">
      <c r="B8" s="22" t="s">
        <v>377</v>
      </c>
      <c r="D8" s="14">
        <f>CF!C57</f>
        <v>38776450.0268922</v>
      </c>
      <c r="E8" s="14">
        <f>CF!D57</f>
        <v>68556645.315882802</v>
      </c>
      <c r="F8" s="14">
        <f>CF!E57</f>
        <v>100188650.55479747</v>
      </c>
      <c r="G8" s="14">
        <f>CF!F57</f>
        <v>135240487.29362857</v>
      </c>
      <c r="H8" s="14">
        <f>CF!G57</f>
        <v>174066511.7732178</v>
      </c>
    </row>
    <row r="9" spans="2:8" x14ac:dyDescent="0.3">
      <c r="B9" s="22" t="s">
        <v>378</v>
      </c>
      <c r="D9" s="14">
        <f>SalesCos!E101/52</f>
        <v>245529.24571785561</v>
      </c>
      <c r="E9" s="14">
        <f>SalesCos!F101/52</f>
        <v>270082.17028964125</v>
      </c>
      <c r="F9" s="14">
        <f>SalesCos!G101/52</f>
        <v>297090.38731860532</v>
      </c>
      <c r="G9" s="14">
        <f>SalesCos!H101/52</f>
        <v>326799.42605046596</v>
      </c>
      <c r="H9" s="14">
        <f>SalesCos!I101/52</f>
        <v>359479.36865551263</v>
      </c>
    </row>
    <row r="10" spans="2:8" x14ac:dyDescent="0.3">
      <c r="B10" s="22" t="s">
        <v>398</v>
      </c>
      <c r="D10" s="15">
        <f>'SUPPLIES EXPENSE'!C113*0.5</f>
        <v>420000</v>
      </c>
      <c r="E10" s="15">
        <f>D10</f>
        <v>420000</v>
      </c>
      <c r="F10" s="15">
        <f t="shared" ref="F10:H10" si="0">E10</f>
        <v>420000</v>
      </c>
      <c r="G10" s="15">
        <f t="shared" si="0"/>
        <v>420000</v>
      </c>
      <c r="H10" s="15">
        <f t="shared" si="0"/>
        <v>420000</v>
      </c>
    </row>
    <row r="11" spans="2:8" x14ac:dyDescent="0.3">
      <c r="B11" s="8" t="s">
        <v>399</v>
      </c>
      <c r="D11" s="30">
        <f>SUM(D8:D10)</f>
        <v>39441979.272610053</v>
      </c>
      <c r="E11" s="30">
        <f t="shared" ref="E11:H11" si="1">SUM(E8:E10)</f>
        <v>69246727.486172438</v>
      </c>
      <c r="F11" s="30">
        <f t="shared" si="1"/>
        <v>100905740.94211608</v>
      </c>
      <c r="G11" s="30">
        <f t="shared" si="1"/>
        <v>135987286.71967903</v>
      </c>
      <c r="H11" s="30">
        <f t="shared" si="1"/>
        <v>174845991.1418733</v>
      </c>
    </row>
    <row r="13" spans="2:8" x14ac:dyDescent="0.3">
      <c r="B13" s="68" t="s">
        <v>400</v>
      </c>
    </row>
    <row r="14" spans="2:8" x14ac:dyDescent="0.3">
      <c r="B14" s="22" t="s">
        <v>35</v>
      </c>
      <c r="C14" s="1">
        <v>6</v>
      </c>
      <c r="D14" s="14">
        <f>'Project Cost'!C4</f>
        <v>1246000</v>
      </c>
      <c r="E14" s="14">
        <f>SUM('FIXED ASSET EXPENSE'!H6:H17)</f>
        <v>1121100</v>
      </c>
      <c r="F14" s="14">
        <f>SUM('FIXED ASSET EXPENSE'!I6:I17)</f>
        <v>996200</v>
      </c>
      <c r="G14" s="14">
        <f>SUM('FIXED ASSET EXPENSE'!J6:J17)</f>
        <v>871300</v>
      </c>
      <c r="H14" s="14">
        <f>SUM('FIXED ASSET EXPENSE'!K6:K17)</f>
        <v>746400</v>
      </c>
    </row>
    <row r="15" spans="2:8" x14ac:dyDescent="0.3">
      <c r="B15" s="22" t="s">
        <v>36</v>
      </c>
      <c r="C15" s="1">
        <v>6</v>
      </c>
      <c r="D15" s="14">
        <f>'Project Cost'!C5</f>
        <v>810516.69</v>
      </c>
      <c r="E15" s="14">
        <f>SUM('FIXED ASSET EXPENSE'!H20:H47)</f>
        <v>711720.321</v>
      </c>
      <c r="F15" s="14">
        <f>SUM('FIXED ASSET EXPENSE'!I20:I47)</f>
        <v>612923.95200000005</v>
      </c>
      <c r="G15" s="14">
        <f>SUM('FIXED ASSET EXPENSE'!J20:J47)</f>
        <v>514127.58299999998</v>
      </c>
      <c r="H15" s="14">
        <f>SUM('FIXED ASSET EXPENSE'!K20:K47)</f>
        <v>415331.21399999998</v>
      </c>
    </row>
    <row r="16" spans="2:8" x14ac:dyDescent="0.3">
      <c r="B16" s="22" t="s">
        <v>37</v>
      </c>
      <c r="C16" s="1">
        <v>6</v>
      </c>
      <c r="D16" s="14">
        <f>'Project Cost'!C6</f>
        <v>722348.95</v>
      </c>
      <c r="E16" s="14">
        <f>SUM('FIXED ASSET EXPENSE'!H50:H71)</f>
        <v>628002.16</v>
      </c>
      <c r="F16" s="14">
        <f>SUM('FIXED ASSET EXPENSE'!I50:I71)</f>
        <v>533655.37</v>
      </c>
      <c r="G16" s="14">
        <f>SUM('FIXED ASSET EXPENSE'!J50:J71)</f>
        <v>439308.57999999996</v>
      </c>
      <c r="H16" s="14">
        <f>SUM('FIXED ASSET EXPENSE'!K50:K71)</f>
        <v>344961.79</v>
      </c>
    </row>
    <row r="17" spans="2:8" x14ac:dyDescent="0.3">
      <c r="B17" s="22" t="s">
        <v>38</v>
      </c>
      <c r="C17" s="1">
        <v>6</v>
      </c>
      <c r="D17" s="14">
        <f>'Project Cost'!C7</f>
        <v>65000</v>
      </c>
      <c r="E17" s="14">
        <f>SUM('FIXED ASSET EXPENSE'!H74:H79)</f>
        <v>52000</v>
      </c>
      <c r="F17" s="14">
        <f>SUM('FIXED ASSET EXPENSE'!I74:I79)</f>
        <v>39000</v>
      </c>
      <c r="G17" s="14">
        <f>SUM('FIXED ASSET EXPENSE'!J74:J79)</f>
        <v>26000</v>
      </c>
      <c r="H17" s="14">
        <f>SUM('FIXED ASSET EXPENSE'!K74:K79)</f>
        <v>13000</v>
      </c>
    </row>
    <row r="18" spans="2:8" x14ac:dyDescent="0.3">
      <c r="B18" s="22" t="s">
        <v>75</v>
      </c>
      <c r="C18" s="1">
        <v>6</v>
      </c>
      <c r="D18" s="14">
        <f>'Project Cost'!C8</f>
        <v>60000</v>
      </c>
      <c r="E18" s="14">
        <f>SUM('FIXED ASSET EXPENSE'!H81)</f>
        <v>54000</v>
      </c>
      <c r="F18" s="14">
        <f>SUM('FIXED ASSET EXPENSE'!I81)</f>
        <v>48000</v>
      </c>
      <c r="G18" s="14">
        <f>SUM('FIXED ASSET EXPENSE'!J81)</f>
        <v>42000</v>
      </c>
      <c r="H18" s="14">
        <f>SUM('FIXED ASSET EXPENSE'!K81)</f>
        <v>36000</v>
      </c>
    </row>
    <row r="19" spans="2:8" x14ac:dyDescent="0.3">
      <c r="B19" s="22" t="s">
        <v>76</v>
      </c>
      <c r="C19" s="1">
        <v>6</v>
      </c>
      <c r="D19" s="14">
        <f>'Project Cost'!C9</f>
        <v>60600</v>
      </c>
      <c r="E19" s="14">
        <f>SUM('FIXED ASSET EXPENSE'!H83:H89)</f>
        <v>51280</v>
      </c>
      <c r="F19" s="14">
        <f>SUM('FIXED ASSET EXPENSE'!I83:I89)</f>
        <v>41960</v>
      </c>
      <c r="G19" s="14">
        <f>SUM('FIXED ASSET EXPENSE'!J83:J89)</f>
        <v>32640</v>
      </c>
      <c r="H19" s="14">
        <f>SUM('FIXED ASSET EXPENSE'!K83:K89)</f>
        <v>23320</v>
      </c>
    </row>
    <row r="20" spans="2:8" x14ac:dyDescent="0.3">
      <c r="B20" s="22" t="s">
        <v>401</v>
      </c>
      <c r="C20" s="1">
        <v>6</v>
      </c>
      <c r="D20" s="15">
        <f>'FIXED ASSET EXPENSE'!G90</f>
        <v>346363.15899999999</v>
      </c>
      <c r="E20" s="15">
        <f>'FIXED ASSET EXPENSE'!G94</f>
        <v>346363.15899999999</v>
      </c>
      <c r="F20" s="15">
        <f>'FIXED ASSET EXPENSE'!G95</f>
        <v>346363.15899999999</v>
      </c>
      <c r="G20" s="15">
        <f>'FIXED ASSET EXPENSE'!G96</f>
        <v>346363.15899999999</v>
      </c>
      <c r="H20" s="15">
        <f>'FIXED ASSET EXPENSE'!G97</f>
        <v>346363.15899999999</v>
      </c>
    </row>
    <row r="21" spans="2:8" x14ac:dyDescent="0.3">
      <c r="B21" s="68" t="s">
        <v>402</v>
      </c>
      <c r="D21" s="70">
        <f>SUM(D14:D19)-D20</f>
        <v>2618102.4809999997</v>
      </c>
      <c r="E21" s="70">
        <f>SUM(E14:E19)-E20</f>
        <v>2271739.3220000002</v>
      </c>
      <c r="F21" s="70">
        <f>SUM(F14:F19)-F20</f>
        <v>1925376.1630000002</v>
      </c>
      <c r="G21" s="70">
        <f>SUM(G14:G19)-G20</f>
        <v>1579013.0040000002</v>
      </c>
      <c r="H21" s="70">
        <f>SUM(H14:H19)-H20</f>
        <v>1232649.845</v>
      </c>
    </row>
    <row r="22" spans="2:8" x14ac:dyDescent="0.3">
      <c r="B22" s="8" t="s">
        <v>403</v>
      </c>
      <c r="D22" s="142">
        <f>D11+D21</f>
        <v>42060081.753610052</v>
      </c>
      <c r="E22" s="142">
        <f>E11+E21</f>
        <v>71518466.808172435</v>
      </c>
      <c r="F22" s="142">
        <f>F11+F21</f>
        <v>102831117.10511608</v>
      </c>
      <c r="G22" s="142">
        <f>G11+G21</f>
        <v>137566299.72367904</v>
      </c>
      <c r="H22" s="142">
        <f>H11+H21</f>
        <v>176078640.9868733</v>
      </c>
    </row>
    <row r="24" spans="2:8" x14ac:dyDescent="0.3">
      <c r="B24" s="8" t="s">
        <v>408</v>
      </c>
    </row>
    <row r="25" spans="2:8" x14ac:dyDescent="0.3">
      <c r="B25" s="68" t="s">
        <v>409</v>
      </c>
    </row>
    <row r="26" spans="2:8" x14ac:dyDescent="0.3">
      <c r="B26" s="22" t="s">
        <v>390</v>
      </c>
      <c r="D26" s="14">
        <f>'SUPPLIES EXPENSE'!C134</f>
        <v>4594547.6692082202</v>
      </c>
      <c r="E26" s="14">
        <f>'SUPPLIES EXPENSE'!D134</f>
        <v>5054002.4361290438</v>
      </c>
      <c r="F26" s="14">
        <f>'SUPPLIES EXPENSE'!E134</f>
        <v>5559402.6797419488</v>
      </c>
      <c r="G26" s="14">
        <f>'SUPPLIES EXPENSE'!F134</f>
        <v>6115342.9477161411</v>
      </c>
      <c r="H26" s="14">
        <f>'SUPPLIES EXPENSE'!G134</f>
        <v>6726877.2424877556</v>
      </c>
    </row>
    <row r="27" spans="2:8" x14ac:dyDescent="0.3">
      <c r="B27" s="22" t="s">
        <v>393</v>
      </c>
      <c r="D27" s="14">
        <f>IS!D27</f>
        <v>6732913.5211004578</v>
      </c>
      <c r="E27" s="14">
        <f>IS!E27</f>
        <v>8871692.4521855079</v>
      </c>
      <c r="F27" s="14">
        <f>IS!F27</f>
        <v>9855444.2013790607</v>
      </c>
      <c r="G27" s="14">
        <f>IS!G27</f>
        <v>10941684.589241961</v>
      </c>
      <c r="H27" s="14">
        <f>IS!H27</f>
        <v>12140422.222178657</v>
      </c>
    </row>
    <row r="28" spans="2:8" x14ac:dyDescent="0.3">
      <c r="B28" s="22" t="s">
        <v>363</v>
      </c>
      <c r="C28" s="1">
        <v>3</v>
      </c>
      <c r="D28" s="14">
        <f>IS!D12</f>
        <v>345420</v>
      </c>
      <c r="E28" s="14">
        <f>IS!E12</f>
        <v>358131</v>
      </c>
      <c r="F28" s="14">
        <f>IS!F12</f>
        <v>371477.55000000005</v>
      </c>
      <c r="G28" s="14">
        <f>IS!G12</f>
        <v>383582.49750000006</v>
      </c>
      <c r="H28" s="14">
        <f>IS!H12</f>
        <v>395921.62237499998</v>
      </c>
    </row>
    <row r="29" spans="2:8" x14ac:dyDescent="0.3">
      <c r="B29" s="22" t="s">
        <v>364</v>
      </c>
      <c r="C29" s="1">
        <v>3</v>
      </c>
      <c r="D29" s="14">
        <f>IS!D13</f>
        <v>91260</v>
      </c>
      <c r="E29" s="14">
        <f>IS!E13</f>
        <v>95823</v>
      </c>
      <c r="F29" s="14">
        <f>IS!F13</f>
        <v>100614.15</v>
      </c>
      <c r="G29" s="14">
        <f>IS!G13</f>
        <v>105644.85750000001</v>
      </c>
      <c r="H29" s="14">
        <f>IS!H13</f>
        <v>110927.10037499999</v>
      </c>
    </row>
    <row r="30" spans="2:8" x14ac:dyDescent="0.3">
      <c r="B30" s="22" t="s">
        <v>365</v>
      </c>
      <c r="C30" s="1">
        <v>3</v>
      </c>
      <c r="D30" s="14">
        <f>IS!D14</f>
        <v>13200</v>
      </c>
      <c r="E30" s="14">
        <f>IS!E14</f>
        <v>13200</v>
      </c>
      <c r="F30" s="14">
        <f>IS!F14</f>
        <v>13200</v>
      </c>
      <c r="G30" s="14">
        <f>IS!G14</f>
        <v>13200</v>
      </c>
      <c r="H30" s="14">
        <f>IS!H14</f>
        <v>13200</v>
      </c>
    </row>
    <row r="31" spans="2:8" x14ac:dyDescent="0.3">
      <c r="B31" s="22" t="s">
        <v>416</v>
      </c>
      <c r="C31" s="1">
        <v>3</v>
      </c>
      <c r="D31" s="30">
        <f>IS!D15</f>
        <v>338000</v>
      </c>
      <c r="E31" s="30">
        <f>IS!E15</f>
        <v>354900</v>
      </c>
      <c r="F31" s="30">
        <f>IS!F15</f>
        <v>372645</v>
      </c>
      <c r="G31" s="30">
        <f>IS!G15</f>
        <v>391277.25</v>
      </c>
      <c r="H31" s="30">
        <f>IS!H15</f>
        <v>410841.11249999999</v>
      </c>
    </row>
    <row r="32" spans="2:8" x14ac:dyDescent="0.3">
      <c r="B32" s="22" t="s">
        <v>418</v>
      </c>
      <c r="D32" s="30">
        <f>IS!D16</f>
        <v>270000</v>
      </c>
      <c r="E32" s="30">
        <f>IS!E16</f>
        <v>278100</v>
      </c>
      <c r="F32" s="30">
        <f>IS!F16</f>
        <v>286443</v>
      </c>
      <c r="G32" s="30">
        <f>IS!G16</f>
        <v>295036.29000000004</v>
      </c>
      <c r="H32" s="30">
        <f>IS!H16</f>
        <v>303887.3787</v>
      </c>
    </row>
    <row r="33" spans="2:8" x14ac:dyDescent="0.3">
      <c r="B33" s="22" t="s">
        <v>419</v>
      </c>
      <c r="D33" s="14">
        <f>IS!D11</f>
        <v>4056000</v>
      </c>
      <c r="E33" s="14">
        <f>IS!E11</f>
        <v>4258800</v>
      </c>
      <c r="F33" s="14">
        <f>IS!F11</f>
        <v>4471740</v>
      </c>
      <c r="G33" s="14">
        <f>IS!G11</f>
        <v>4695327</v>
      </c>
      <c r="H33" s="14">
        <f>IS!H11</f>
        <v>4930093.3499999996</v>
      </c>
    </row>
    <row r="34" spans="2:8" x14ac:dyDescent="0.3">
      <c r="B34" s="22" t="s">
        <v>420</v>
      </c>
      <c r="D34" s="15">
        <v>420000</v>
      </c>
      <c r="E34" s="15">
        <v>420000</v>
      </c>
      <c r="F34" s="15">
        <v>420000</v>
      </c>
      <c r="G34" s="15">
        <v>420000</v>
      </c>
      <c r="H34" s="15">
        <v>420000</v>
      </c>
    </row>
    <row r="35" spans="2:8" x14ac:dyDescent="0.3">
      <c r="B35" s="8" t="s">
        <v>421</v>
      </c>
      <c r="D35" s="30">
        <f>SUM(D26:D34)</f>
        <v>16861341.190308679</v>
      </c>
      <c r="E35" s="30">
        <f t="shared" ref="E35:H35" si="2">SUM(E26:E34)</f>
        <v>19704648.888314553</v>
      </c>
      <c r="F35" s="30">
        <f t="shared" si="2"/>
        <v>21450966.581121013</v>
      </c>
      <c r="G35" s="30">
        <f t="shared" si="2"/>
        <v>23361095.431958102</v>
      </c>
      <c r="H35" s="30">
        <f t="shared" si="2"/>
        <v>25452170.028616413</v>
      </c>
    </row>
    <row r="38" spans="2:8" x14ac:dyDescent="0.3">
      <c r="B38" s="68" t="s">
        <v>410</v>
      </c>
    </row>
    <row r="39" spans="2:8" x14ac:dyDescent="0.3">
      <c r="B39" s="23" t="s">
        <v>411</v>
      </c>
      <c r="D39" s="14">
        <f>SCPE!C10</f>
        <v>3827823.6788621922</v>
      </c>
      <c r="E39" s="14">
        <f>SCPE!C17</f>
        <v>8765858.9425781872</v>
      </c>
      <c r="F39" s="14">
        <f>SCPE!C28</f>
        <v>14502050.148550784</v>
      </c>
      <c r="G39" s="14">
        <f>SCPE!C37</f>
        <v>20871537.63228064</v>
      </c>
      <c r="H39" s="14">
        <f>SCPE!D46</f>
        <v>27940018.191659227</v>
      </c>
    </row>
    <row r="40" spans="2:8" x14ac:dyDescent="0.3">
      <c r="B40" s="23" t="s">
        <v>412</v>
      </c>
      <c r="D40" s="14">
        <f>D39</f>
        <v>3827823.6788621922</v>
      </c>
      <c r="E40" s="30">
        <f>E39</f>
        <v>8765858.9425781872</v>
      </c>
      <c r="F40" s="30">
        <f t="shared" ref="F40:H40" si="3">F39</f>
        <v>14502050.148550784</v>
      </c>
      <c r="G40" s="30">
        <f t="shared" si="3"/>
        <v>20871537.63228064</v>
      </c>
      <c r="H40" s="30">
        <f t="shared" si="3"/>
        <v>27940018.191659227</v>
      </c>
    </row>
    <row r="41" spans="2:8" x14ac:dyDescent="0.3">
      <c r="B41" s="23" t="s">
        <v>413</v>
      </c>
      <c r="D41" s="14">
        <f t="shared" ref="D41:D43" si="4">D40</f>
        <v>3827823.6788621922</v>
      </c>
      <c r="E41" s="30">
        <f t="shared" ref="E41:E43" si="5">E40</f>
        <v>8765858.9425781872</v>
      </c>
      <c r="F41" s="30">
        <f t="shared" ref="F41:F43" si="6">F40</f>
        <v>14502050.148550784</v>
      </c>
      <c r="G41" s="30">
        <f t="shared" ref="G41:G43" si="7">G40</f>
        <v>20871537.63228064</v>
      </c>
      <c r="H41" s="30">
        <f t="shared" ref="H41:H43" si="8">H40</f>
        <v>27940018.191659227</v>
      </c>
    </row>
    <row r="42" spans="2:8" x14ac:dyDescent="0.3">
      <c r="B42" s="23" t="s">
        <v>414</v>
      </c>
      <c r="D42" s="14">
        <f t="shared" si="4"/>
        <v>3827823.6788621922</v>
      </c>
      <c r="E42" s="30">
        <f t="shared" si="5"/>
        <v>8765858.9425781872</v>
      </c>
      <c r="F42" s="30">
        <f t="shared" si="6"/>
        <v>14502050.148550784</v>
      </c>
      <c r="G42" s="30">
        <f t="shared" si="7"/>
        <v>20871537.63228064</v>
      </c>
      <c r="H42" s="30">
        <f t="shared" si="8"/>
        <v>27940018.191659227</v>
      </c>
    </row>
    <row r="43" spans="2:8" x14ac:dyDescent="0.3">
      <c r="B43" s="23" t="s">
        <v>415</v>
      </c>
      <c r="D43" s="15">
        <f t="shared" si="4"/>
        <v>3827823.6788621922</v>
      </c>
      <c r="E43" s="36">
        <f t="shared" si="5"/>
        <v>8765858.9425781872</v>
      </c>
      <c r="F43" s="36">
        <f t="shared" si="6"/>
        <v>14502050.148550784</v>
      </c>
      <c r="G43" s="36">
        <f t="shared" si="7"/>
        <v>20871537.63228064</v>
      </c>
      <c r="H43" s="36">
        <f t="shared" si="8"/>
        <v>27940018.191659227</v>
      </c>
    </row>
    <row r="44" spans="2:8" x14ac:dyDescent="0.3">
      <c r="D44" s="30">
        <f>SUM(D39:D43)</f>
        <v>19139118.394310962</v>
      </c>
      <c r="E44" s="30">
        <f t="shared" ref="E44:H44" si="9">SUM(E39:E43)</f>
        <v>43829294.712890938</v>
      </c>
      <c r="F44" s="30">
        <f t="shared" si="9"/>
        <v>72510250.742753923</v>
      </c>
      <c r="G44" s="30">
        <f t="shared" si="9"/>
        <v>104357688.16140321</v>
      </c>
      <c r="H44" s="30">
        <f t="shared" si="9"/>
        <v>139700090.95829612</v>
      </c>
    </row>
    <row r="45" spans="2:8" x14ac:dyDescent="0.3">
      <c r="B45" s="23" t="s">
        <v>4</v>
      </c>
      <c r="D45" s="15">
        <f>IS!D28*0.3</f>
        <v>6059622.1689904118</v>
      </c>
      <c r="E45" s="15">
        <f>IS!E28*0.3</f>
        <v>7984523.2069669571</v>
      </c>
      <c r="F45" s="15">
        <f>IS!F28*0.3</f>
        <v>8869899.7812411543</v>
      </c>
      <c r="G45" s="15">
        <f>IS!G28*0.3</f>
        <v>9847516.1303177644</v>
      </c>
      <c r="H45" s="15">
        <f>IS!H28*0.3</f>
        <v>10926379.999960791</v>
      </c>
    </row>
    <row r="46" spans="2:8" ht="15" thickBot="1" x14ac:dyDescent="0.35">
      <c r="B46" s="8" t="s">
        <v>417</v>
      </c>
      <c r="D46" s="113">
        <f>D44+D35+D45</f>
        <v>42060081.753610052</v>
      </c>
      <c r="E46" s="113">
        <f>E44+E35+E45</f>
        <v>71518466.808172449</v>
      </c>
      <c r="F46" s="113">
        <f t="shared" ref="F46:H46" si="10">F44+F35+F45</f>
        <v>102831117.10511608</v>
      </c>
      <c r="G46" s="113">
        <f t="shared" si="10"/>
        <v>137566299.7236791</v>
      </c>
      <c r="H46" s="113">
        <f t="shared" si="10"/>
        <v>176078640.98687333</v>
      </c>
    </row>
    <row r="47" spans="2:8" ht="15" thickTop="1" x14ac:dyDescent="0.3"/>
    <row r="48" spans="2:8" x14ac:dyDescent="0.3">
      <c r="B48" t="s">
        <v>422</v>
      </c>
      <c r="D48" s="143">
        <f>D22-D46</f>
        <v>0</v>
      </c>
      <c r="E48" s="143">
        <f>E22-E46</f>
        <v>0</v>
      </c>
      <c r="F48" s="143">
        <f>F22-F46</f>
        <v>0</v>
      </c>
      <c r="G48" s="143">
        <f>G22-G46</f>
        <v>0</v>
      </c>
      <c r="H48" s="143">
        <f>H22-H46</f>
        <v>0</v>
      </c>
    </row>
    <row r="52" spans="5:8" x14ac:dyDescent="0.3">
      <c r="E52" s="14"/>
      <c r="F52" s="14"/>
      <c r="G52" s="14"/>
      <c r="H52" s="14"/>
    </row>
    <row r="54" spans="5:8" x14ac:dyDescent="0.3">
      <c r="E5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720F-2115-4784-9DD1-825DD62EB988}">
  <sheetPr>
    <tabColor theme="4" tint="-0.499984740745262"/>
  </sheetPr>
  <dimension ref="B1:H34"/>
  <sheetViews>
    <sheetView topLeftCell="A4" workbookViewId="0">
      <selection activeCell="H6" sqref="H6"/>
    </sheetView>
  </sheetViews>
  <sheetFormatPr defaultRowHeight="14.4" x14ac:dyDescent="0.3"/>
  <cols>
    <col min="2" max="2" width="36.33203125" customWidth="1"/>
    <col min="3" max="3" width="6.5546875" style="1" customWidth="1"/>
    <col min="4" max="4" width="14.88671875" customWidth="1"/>
    <col min="5" max="5" width="14.33203125" customWidth="1"/>
    <col min="6" max="6" width="16.21875" customWidth="1"/>
    <col min="7" max="7" width="15.5546875" customWidth="1"/>
    <col min="8" max="8" width="18.77734375" customWidth="1"/>
    <col min="10" max="10" width="13.109375" bestFit="1" customWidth="1"/>
  </cols>
  <sheetData>
    <row r="1" spans="2:8" x14ac:dyDescent="0.3">
      <c r="B1" s="8" t="s">
        <v>294</v>
      </c>
    </row>
    <row r="2" spans="2:8" x14ac:dyDescent="0.3">
      <c r="B2" s="8" t="s">
        <v>357</v>
      </c>
    </row>
    <row r="3" spans="2:8" x14ac:dyDescent="0.3">
      <c r="B3" s="8" t="s">
        <v>358</v>
      </c>
    </row>
    <row r="5" spans="2:8" x14ac:dyDescent="0.3">
      <c r="C5" s="81" t="s">
        <v>360</v>
      </c>
      <c r="D5" s="81">
        <v>2024</v>
      </c>
      <c r="E5" s="81">
        <v>2025</v>
      </c>
      <c r="F5" s="81">
        <v>2026</v>
      </c>
      <c r="G5" s="81">
        <v>2027</v>
      </c>
      <c r="H5" s="81">
        <v>2028</v>
      </c>
    </row>
    <row r="6" spans="2:8" x14ac:dyDescent="0.3">
      <c r="B6" s="8" t="s">
        <v>296</v>
      </c>
      <c r="C6" s="1">
        <v>1</v>
      </c>
      <c r="D6" s="14">
        <f>SalesCos!E33</f>
        <v>51055418.020730324</v>
      </c>
      <c r="E6" s="14">
        <f>SalesCos!F33</f>
        <v>56160959.822803378</v>
      </c>
      <c r="F6" s="14">
        <f>SalesCos!G33</f>
        <v>61777055.805083722</v>
      </c>
      <c r="G6" s="14">
        <f>SalesCos!H33</f>
        <v>67954761.385592073</v>
      </c>
      <c r="H6" s="14">
        <f>SalesCos!I33</f>
        <v>74750237.524151281</v>
      </c>
    </row>
    <row r="7" spans="2:8" x14ac:dyDescent="0.3">
      <c r="B7" s="8" t="s">
        <v>327</v>
      </c>
      <c r="C7" s="1">
        <v>2</v>
      </c>
      <c r="D7" s="15">
        <f>SalesCos!E101</f>
        <v>12767520.777328491</v>
      </c>
      <c r="E7" s="15">
        <f>SalesCos!F101</f>
        <v>14044272.855061345</v>
      </c>
      <c r="F7" s="15">
        <f>SalesCos!G101</f>
        <v>15448700.140567478</v>
      </c>
      <c r="G7" s="15">
        <f>SalesCos!H101</f>
        <v>16993570.154624231</v>
      </c>
      <c r="H7" s="15">
        <f>SalesCos!I101</f>
        <v>18692927.170086656</v>
      </c>
    </row>
    <row r="8" spans="2:8" x14ac:dyDescent="0.3">
      <c r="B8" s="8" t="s">
        <v>359</v>
      </c>
      <c r="D8" s="36">
        <f>D6-D7</f>
        <v>38287897.243401833</v>
      </c>
      <c r="E8" s="36">
        <f>E6-E7</f>
        <v>42116686.967742033</v>
      </c>
      <c r="F8" s="36">
        <f>F6-F7</f>
        <v>46328355.66451624</v>
      </c>
      <c r="G8" s="36">
        <f>G6-G7</f>
        <v>50961191.230967842</v>
      </c>
      <c r="H8" s="36">
        <f>H6-H7</f>
        <v>56057310.354064628</v>
      </c>
    </row>
    <row r="10" spans="2:8" x14ac:dyDescent="0.3">
      <c r="B10" s="8" t="s">
        <v>361</v>
      </c>
    </row>
    <row r="11" spans="2:8" x14ac:dyDescent="0.3">
      <c r="B11" s="18" t="s">
        <v>362</v>
      </c>
      <c r="C11" s="1">
        <v>3</v>
      </c>
      <c r="D11" s="14">
        <f>'STAFF EXPENSE'!E33</f>
        <v>4056000</v>
      </c>
      <c r="E11" s="14">
        <f>'STAFF EXPENSE'!G33</f>
        <v>4258800</v>
      </c>
      <c r="F11" s="14">
        <f>'STAFF EXPENSE'!I33</f>
        <v>4471740</v>
      </c>
      <c r="G11" s="14">
        <f>'STAFF EXPENSE'!K33</f>
        <v>4695327</v>
      </c>
      <c r="H11" s="14">
        <f>'STAFF EXPENSE'!M33</f>
        <v>4930093.3499999996</v>
      </c>
    </row>
    <row r="12" spans="2:8" x14ac:dyDescent="0.3">
      <c r="B12" s="18" t="s">
        <v>363</v>
      </c>
      <c r="C12" s="1">
        <v>3</v>
      </c>
      <c r="D12" s="14">
        <f>'STAFF EXPENSE'!E50</f>
        <v>345420</v>
      </c>
      <c r="E12" s="14">
        <f>'STAFF EXPENSE'!G50</f>
        <v>358131</v>
      </c>
      <c r="F12" s="14">
        <f>'STAFF EXPENSE'!I50</f>
        <v>371477.55000000005</v>
      </c>
      <c r="G12" s="14">
        <f>'STAFF EXPENSE'!K50</f>
        <v>383582.49750000006</v>
      </c>
      <c r="H12" s="14">
        <f>'STAFF EXPENSE'!M50</f>
        <v>395921.62237499998</v>
      </c>
    </row>
    <row r="13" spans="2:8" x14ac:dyDescent="0.3">
      <c r="B13" s="18" t="s">
        <v>364</v>
      </c>
      <c r="C13" s="1">
        <v>3</v>
      </c>
      <c r="D13" s="14">
        <f>'STAFF EXPENSE'!E83</f>
        <v>91260</v>
      </c>
      <c r="E13" s="14">
        <f>'STAFF EXPENSE'!G83</f>
        <v>95823</v>
      </c>
      <c r="F13" s="14">
        <f>'STAFF EXPENSE'!I83</f>
        <v>100614.15</v>
      </c>
      <c r="G13" s="14">
        <f>'STAFF EXPENSE'!K83</f>
        <v>105644.85750000001</v>
      </c>
      <c r="H13" s="14">
        <f>'STAFF EXPENSE'!M83</f>
        <v>110927.10037499999</v>
      </c>
    </row>
    <row r="14" spans="2:8" x14ac:dyDescent="0.3">
      <c r="B14" s="18" t="s">
        <v>365</v>
      </c>
      <c r="C14" s="1">
        <v>3</v>
      </c>
      <c r="D14" s="14">
        <f>'STAFF EXPENSE'!E100</f>
        <v>13200</v>
      </c>
      <c r="E14" s="14">
        <f>'STAFF EXPENSE'!G100</f>
        <v>13200</v>
      </c>
      <c r="F14" s="14">
        <f>E14</f>
        <v>13200</v>
      </c>
      <c r="G14" s="14">
        <f t="shared" ref="G14:H14" si="0">F14</f>
        <v>13200</v>
      </c>
      <c r="H14" s="14">
        <f t="shared" si="0"/>
        <v>13200</v>
      </c>
    </row>
    <row r="15" spans="2:8" x14ac:dyDescent="0.3">
      <c r="B15" s="18" t="s">
        <v>11</v>
      </c>
      <c r="C15" s="1">
        <v>3</v>
      </c>
      <c r="D15" s="14">
        <f>'STAFF EXPENSE'!E117</f>
        <v>338000</v>
      </c>
      <c r="E15" s="14">
        <f>'STAFF EXPENSE'!G117</f>
        <v>354900</v>
      </c>
      <c r="F15" s="14">
        <f>'STAFF EXPENSE'!I117</f>
        <v>372645</v>
      </c>
      <c r="G15" s="14">
        <f>'STAFF EXPENSE'!K117</f>
        <v>391277.25</v>
      </c>
      <c r="H15" s="14">
        <f>'STAFF EXPENSE'!M117</f>
        <v>410841.11249999999</v>
      </c>
    </row>
    <row r="16" spans="2:8" x14ac:dyDescent="0.3">
      <c r="B16" s="18" t="s">
        <v>156</v>
      </c>
      <c r="C16" s="1">
        <v>4</v>
      </c>
      <c r="D16" s="14">
        <f>'SUPPLIES EXPENSE'!E78</f>
        <v>270000</v>
      </c>
      <c r="E16" s="14">
        <f>'SUPPLIES EXPENSE'!F78</f>
        <v>278100</v>
      </c>
      <c r="F16" s="14">
        <f>'SUPPLIES EXPENSE'!G78</f>
        <v>286443</v>
      </c>
      <c r="G16" s="14">
        <f>'SUPPLIES EXPENSE'!H78</f>
        <v>295036.29000000004</v>
      </c>
      <c r="H16" s="14">
        <f>'SUPPLIES EXPENSE'!I78</f>
        <v>303887.3787</v>
      </c>
    </row>
    <row r="17" spans="2:8" x14ac:dyDescent="0.3">
      <c r="B17" s="18" t="s">
        <v>366</v>
      </c>
      <c r="C17" s="1">
        <v>5</v>
      </c>
      <c r="D17" s="14">
        <f>'SUPPLIES EXPENSE'!E84</f>
        <v>18000</v>
      </c>
      <c r="E17" s="14">
        <f>'SUPPLIES EXPENSE'!F84</f>
        <v>18540</v>
      </c>
      <c r="F17" s="14">
        <f>'SUPPLIES EXPENSE'!G84</f>
        <v>19096.2</v>
      </c>
      <c r="G17" s="14">
        <f>'SUPPLIES EXPENSE'!H84</f>
        <v>19669.086000000003</v>
      </c>
      <c r="H17" s="14">
        <f>'SUPPLIES EXPENSE'!I84</f>
        <v>20259.158580000003</v>
      </c>
    </row>
    <row r="18" spans="2:8" x14ac:dyDescent="0.3">
      <c r="B18" s="18" t="s">
        <v>368</v>
      </c>
      <c r="C18" s="1">
        <v>6</v>
      </c>
      <c r="D18" s="14">
        <f>FS!D20</f>
        <v>346363.15899999999</v>
      </c>
      <c r="E18" s="14">
        <f>FS!E20</f>
        <v>346363.15899999999</v>
      </c>
      <c r="F18" s="14">
        <f>FS!F20</f>
        <v>346363.15899999999</v>
      </c>
      <c r="G18" s="14">
        <f>FS!G20</f>
        <v>346363.15899999999</v>
      </c>
      <c r="H18" s="14">
        <f>FS!H20</f>
        <v>346363.15899999999</v>
      </c>
    </row>
    <row r="19" spans="2:8" x14ac:dyDescent="0.3">
      <c r="B19" s="18" t="s">
        <v>279</v>
      </c>
      <c r="C19" s="1">
        <v>11</v>
      </c>
      <c r="D19" s="14">
        <v>0</v>
      </c>
      <c r="E19" s="14">
        <f>MARKETING!D37</f>
        <v>10000</v>
      </c>
      <c r="F19" s="14">
        <f>MARKETING!E37</f>
        <v>10500</v>
      </c>
      <c r="G19" s="14">
        <f>MARKETING!F37</f>
        <v>11025</v>
      </c>
      <c r="H19" s="14">
        <f>MARKETING!G37</f>
        <v>11576.25</v>
      </c>
    </row>
    <row r="20" spans="2:8" x14ac:dyDescent="0.3">
      <c r="B20" s="18" t="s">
        <v>285</v>
      </c>
      <c r="C20" s="1">
        <v>10</v>
      </c>
      <c r="D20" s="14" cm="1">
        <f t="array" ref="D20:H20">'SUPPLIES EXPENSE'!C91:G91</f>
        <v>6000</v>
      </c>
      <c r="E20" s="14">
        <v>6300</v>
      </c>
      <c r="F20" s="14">
        <v>6615</v>
      </c>
      <c r="G20" s="14">
        <v>6945.75</v>
      </c>
      <c r="H20" s="14">
        <v>7293.0375000000004</v>
      </c>
    </row>
    <row r="21" spans="2:8" x14ac:dyDescent="0.3">
      <c r="B21" s="18" t="s">
        <v>367</v>
      </c>
      <c r="C21" s="1">
        <v>7</v>
      </c>
      <c r="D21" s="14" cm="1">
        <f t="array" ref="D21:H21">'SUPPLIES EXPENSE'!C99:G99</f>
        <v>20000</v>
      </c>
      <c r="E21" s="14">
        <v>20600</v>
      </c>
      <c r="F21" s="14">
        <v>21218</v>
      </c>
      <c r="G21" s="14">
        <v>21854.54</v>
      </c>
      <c r="H21" s="14">
        <v>22510.176200000002</v>
      </c>
    </row>
    <row r="22" spans="2:8" x14ac:dyDescent="0.3">
      <c r="B22" s="18" t="s">
        <v>369</v>
      </c>
      <c r="C22" s="1">
        <v>8</v>
      </c>
      <c r="D22" s="14">
        <f>'SUPPLIES EXPENSE'!C113</f>
        <v>840000</v>
      </c>
      <c r="E22" s="14">
        <f>'SUPPLIES EXPENSE'!D113</f>
        <v>856800</v>
      </c>
      <c r="F22" s="14">
        <f>'SUPPLIES EXPENSE'!E113</f>
        <v>873936</v>
      </c>
      <c r="G22" s="14">
        <f>'SUPPLIES EXPENSE'!F113</f>
        <v>891414.72</v>
      </c>
      <c r="H22" s="14">
        <f>'SUPPLIES EXPENSE'!G113</f>
        <v>909243.01439999999</v>
      </c>
    </row>
    <row r="23" spans="2:8" x14ac:dyDescent="0.3">
      <c r="B23" s="18" t="s">
        <v>370</v>
      </c>
      <c r="C23" s="1">
        <v>9</v>
      </c>
      <c r="D23" s="14">
        <f>'SUPPLIES EXPENSE'!C128</f>
        <v>12000</v>
      </c>
      <c r="E23" s="14">
        <f>'SUPPLIES EXPENSE'!D128</f>
        <v>12360</v>
      </c>
      <c r="F23" s="14">
        <f>'SUPPLIES EXPENSE'!E128</f>
        <v>12730.800000000001</v>
      </c>
      <c r="G23" s="14">
        <f>'SUPPLIES EXPENSE'!F128</f>
        <v>13112.724000000002</v>
      </c>
      <c r="H23" s="14">
        <f>'SUPPLIES EXPENSE'!G128</f>
        <v>13506.105720000003</v>
      </c>
    </row>
    <row r="24" spans="2:8" x14ac:dyDescent="0.3">
      <c r="B24" s="18" t="s">
        <v>559</v>
      </c>
      <c r="D24" s="15">
        <f>'Project Cost'!C24</f>
        <v>5000000</v>
      </c>
      <c r="E24" s="9">
        <v>0</v>
      </c>
      <c r="F24" s="9">
        <v>0</v>
      </c>
      <c r="G24" s="9">
        <v>0</v>
      </c>
      <c r="H24" s="9">
        <v>0</v>
      </c>
    </row>
    <row r="25" spans="2:8" x14ac:dyDescent="0.3">
      <c r="B25" s="8" t="s">
        <v>5</v>
      </c>
      <c r="D25" s="36">
        <f>SUM(D11:D24)</f>
        <v>11356243.159</v>
      </c>
      <c r="E25" s="36">
        <f>SUM(E11:E24)</f>
        <v>6629917.159</v>
      </c>
      <c r="F25" s="36">
        <f>SUM(F11:F24)</f>
        <v>6906578.8590000002</v>
      </c>
      <c r="G25" s="36">
        <f>SUM(G11:G24)</f>
        <v>7194452.8740000008</v>
      </c>
      <c r="H25" s="36">
        <f>SUM(H11:H24)</f>
        <v>7495621.4653499993</v>
      </c>
    </row>
    <row r="26" spans="2:8" x14ac:dyDescent="0.3">
      <c r="B26" s="8" t="s">
        <v>371</v>
      </c>
      <c r="D26" s="30">
        <f>D8-D25</f>
        <v>26931654.084401831</v>
      </c>
      <c r="E26" s="30">
        <f>E8-E25</f>
        <v>35486769.808742031</v>
      </c>
      <c r="F26" s="30">
        <f>F8-F25</f>
        <v>39421776.805516243</v>
      </c>
      <c r="G26" s="30">
        <f>G8-G25</f>
        <v>43766738.356967844</v>
      </c>
      <c r="H26" s="30">
        <f>H8-H25</f>
        <v>48561688.888714626</v>
      </c>
    </row>
    <row r="27" spans="2:8" x14ac:dyDescent="0.3">
      <c r="B27" s="18" t="s">
        <v>394</v>
      </c>
      <c r="D27" s="36">
        <f>D26*0.25</f>
        <v>6732913.5211004578</v>
      </c>
      <c r="E27" s="36">
        <f t="shared" ref="E27:H27" si="1">E26*0.25</f>
        <v>8871692.4521855079</v>
      </c>
      <c r="F27" s="36">
        <f t="shared" si="1"/>
        <v>9855444.2013790607</v>
      </c>
      <c r="G27" s="36">
        <f t="shared" si="1"/>
        <v>10941684.589241961</v>
      </c>
      <c r="H27" s="36">
        <f t="shared" si="1"/>
        <v>12140422.222178657</v>
      </c>
    </row>
    <row r="28" spans="2:8" ht="15" thickBot="1" x14ac:dyDescent="0.35">
      <c r="B28" s="8" t="s">
        <v>397</v>
      </c>
      <c r="D28" s="82">
        <f>D26-D27</f>
        <v>20198740.563301373</v>
      </c>
      <c r="E28" s="82">
        <f t="shared" ref="E28:H28" si="2">E26-E27</f>
        <v>26615077.356556524</v>
      </c>
      <c r="F28" s="82">
        <f t="shared" si="2"/>
        <v>29566332.604137182</v>
      </c>
      <c r="G28" s="82">
        <f t="shared" si="2"/>
        <v>32825053.767725885</v>
      </c>
      <c r="H28" s="82">
        <f t="shared" si="2"/>
        <v>36421266.666535974</v>
      </c>
    </row>
    <row r="29" spans="2:8" ht="15" thickTop="1" x14ac:dyDescent="0.3"/>
    <row r="34" spans="4:4" x14ac:dyDescent="0.3">
      <c r="D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3270-6483-41A4-B642-97A893248516}">
  <sheetPr>
    <tabColor theme="5" tint="-0.499984740745262"/>
  </sheetPr>
  <dimension ref="B1:I46"/>
  <sheetViews>
    <sheetView topLeftCell="A7" workbookViewId="0">
      <selection activeCell="C15" sqref="C15"/>
    </sheetView>
  </sheetViews>
  <sheetFormatPr defaultRowHeight="14.4" x14ac:dyDescent="0.3"/>
  <cols>
    <col min="2" max="2" width="29" customWidth="1"/>
    <col min="3" max="8" width="17.33203125" customWidth="1"/>
    <col min="9" max="9" width="11.44140625" bestFit="1" customWidth="1"/>
  </cols>
  <sheetData>
    <row r="1" spans="2:9" x14ac:dyDescent="0.3">
      <c r="B1" s="8" t="s">
        <v>294</v>
      </c>
    </row>
    <row r="2" spans="2:9" x14ac:dyDescent="0.3">
      <c r="B2" s="8" t="s">
        <v>345</v>
      </c>
    </row>
    <row r="3" spans="2:9" x14ac:dyDescent="0.3">
      <c r="B3" s="69" t="s">
        <v>396</v>
      </c>
    </row>
    <row r="4" spans="2:9" x14ac:dyDescent="0.3">
      <c r="C4" s="160">
        <v>2024</v>
      </c>
      <c r="D4" s="161"/>
      <c r="E4" s="161"/>
      <c r="F4" s="161"/>
      <c r="G4" s="161"/>
      <c r="H4" s="162"/>
    </row>
    <row r="5" spans="2:9" x14ac:dyDescent="0.3">
      <c r="C5" s="81" t="s">
        <v>348</v>
      </c>
      <c r="D5" s="81" t="s">
        <v>349</v>
      </c>
      <c r="E5" s="81" t="s">
        <v>350</v>
      </c>
      <c r="F5" s="81" t="s">
        <v>351</v>
      </c>
      <c r="G5" s="81" t="s">
        <v>352</v>
      </c>
      <c r="H5" s="81" t="s">
        <v>354</v>
      </c>
    </row>
    <row r="6" spans="2:9" x14ac:dyDescent="0.3">
      <c r="B6" t="s">
        <v>347</v>
      </c>
      <c r="C6" s="14">
        <f>'CAPITAL CONTRIBUTION'!C5</f>
        <v>1000000</v>
      </c>
      <c r="D6" s="14">
        <f>'CAPITAL CONTRIBUTION'!C6</f>
        <v>1000000</v>
      </c>
      <c r="E6" s="14">
        <f>'CAPITAL CONTRIBUTION'!C7</f>
        <v>1000000</v>
      </c>
      <c r="F6" s="14">
        <f>'CAPITAL CONTRIBUTION'!C8</f>
        <v>1000000</v>
      </c>
      <c r="G6" s="14">
        <f>'CAPITAL CONTRIBUTION'!C9</f>
        <v>1000000</v>
      </c>
      <c r="H6" s="14">
        <f>SUM(C6:G6)</f>
        <v>5000000</v>
      </c>
      <c r="I6" s="14"/>
    </row>
    <row r="7" spans="2:9" x14ac:dyDescent="0.3">
      <c r="B7" t="s">
        <v>353</v>
      </c>
      <c r="C7" s="15">
        <f>(IS!$D$28*0.7/5)</f>
        <v>2827823.6788621922</v>
      </c>
      <c r="D7" s="15">
        <f>(IS!$D$28*0.7/5)</f>
        <v>2827823.6788621922</v>
      </c>
      <c r="E7" s="15">
        <f>(IS!$D$28*0.7/5)</f>
        <v>2827823.6788621922</v>
      </c>
      <c r="F7" s="15">
        <f>(IS!$D$28*0.7/5)</f>
        <v>2827823.6788621922</v>
      </c>
      <c r="G7" s="15">
        <f>(IS!$D$28*0.7/5)</f>
        <v>2827823.6788621922</v>
      </c>
      <c r="H7" s="15">
        <f t="shared" ref="H7:H9" si="0">SUM(C7:G7)</f>
        <v>14139118.394310961</v>
      </c>
      <c r="I7" s="14"/>
    </row>
    <row r="8" spans="2:9" x14ac:dyDescent="0.3">
      <c r="C8" s="14">
        <f>SUM(C6:C7)</f>
        <v>3827823.6788621922</v>
      </c>
      <c r="D8" s="14">
        <f>SUM(D6:D7)</f>
        <v>3827823.6788621922</v>
      </c>
      <c r="E8" s="14">
        <f>SUM(E6:E7)</f>
        <v>3827823.6788621922</v>
      </c>
      <c r="F8" s="14">
        <f>SUM(F6:F7)</f>
        <v>3827823.6788621922</v>
      </c>
      <c r="G8" s="14">
        <f>SUM(G6:G7)</f>
        <v>3827823.6788621922</v>
      </c>
      <c r="H8" s="14">
        <f t="shared" si="0"/>
        <v>19139118.394310962</v>
      </c>
      <c r="I8" s="14"/>
    </row>
    <row r="9" spans="2:9" x14ac:dyDescent="0.3">
      <c r="B9" t="s">
        <v>355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4">
        <f t="shared" si="0"/>
        <v>0</v>
      </c>
      <c r="I9" s="14"/>
    </row>
    <row r="10" spans="2:9" x14ac:dyDescent="0.3">
      <c r="B10" s="8" t="s">
        <v>356</v>
      </c>
      <c r="C10" s="122">
        <f>C8-C9</f>
        <v>3827823.6788621922</v>
      </c>
      <c r="D10" s="122">
        <f t="shared" ref="D10:H10" si="1">D8-D9</f>
        <v>3827823.6788621922</v>
      </c>
      <c r="E10" s="122">
        <f t="shared" si="1"/>
        <v>3827823.6788621922</v>
      </c>
      <c r="F10" s="122">
        <f t="shared" si="1"/>
        <v>3827823.6788621922</v>
      </c>
      <c r="G10" s="122">
        <f t="shared" si="1"/>
        <v>3827823.6788621922</v>
      </c>
      <c r="H10" s="122">
        <f t="shared" si="1"/>
        <v>19139118.394310962</v>
      </c>
      <c r="I10" s="14"/>
    </row>
    <row r="12" spans="2:9" x14ac:dyDescent="0.3">
      <c r="C12" s="160">
        <v>2025</v>
      </c>
      <c r="D12" s="161"/>
      <c r="E12" s="161"/>
      <c r="F12" s="161"/>
      <c r="G12" s="161"/>
      <c r="H12" s="162"/>
    </row>
    <row r="13" spans="2:9" x14ac:dyDescent="0.3">
      <c r="C13" s="81" t="s">
        <v>348</v>
      </c>
      <c r="D13" s="81" t="s">
        <v>349</v>
      </c>
      <c r="E13" s="81" t="s">
        <v>350</v>
      </c>
      <c r="F13" s="81" t="s">
        <v>351</v>
      </c>
      <c r="G13" s="81" t="s">
        <v>352</v>
      </c>
      <c r="H13" s="81" t="s">
        <v>354</v>
      </c>
    </row>
    <row r="14" spans="2:9" x14ac:dyDescent="0.3">
      <c r="B14" t="s">
        <v>347</v>
      </c>
      <c r="C14" s="14">
        <f>C10</f>
        <v>3827823.6788621922</v>
      </c>
      <c r="D14" s="14">
        <f t="shared" ref="D14:G14" si="2">D10</f>
        <v>3827823.6788621922</v>
      </c>
      <c r="E14" s="14">
        <f t="shared" si="2"/>
        <v>3827823.6788621922</v>
      </c>
      <c r="F14" s="14">
        <f t="shared" si="2"/>
        <v>3827823.6788621922</v>
      </c>
      <c r="G14" s="14">
        <f t="shared" si="2"/>
        <v>3827823.6788621922</v>
      </c>
      <c r="H14" s="14">
        <f>SUM(C14:G14)</f>
        <v>19139118.394310962</v>
      </c>
    </row>
    <row r="15" spans="2:9" x14ac:dyDescent="0.3">
      <c r="B15" t="s">
        <v>562</v>
      </c>
      <c r="C15" s="14">
        <f>FS!$D$45/5</f>
        <v>1211924.4337980824</v>
      </c>
      <c r="D15" s="14">
        <f>FS!$D$45/5</f>
        <v>1211924.4337980824</v>
      </c>
      <c r="E15" s="14">
        <f>FS!$D$45/5</f>
        <v>1211924.4337980824</v>
      </c>
      <c r="F15" s="14">
        <f>FS!$D$45/5</f>
        <v>1211924.4337980824</v>
      </c>
      <c r="G15" s="14">
        <f>FS!$D$45/5</f>
        <v>1211924.4337980824</v>
      </c>
      <c r="H15" s="14">
        <f>SUM(C15:G15)</f>
        <v>6059622.1689904118</v>
      </c>
    </row>
    <row r="16" spans="2:9" x14ac:dyDescent="0.3">
      <c r="B16" t="s">
        <v>353</v>
      </c>
      <c r="C16" s="15">
        <f>(IS!$E$28*0.7)/5</f>
        <v>3726110.8299179128</v>
      </c>
      <c r="D16" s="15">
        <f>(IS!$E$28*0.7)/5</f>
        <v>3726110.8299179128</v>
      </c>
      <c r="E16" s="15">
        <f>(IS!$E$28*0.7)/5</f>
        <v>3726110.8299179128</v>
      </c>
      <c r="F16" s="15">
        <f>(IS!$E$28*0.7)/5</f>
        <v>3726110.8299179128</v>
      </c>
      <c r="G16" s="15">
        <f>(IS!$E$28*0.7)/5</f>
        <v>3726110.8299179128</v>
      </c>
      <c r="H16" s="15">
        <f>SUM(C16:G16)</f>
        <v>18630554.149589565</v>
      </c>
    </row>
    <row r="17" spans="2:9" x14ac:dyDescent="0.3">
      <c r="C17" s="14">
        <f>SUM(C14:C16)</f>
        <v>8765858.9425781872</v>
      </c>
      <c r="D17" s="14">
        <f>SUM(D14:D16)</f>
        <v>8765858.9425781872</v>
      </c>
      <c r="E17" s="14">
        <f>SUM(E14:E16)</f>
        <v>8765858.9425781872</v>
      </c>
      <c r="F17" s="14">
        <f>SUM(F14:F16)</f>
        <v>8765858.9425781872</v>
      </c>
      <c r="G17" s="14">
        <f>SUM(G14:G16)</f>
        <v>8765858.9425781872</v>
      </c>
      <c r="H17" s="14">
        <f t="shared" ref="H17:H18" si="3">SUM(C17:G17)</f>
        <v>43829294.712890938</v>
      </c>
      <c r="I17" s="30"/>
    </row>
    <row r="18" spans="2:9" x14ac:dyDescent="0.3">
      <c r="B18" t="s">
        <v>355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4">
        <f t="shared" si="3"/>
        <v>0</v>
      </c>
    </row>
    <row r="19" spans="2:9" x14ac:dyDescent="0.3">
      <c r="B19" s="8" t="s">
        <v>356</v>
      </c>
      <c r="C19" s="122">
        <f>C17-C18</f>
        <v>8765858.9425781872</v>
      </c>
      <c r="D19" s="122">
        <f t="shared" ref="D19" si="4">D17-D18</f>
        <v>8765858.9425781872</v>
      </c>
      <c r="E19" s="122">
        <f t="shared" ref="E19" si="5">E17-E18</f>
        <v>8765858.9425781872</v>
      </c>
      <c r="F19" s="122">
        <f t="shared" ref="F19" si="6">F17-F18</f>
        <v>8765858.9425781872</v>
      </c>
      <c r="G19" s="122">
        <f t="shared" ref="G19" si="7">G17-G18</f>
        <v>8765858.9425781872</v>
      </c>
      <c r="H19" s="122">
        <f t="shared" ref="H19" si="8">H17-H18</f>
        <v>43829294.712890938</v>
      </c>
    </row>
    <row r="21" spans="2:9" x14ac:dyDescent="0.3">
      <c r="C21" s="160">
        <v>2026</v>
      </c>
      <c r="D21" s="161"/>
      <c r="E21" s="161"/>
      <c r="F21" s="161"/>
      <c r="G21" s="161"/>
      <c r="H21" s="162"/>
    </row>
    <row r="22" spans="2:9" x14ac:dyDescent="0.3">
      <c r="C22" s="81" t="s">
        <v>348</v>
      </c>
      <c r="D22" s="81" t="s">
        <v>349</v>
      </c>
      <c r="E22" s="81" t="s">
        <v>350</v>
      </c>
      <c r="F22" s="81" t="s">
        <v>351</v>
      </c>
      <c r="G22" s="81" t="s">
        <v>352</v>
      </c>
      <c r="H22" s="81" t="s">
        <v>354</v>
      </c>
    </row>
    <row r="23" spans="2:9" x14ac:dyDescent="0.3">
      <c r="B23" t="s">
        <v>347</v>
      </c>
      <c r="C23" s="14">
        <f>C19</f>
        <v>8765858.9425781872</v>
      </c>
      <c r="D23" s="14">
        <f t="shared" ref="D23:G23" si="9">D19</f>
        <v>8765858.9425781872</v>
      </c>
      <c r="E23" s="14">
        <f t="shared" si="9"/>
        <v>8765858.9425781872</v>
      </c>
      <c r="F23" s="14">
        <f t="shared" si="9"/>
        <v>8765858.9425781872</v>
      </c>
      <c r="G23" s="14">
        <f t="shared" si="9"/>
        <v>8765858.9425781872</v>
      </c>
      <c r="H23" s="14">
        <f>SUM(C23:G23)</f>
        <v>43829294.712890938</v>
      </c>
    </row>
    <row r="24" spans="2:9" x14ac:dyDescent="0.3">
      <c r="B24" t="s">
        <v>562</v>
      </c>
      <c r="C24" s="14">
        <f>FS!$E$45/5</f>
        <v>1596904.6413933914</v>
      </c>
      <c r="D24" s="14">
        <f>FS!$E$45/5</f>
        <v>1596904.6413933914</v>
      </c>
      <c r="E24" s="14">
        <f>FS!$E$45/5</f>
        <v>1596904.6413933914</v>
      </c>
      <c r="F24" s="14">
        <f>FS!$E$45/5</f>
        <v>1596904.6413933914</v>
      </c>
      <c r="G24" s="14">
        <f>FS!$E$45/5</f>
        <v>1596904.6413933914</v>
      </c>
      <c r="H24" s="14">
        <f>SUM(C24:G24)</f>
        <v>7984523.2069669571</v>
      </c>
    </row>
    <row r="25" spans="2:9" x14ac:dyDescent="0.3">
      <c r="B25" t="s">
        <v>353</v>
      </c>
      <c r="C25" s="15">
        <f>(IS!$F$28*0.7)/5</f>
        <v>4139286.5645792051</v>
      </c>
      <c r="D25" s="15">
        <f>(IS!$F$28*0.7)/5</f>
        <v>4139286.5645792051</v>
      </c>
      <c r="E25" s="15">
        <f>(IS!$F$28*0.7)/5</f>
        <v>4139286.5645792051</v>
      </c>
      <c r="F25" s="15">
        <f>(IS!$F$28*0.7)/5</f>
        <v>4139286.5645792051</v>
      </c>
      <c r="G25" s="15">
        <f>(IS!$F$28*0.7)/5</f>
        <v>4139286.5645792051</v>
      </c>
      <c r="H25" s="15">
        <f t="shared" ref="H25:H27" si="10">SUM(C25:G25)</f>
        <v>20696432.822896026</v>
      </c>
    </row>
    <row r="26" spans="2:9" x14ac:dyDescent="0.3">
      <c r="C26" s="14">
        <f>SUM(C23:C25)</f>
        <v>14502050.148550784</v>
      </c>
      <c r="D26" s="14">
        <f>SUM(D23:D25)</f>
        <v>14502050.148550784</v>
      </c>
      <c r="E26" s="14">
        <f>SUM(E23:E25)</f>
        <v>14502050.148550784</v>
      </c>
      <c r="F26" s="14">
        <f>SUM(F23:F25)</f>
        <v>14502050.148550784</v>
      </c>
      <c r="G26" s="14">
        <f>SUM(G23:G25)</f>
        <v>14502050.148550784</v>
      </c>
      <c r="H26" s="14">
        <f t="shared" si="10"/>
        <v>72510250.742753923</v>
      </c>
    </row>
    <row r="27" spans="2:9" x14ac:dyDescent="0.3">
      <c r="B27" t="s">
        <v>355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4">
        <f t="shared" si="10"/>
        <v>0</v>
      </c>
    </row>
    <row r="28" spans="2:9" x14ac:dyDescent="0.3">
      <c r="B28" s="8" t="s">
        <v>356</v>
      </c>
      <c r="C28" s="122">
        <f>C26-C27</f>
        <v>14502050.148550784</v>
      </c>
      <c r="D28" s="122">
        <f t="shared" ref="D28" si="11">D26-D27</f>
        <v>14502050.148550784</v>
      </c>
      <c r="E28" s="122">
        <f t="shared" ref="E28" si="12">E26-E27</f>
        <v>14502050.148550784</v>
      </c>
      <c r="F28" s="122">
        <f t="shared" ref="F28" si="13">F26-F27</f>
        <v>14502050.148550784</v>
      </c>
      <c r="G28" s="122">
        <f t="shared" ref="G28" si="14">G26-G27</f>
        <v>14502050.148550784</v>
      </c>
      <c r="H28" s="122">
        <f t="shared" ref="H28" si="15">H26-H27</f>
        <v>72510250.742753923</v>
      </c>
    </row>
    <row r="30" spans="2:9" x14ac:dyDescent="0.3">
      <c r="C30" s="160">
        <v>2027</v>
      </c>
      <c r="D30" s="161"/>
      <c r="E30" s="161"/>
      <c r="F30" s="161"/>
      <c r="G30" s="161"/>
      <c r="H30" s="162"/>
    </row>
    <row r="31" spans="2:9" x14ac:dyDescent="0.3">
      <c r="C31" s="81" t="s">
        <v>348</v>
      </c>
      <c r="D31" s="81" t="s">
        <v>349</v>
      </c>
      <c r="E31" s="81" t="s">
        <v>350</v>
      </c>
      <c r="F31" s="81" t="s">
        <v>351</v>
      </c>
      <c r="G31" s="81" t="s">
        <v>352</v>
      </c>
      <c r="H31" s="81" t="s">
        <v>354</v>
      </c>
    </row>
    <row r="32" spans="2:9" x14ac:dyDescent="0.3">
      <c r="B32" t="s">
        <v>347</v>
      </c>
      <c r="C32" s="14">
        <f>C28</f>
        <v>14502050.148550784</v>
      </c>
      <c r="D32" s="14">
        <f t="shared" ref="D32:G32" si="16">D28</f>
        <v>14502050.148550784</v>
      </c>
      <c r="E32" s="14">
        <f t="shared" si="16"/>
        <v>14502050.148550784</v>
      </c>
      <c r="F32" s="14">
        <f t="shared" si="16"/>
        <v>14502050.148550784</v>
      </c>
      <c r="G32" s="14">
        <f t="shared" si="16"/>
        <v>14502050.148550784</v>
      </c>
      <c r="H32" s="14">
        <f>SUM(C32:G32)</f>
        <v>72510250.742753923</v>
      </c>
    </row>
    <row r="33" spans="2:8" x14ac:dyDescent="0.3">
      <c r="B33" t="s">
        <v>562</v>
      </c>
      <c r="C33" s="14">
        <f>FS!$F$45/5</f>
        <v>1773979.9562482308</v>
      </c>
      <c r="D33" s="14">
        <f>FS!$F$45/5</f>
        <v>1773979.9562482308</v>
      </c>
      <c r="E33" s="14">
        <f>FS!$F$45/5</f>
        <v>1773979.9562482308</v>
      </c>
      <c r="F33" s="14">
        <f>FS!$F$45/5</f>
        <v>1773979.9562482308</v>
      </c>
      <c r="G33" s="14">
        <f>FS!$F$45/5</f>
        <v>1773979.9562482308</v>
      </c>
      <c r="H33" s="14">
        <f>SUM(C33:G33)</f>
        <v>8869899.7812411543</v>
      </c>
    </row>
    <row r="34" spans="2:8" x14ac:dyDescent="0.3">
      <c r="B34" t="s">
        <v>353</v>
      </c>
      <c r="C34" s="15">
        <f>(IS!$G$28*0.7)/5</f>
        <v>4595507.5274816239</v>
      </c>
      <c r="D34" s="15">
        <f>(IS!$G$28*0.7)/5</f>
        <v>4595507.5274816239</v>
      </c>
      <c r="E34" s="15">
        <f>(IS!$G$28*0.7)/5</f>
        <v>4595507.5274816239</v>
      </c>
      <c r="F34" s="15">
        <f>(IS!$G$28*0.7)/5</f>
        <v>4595507.5274816239</v>
      </c>
      <c r="G34" s="15">
        <f>(IS!$G$28*0.7)/5</f>
        <v>4595507.5274816239</v>
      </c>
      <c r="H34" s="15">
        <f t="shared" ref="H34:H36" si="17">SUM(C34:G34)</f>
        <v>22977537.637408119</v>
      </c>
    </row>
    <row r="35" spans="2:8" x14ac:dyDescent="0.3">
      <c r="C35" s="14">
        <f>SUM(C32:C34)</f>
        <v>20871537.63228064</v>
      </c>
      <c r="D35" s="14">
        <f>SUM(D32:D34)</f>
        <v>20871537.63228064</v>
      </c>
      <c r="E35" s="14">
        <f>SUM(E32:E34)</f>
        <v>20871537.63228064</v>
      </c>
      <c r="F35" s="14">
        <f>SUM(F32:F34)</f>
        <v>20871537.63228064</v>
      </c>
      <c r="G35" s="14">
        <f>SUM(G32:G34)</f>
        <v>20871537.63228064</v>
      </c>
      <c r="H35" s="14">
        <f t="shared" si="17"/>
        <v>104357688.16140321</v>
      </c>
    </row>
    <row r="36" spans="2:8" x14ac:dyDescent="0.3">
      <c r="B36" t="s">
        <v>355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4">
        <f t="shared" si="17"/>
        <v>0</v>
      </c>
    </row>
    <row r="37" spans="2:8" x14ac:dyDescent="0.3">
      <c r="B37" s="8" t="s">
        <v>356</v>
      </c>
      <c r="C37" s="122">
        <f>C35-C36</f>
        <v>20871537.63228064</v>
      </c>
      <c r="D37" s="122">
        <f t="shared" ref="D37" si="18">D35-D36</f>
        <v>20871537.63228064</v>
      </c>
      <c r="E37" s="122">
        <f t="shared" ref="E37" si="19">E35-E36</f>
        <v>20871537.63228064</v>
      </c>
      <c r="F37" s="122">
        <f t="shared" ref="F37" si="20">F35-F36</f>
        <v>20871537.63228064</v>
      </c>
      <c r="G37" s="122">
        <f t="shared" ref="G37" si="21">G35-G36</f>
        <v>20871537.63228064</v>
      </c>
      <c r="H37" s="122">
        <f t="shared" ref="H37" si="22">H35-H36</f>
        <v>104357688.16140321</v>
      </c>
    </row>
    <row r="39" spans="2:8" x14ac:dyDescent="0.3">
      <c r="C39" s="160">
        <v>2028</v>
      </c>
      <c r="D39" s="161"/>
      <c r="E39" s="161"/>
      <c r="F39" s="161"/>
      <c r="G39" s="161"/>
      <c r="H39" s="162"/>
    </row>
    <row r="40" spans="2:8" x14ac:dyDescent="0.3">
      <c r="C40" s="81" t="s">
        <v>348</v>
      </c>
      <c r="D40" s="81" t="s">
        <v>349</v>
      </c>
      <c r="E40" s="81" t="s">
        <v>350</v>
      </c>
      <c r="F40" s="81" t="s">
        <v>351</v>
      </c>
      <c r="G40" s="81" t="s">
        <v>352</v>
      </c>
      <c r="H40" s="81" t="s">
        <v>354</v>
      </c>
    </row>
    <row r="41" spans="2:8" x14ac:dyDescent="0.3">
      <c r="B41" t="s">
        <v>347</v>
      </c>
      <c r="C41" s="14">
        <f>C37</f>
        <v>20871537.63228064</v>
      </c>
      <c r="D41" s="14">
        <f t="shared" ref="D41:G41" si="23">D37</f>
        <v>20871537.63228064</v>
      </c>
      <c r="E41" s="14">
        <f t="shared" si="23"/>
        <v>20871537.63228064</v>
      </c>
      <c r="F41" s="14">
        <f t="shared" si="23"/>
        <v>20871537.63228064</v>
      </c>
      <c r="G41" s="14">
        <f t="shared" si="23"/>
        <v>20871537.63228064</v>
      </c>
      <c r="H41" s="14">
        <f>SUM(C41:G41)</f>
        <v>104357688.16140321</v>
      </c>
    </row>
    <row r="42" spans="2:8" x14ac:dyDescent="0.3">
      <c r="B42" t="s">
        <v>562</v>
      </c>
      <c r="C42" s="14">
        <f>FS!$G$45/5</f>
        <v>1969503.2260635528</v>
      </c>
      <c r="D42" s="14">
        <f>FS!$G$45/5</f>
        <v>1969503.2260635528</v>
      </c>
      <c r="E42" s="14">
        <f>FS!$G$45/5</f>
        <v>1969503.2260635528</v>
      </c>
      <c r="F42" s="14">
        <f>FS!$G$45/5</f>
        <v>1969503.2260635528</v>
      </c>
      <c r="G42" s="14">
        <f>FS!$G$45/5</f>
        <v>1969503.2260635528</v>
      </c>
      <c r="H42" s="14">
        <f>SUM(C42:G42)</f>
        <v>9847516.1303177644</v>
      </c>
    </row>
    <row r="43" spans="2:8" x14ac:dyDescent="0.3">
      <c r="B43" t="s">
        <v>353</v>
      </c>
      <c r="C43" s="15">
        <f>(IS!$H$28*0.7)/5</f>
        <v>5098977.3333150353</v>
      </c>
      <c r="D43" s="15">
        <f>(IS!$H$28*0.7)/5</f>
        <v>5098977.3333150353</v>
      </c>
      <c r="E43" s="15">
        <f>(IS!$H$28*0.7)/5</f>
        <v>5098977.3333150353</v>
      </c>
      <c r="F43" s="15">
        <f>(IS!$H$28*0.7)/5</f>
        <v>5098977.3333150353</v>
      </c>
      <c r="G43" s="15">
        <f>(IS!$H$28*0.7)/5</f>
        <v>5098977.3333150353</v>
      </c>
      <c r="H43" s="15">
        <f t="shared" ref="H43:H45" si="24">SUM(C43:G43)</f>
        <v>25494886.666575179</v>
      </c>
    </row>
    <row r="44" spans="2:8" x14ac:dyDescent="0.3">
      <c r="C44" s="14">
        <f>SUM(C41:C43)</f>
        <v>27940018.191659227</v>
      </c>
      <c r="D44" s="14">
        <f>SUM(D41:D43)</f>
        <v>27940018.191659227</v>
      </c>
      <c r="E44" s="14">
        <f>SUM(E41:E43)</f>
        <v>27940018.191659227</v>
      </c>
      <c r="F44" s="14">
        <f>SUM(F41:F43)</f>
        <v>27940018.191659227</v>
      </c>
      <c r="G44" s="14">
        <f>SUM(G41:G43)</f>
        <v>27940018.191659227</v>
      </c>
      <c r="H44" s="14">
        <f t="shared" si="24"/>
        <v>139700090.95829612</v>
      </c>
    </row>
    <row r="45" spans="2:8" x14ac:dyDescent="0.3">
      <c r="B45" t="s">
        <v>355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4">
        <f t="shared" si="24"/>
        <v>0</v>
      </c>
    </row>
    <row r="46" spans="2:8" x14ac:dyDescent="0.3">
      <c r="B46" s="8" t="s">
        <v>356</v>
      </c>
      <c r="C46" s="122">
        <f>C44-C45</f>
        <v>27940018.191659227</v>
      </c>
      <c r="D46" s="122">
        <f t="shared" ref="D46" si="25">D44-D45</f>
        <v>27940018.191659227</v>
      </c>
      <c r="E46" s="122">
        <f t="shared" ref="E46" si="26">E44-E45</f>
        <v>27940018.191659227</v>
      </c>
      <c r="F46" s="122">
        <f t="shared" ref="F46" si="27">F44-F45</f>
        <v>27940018.191659227</v>
      </c>
      <c r="G46" s="122">
        <f t="shared" ref="G46" si="28">G44-G45</f>
        <v>27940018.191659227</v>
      </c>
      <c r="H46" s="122">
        <f t="shared" ref="H46" si="29">H44-H45</f>
        <v>139700090.95829612</v>
      </c>
    </row>
  </sheetData>
  <mergeCells count="5">
    <mergeCell ref="C4:H4"/>
    <mergeCell ref="C12:H12"/>
    <mergeCell ref="C21:H21"/>
    <mergeCell ref="C30:H30"/>
    <mergeCell ref="C39:H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75FC-91A5-4D75-A752-9E90E28ECB2F}">
  <sheetPr>
    <tabColor theme="5" tint="-0.249977111117893"/>
  </sheetPr>
  <dimension ref="B1:G58"/>
  <sheetViews>
    <sheetView workbookViewId="0">
      <selection activeCell="D57" sqref="D57"/>
    </sheetView>
  </sheetViews>
  <sheetFormatPr defaultRowHeight="14.4" x14ac:dyDescent="0.3"/>
  <cols>
    <col min="1" max="1" width="4.21875" customWidth="1"/>
    <col min="2" max="2" width="45.6640625" customWidth="1"/>
    <col min="3" max="7" width="21.33203125" customWidth="1"/>
  </cols>
  <sheetData>
    <row r="1" spans="2:7" x14ac:dyDescent="0.3">
      <c r="B1" s="8" t="s">
        <v>564</v>
      </c>
    </row>
    <row r="2" spans="2:7" x14ac:dyDescent="0.3">
      <c r="B2" s="8" t="s">
        <v>563</v>
      </c>
    </row>
    <row r="3" spans="2:7" x14ac:dyDescent="0.3">
      <c r="B3" s="123" t="s">
        <v>389</v>
      </c>
      <c r="C3" s="81">
        <v>2024</v>
      </c>
      <c r="D3" s="81">
        <v>2025</v>
      </c>
      <c r="E3" s="81">
        <v>2026</v>
      </c>
      <c r="F3" s="81">
        <v>2027</v>
      </c>
      <c r="G3" s="81">
        <v>2028</v>
      </c>
    </row>
    <row r="4" spans="2:7" hidden="1" x14ac:dyDescent="0.3">
      <c r="B4" s="8"/>
    </row>
    <row r="5" spans="2:7" hidden="1" x14ac:dyDescent="0.3">
      <c r="C5" s="14"/>
    </row>
    <row r="6" spans="2:7" hidden="1" x14ac:dyDescent="0.3">
      <c r="C6" s="15"/>
      <c r="D6" s="15"/>
      <c r="E6" s="15"/>
      <c r="F6" s="15"/>
      <c r="G6" s="15"/>
    </row>
    <row r="7" spans="2:7" hidden="1" x14ac:dyDescent="0.3">
      <c r="B7" s="68"/>
      <c r="C7" s="14"/>
      <c r="D7" s="14"/>
      <c r="E7" s="14"/>
      <c r="F7" s="14"/>
      <c r="G7" s="14"/>
    </row>
    <row r="8" spans="2:7" hidden="1" x14ac:dyDescent="0.3">
      <c r="B8" s="8"/>
    </row>
    <row r="9" spans="2:7" hidden="1" x14ac:dyDescent="0.3">
      <c r="B9" s="8"/>
    </row>
    <row r="10" spans="2:7" hidden="1" x14ac:dyDescent="0.3">
      <c r="C10" s="14"/>
    </row>
    <row r="11" spans="2:7" hidden="1" x14ac:dyDescent="0.3">
      <c r="C11" s="14"/>
    </row>
    <row r="12" spans="2:7" hidden="1" x14ac:dyDescent="0.3">
      <c r="C12" s="14"/>
    </row>
    <row r="13" spans="2:7" hidden="1" x14ac:dyDescent="0.3">
      <c r="C13" s="14"/>
    </row>
    <row r="14" spans="2:7" hidden="1" x14ac:dyDescent="0.3">
      <c r="C14" s="14"/>
    </row>
    <row r="15" spans="2:7" hidden="1" x14ac:dyDescent="0.3">
      <c r="C15" s="14"/>
    </row>
    <row r="16" spans="2:7" hidden="1" x14ac:dyDescent="0.3">
      <c r="C16" s="30"/>
    </row>
    <row r="17" spans="2:7" hidden="1" x14ac:dyDescent="0.3">
      <c r="C17" s="14"/>
      <c r="D17" s="14"/>
      <c r="E17" s="14"/>
      <c r="F17" s="14"/>
      <c r="G17" s="14"/>
    </row>
    <row r="18" spans="2:7" hidden="1" x14ac:dyDescent="0.3">
      <c r="C18" s="38"/>
      <c r="D18" s="38"/>
      <c r="E18" s="38"/>
      <c r="F18" s="38"/>
      <c r="G18" s="38"/>
    </row>
    <row r="19" spans="2:7" hidden="1" x14ac:dyDescent="0.3">
      <c r="B19" s="9"/>
      <c r="C19" s="15"/>
      <c r="D19" s="15"/>
      <c r="E19" s="15"/>
      <c r="F19" s="15"/>
      <c r="G19" s="15"/>
    </row>
    <row r="20" spans="2:7" hidden="1" x14ac:dyDescent="0.3">
      <c r="B20" s="127"/>
      <c r="C20" s="36"/>
      <c r="D20" s="36"/>
      <c r="E20" s="36"/>
      <c r="F20" s="36"/>
      <c r="G20" s="36"/>
    </row>
    <row r="21" spans="2:7" hidden="1" x14ac:dyDescent="0.3">
      <c r="B21" s="8"/>
      <c r="C21" s="30"/>
      <c r="D21" s="30"/>
      <c r="E21" s="30"/>
      <c r="F21" s="30"/>
      <c r="G21" s="30"/>
    </row>
    <row r="22" spans="2:7" hidden="1" x14ac:dyDescent="0.3"/>
    <row r="23" spans="2:7" hidden="1" x14ac:dyDescent="0.3">
      <c r="C23" s="14"/>
      <c r="D23" s="14"/>
      <c r="E23" s="14"/>
      <c r="F23" s="14"/>
      <c r="G23" s="14"/>
    </row>
    <row r="24" spans="2:7" hidden="1" x14ac:dyDescent="0.3">
      <c r="B24" s="24"/>
      <c r="C24" s="120"/>
      <c r="D24" s="120"/>
      <c r="E24" s="120"/>
      <c r="F24" s="120"/>
      <c r="G24" s="120"/>
    </row>
    <row r="25" spans="2:7" hidden="1" x14ac:dyDescent="0.3">
      <c r="B25" s="9"/>
      <c r="C25" s="15"/>
      <c r="D25" s="15"/>
      <c r="E25" s="15"/>
      <c r="F25" s="15"/>
      <c r="G25" s="15"/>
    </row>
    <row r="26" spans="2:7" hidden="1" x14ac:dyDescent="0.3">
      <c r="B26" s="8"/>
      <c r="C26" s="124"/>
      <c r="D26" s="124"/>
      <c r="E26" s="124"/>
      <c r="F26" s="124"/>
      <c r="G26" s="124"/>
    </row>
    <row r="27" spans="2:7" hidden="1" x14ac:dyDescent="0.3">
      <c r="C27" s="30"/>
    </row>
    <row r="28" spans="2:7" hidden="1" x14ac:dyDescent="0.3"/>
    <row r="29" spans="2:7" hidden="1" x14ac:dyDescent="0.3"/>
    <row r="30" spans="2:7" hidden="1" x14ac:dyDescent="0.3"/>
    <row r="31" spans="2:7" hidden="1" x14ac:dyDescent="0.3"/>
    <row r="32" spans="2:7" x14ac:dyDescent="0.3">
      <c r="B32" s="8" t="s">
        <v>565</v>
      </c>
    </row>
    <row r="33" spans="2:7" x14ac:dyDescent="0.3">
      <c r="B33" s="18" t="s">
        <v>560</v>
      </c>
      <c r="C33" s="14">
        <f>IS!D28</f>
        <v>20198740.563301373</v>
      </c>
      <c r="D33" s="14">
        <f>IS!E28</f>
        <v>26615077.356556524</v>
      </c>
      <c r="E33" s="14">
        <f>IS!F28</f>
        <v>29566332.604137182</v>
      </c>
      <c r="F33" s="14">
        <f>IS!G28</f>
        <v>32825053.767725885</v>
      </c>
      <c r="G33" s="14">
        <f>IS!H28</f>
        <v>36421266.666535974</v>
      </c>
    </row>
    <row r="34" spans="2:7" x14ac:dyDescent="0.3">
      <c r="B34" s="18" t="s">
        <v>566</v>
      </c>
      <c r="C34" s="14">
        <f>'Project Cost'!C24</f>
        <v>5000000</v>
      </c>
    </row>
    <row r="35" spans="2:7" x14ac:dyDescent="0.3">
      <c r="B35" s="18" t="s">
        <v>368</v>
      </c>
      <c r="C35" s="14">
        <f>IS!D18</f>
        <v>346363.15899999999</v>
      </c>
      <c r="D35" s="14">
        <f>IS!E18</f>
        <v>346363.15899999999</v>
      </c>
      <c r="E35" s="14">
        <f>IS!F18</f>
        <v>346363.15899999999</v>
      </c>
      <c r="F35" s="14">
        <f>IS!G18</f>
        <v>346363.15899999999</v>
      </c>
      <c r="G35" s="14">
        <f>IS!H18</f>
        <v>346363.15899999999</v>
      </c>
    </row>
    <row r="36" spans="2:7" x14ac:dyDescent="0.3">
      <c r="B36" s="18" t="s">
        <v>567</v>
      </c>
      <c r="C36" s="14">
        <f>FS!D9</f>
        <v>245529.24571785561</v>
      </c>
      <c r="D36" s="30">
        <f>FS!E9-FS!D9</f>
        <v>24552.924571785639</v>
      </c>
      <c r="E36" s="30">
        <f>FS!F9-FS!E9</f>
        <v>27008.217028964078</v>
      </c>
      <c r="F36" s="30">
        <f>FS!G9-FS!F9</f>
        <v>29709.038731860637</v>
      </c>
      <c r="G36" s="30">
        <f>FS!H9-FS!G9</f>
        <v>32679.942605046672</v>
      </c>
    </row>
    <row r="37" spans="2:7" x14ac:dyDescent="0.3">
      <c r="B37" s="18" t="s">
        <v>568</v>
      </c>
      <c r="C37" s="38">
        <f>FS!D10</f>
        <v>420000</v>
      </c>
    </row>
    <row r="38" spans="2:7" x14ac:dyDescent="0.3">
      <c r="B38" s="18" t="s">
        <v>569</v>
      </c>
      <c r="C38" s="14">
        <f>FS!D26</f>
        <v>4594547.6692082202</v>
      </c>
      <c r="D38" s="14">
        <f>FS!E26-FS!D26</f>
        <v>459454.7669208236</v>
      </c>
      <c r="E38" s="14">
        <f>FS!F26-FS!E26</f>
        <v>505400.24361290503</v>
      </c>
      <c r="F38" s="14">
        <f>FS!G26-FS!F26</f>
        <v>555940.26797419228</v>
      </c>
      <c r="G38" s="14">
        <f>FS!H26-FS!G26</f>
        <v>611534.29477161448</v>
      </c>
    </row>
    <row r="39" spans="2:7" x14ac:dyDescent="0.3">
      <c r="B39" s="18" t="s">
        <v>570</v>
      </c>
      <c r="C39" s="14">
        <f>FS!D27</f>
        <v>6732913.5211004578</v>
      </c>
      <c r="D39" s="14">
        <f>FS!E27-FS!D27</f>
        <v>2138778.9310850501</v>
      </c>
      <c r="E39" s="14">
        <f>FS!F27-FS!E27</f>
        <v>983751.74919355288</v>
      </c>
      <c r="F39" s="14">
        <f>FS!G27-FS!F27</f>
        <v>1086240.3878629003</v>
      </c>
      <c r="G39" s="14">
        <f>FS!H27-FS!G27</f>
        <v>1198737.6329366956</v>
      </c>
    </row>
    <row r="40" spans="2:7" x14ac:dyDescent="0.3">
      <c r="B40" s="18" t="s">
        <v>571</v>
      </c>
      <c r="C40" s="14">
        <f>FS!D28</f>
        <v>345420</v>
      </c>
      <c r="D40" s="14">
        <f>FS!E28-FS!D28</f>
        <v>12711</v>
      </c>
      <c r="E40" s="14">
        <f>FS!F28-FS!E28</f>
        <v>13346.550000000047</v>
      </c>
      <c r="F40" s="14">
        <f>FS!G28-FS!F28</f>
        <v>12104.947500000009</v>
      </c>
      <c r="G40" s="14">
        <f>FS!H28-FS!G28</f>
        <v>12339.124874999921</v>
      </c>
    </row>
    <row r="41" spans="2:7" x14ac:dyDescent="0.3">
      <c r="B41" s="18" t="s">
        <v>572</v>
      </c>
      <c r="C41" s="14">
        <f>FS!D29</f>
        <v>91260</v>
      </c>
      <c r="D41" s="14">
        <f>FS!E29-FS!D29</f>
        <v>4563</v>
      </c>
      <c r="E41" s="14">
        <f>FS!F29-FS!E29</f>
        <v>4791.1499999999942</v>
      </c>
      <c r="F41" s="14">
        <f>FS!G29-FS!F29</f>
        <v>5030.7075000000186</v>
      </c>
      <c r="G41" s="14">
        <f>FS!H29-FS!G29</f>
        <v>5282.2428749999817</v>
      </c>
    </row>
    <row r="42" spans="2:7" x14ac:dyDescent="0.3">
      <c r="B42" s="18" t="s">
        <v>573</v>
      </c>
      <c r="C42" s="14">
        <f>FS!D30</f>
        <v>13200</v>
      </c>
      <c r="D42" s="14"/>
      <c r="E42" s="14"/>
      <c r="F42" s="14"/>
      <c r="G42" s="14"/>
    </row>
    <row r="43" spans="2:7" x14ac:dyDescent="0.3">
      <c r="B43" s="18" t="s">
        <v>574</v>
      </c>
      <c r="C43" s="14">
        <f>FS!D31</f>
        <v>338000</v>
      </c>
      <c r="D43" s="14">
        <f>FS!E31-FS!D31</f>
        <v>16900</v>
      </c>
      <c r="E43" s="14">
        <f>FS!F31-FS!E31</f>
        <v>17745</v>
      </c>
      <c r="F43" s="14">
        <f>FS!G31-FS!F31</f>
        <v>18632.25</v>
      </c>
      <c r="G43" s="14">
        <f>FS!H31-FS!G31</f>
        <v>19563.862499999988</v>
      </c>
    </row>
    <row r="44" spans="2:7" x14ac:dyDescent="0.3">
      <c r="B44" s="18" t="s">
        <v>575</v>
      </c>
      <c r="C44" s="14">
        <f>FS!D32</f>
        <v>270000</v>
      </c>
      <c r="D44" s="14">
        <f>FS!E32-FS!D32</f>
        <v>8100</v>
      </c>
      <c r="E44" s="14">
        <f>FS!F32-FS!E32</f>
        <v>8343</v>
      </c>
      <c r="F44" s="14">
        <f>FS!G32-FS!F32</f>
        <v>8593.2900000000373</v>
      </c>
      <c r="G44" s="14">
        <f>FS!H32-FS!G32</f>
        <v>8851.0886999999639</v>
      </c>
    </row>
    <row r="45" spans="2:7" x14ac:dyDescent="0.3">
      <c r="B45" s="18" t="s">
        <v>576</v>
      </c>
      <c r="C45" s="14">
        <f>FS!D33</f>
        <v>4056000</v>
      </c>
      <c r="D45" s="14">
        <f>FS!E33-FS!D33</f>
        <v>202800</v>
      </c>
      <c r="E45" s="14">
        <f>FS!F33-FS!E33</f>
        <v>212940</v>
      </c>
      <c r="F45" s="14">
        <f>FS!G33-FS!F33</f>
        <v>223587</v>
      </c>
      <c r="G45" s="14">
        <f>FS!H33-FS!G33</f>
        <v>234766.34999999963</v>
      </c>
    </row>
    <row r="46" spans="2:7" x14ac:dyDescent="0.3">
      <c r="B46" s="28" t="s">
        <v>577</v>
      </c>
      <c r="C46" s="15">
        <f>FS!D34</f>
        <v>420000</v>
      </c>
      <c r="D46" s="15"/>
      <c r="E46" s="15"/>
      <c r="F46" s="15"/>
      <c r="G46" s="15"/>
    </row>
    <row r="47" spans="2:7" x14ac:dyDescent="0.3">
      <c r="B47" s="51" t="s">
        <v>578</v>
      </c>
      <c r="C47" s="55">
        <f>SUM(C38:C46)+(C33+C34+C35)-(C36+C37)</f>
        <v>41740915.666892201</v>
      </c>
      <c r="D47" s="55">
        <f t="shared" ref="D47:G47" si="0">SUM(D38:D46)+(D33+D34+D35)-(D36+D37)</f>
        <v>29780195.288990609</v>
      </c>
      <c r="E47" s="55">
        <f t="shared" si="0"/>
        <v>31632005.238914676</v>
      </c>
      <c r="F47" s="55">
        <f t="shared" si="0"/>
        <v>35051836.738831118</v>
      </c>
      <c r="G47" s="55">
        <f t="shared" si="0"/>
        <v>38826024.479589239</v>
      </c>
    </row>
    <row r="48" spans="2:7" x14ac:dyDescent="0.3">
      <c r="B48" s="8" t="s">
        <v>579</v>
      </c>
    </row>
    <row r="49" spans="2:7" x14ac:dyDescent="0.3">
      <c r="B49" s="22" t="s">
        <v>35</v>
      </c>
      <c r="C49" s="14">
        <f>FS!D14</f>
        <v>1246000</v>
      </c>
    </row>
    <row r="50" spans="2:7" x14ac:dyDescent="0.3">
      <c r="B50" s="22" t="s">
        <v>36</v>
      </c>
      <c r="C50" s="14">
        <f>FS!D15</f>
        <v>810516.69</v>
      </c>
    </row>
    <row r="51" spans="2:7" x14ac:dyDescent="0.3">
      <c r="B51" s="22" t="s">
        <v>37</v>
      </c>
      <c r="C51" s="14">
        <f>FS!D16</f>
        <v>722348.95</v>
      </c>
    </row>
    <row r="52" spans="2:7" x14ac:dyDescent="0.3">
      <c r="B52" s="22" t="s">
        <v>38</v>
      </c>
      <c r="C52" s="14">
        <f>FS!D17</f>
        <v>65000</v>
      </c>
    </row>
    <row r="53" spans="2:7" x14ac:dyDescent="0.3">
      <c r="B53" s="22" t="s">
        <v>75</v>
      </c>
      <c r="C53" s="14">
        <f>FS!D18</f>
        <v>60000</v>
      </c>
    </row>
    <row r="54" spans="2:7" x14ac:dyDescent="0.3">
      <c r="B54" s="144" t="s">
        <v>76</v>
      </c>
      <c r="C54" s="15">
        <f>FS!D19</f>
        <v>60600</v>
      </c>
      <c r="D54" s="9"/>
      <c r="E54" s="9"/>
      <c r="F54" s="9"/>
      <c r="G54" s="9"/>
    </row>
    <row r="55" spans="2:7" x14ac:dyDescent="0.3">
      <c r="B55" s="51" t="s">
        <v>580</v>
      </c>
      <c r="C55" s="70">
        <f>SUM(C49:C54)</f>
        <v>2964465.6399999997</v>
      </c>
      <c r="D55" s="10"/>
      <c r="E55" s="10"/>
      <c r="F55" s="10"/>
      <c r="G55" s="10"/>
    </row>
    <row r="56" spans="2:7" x14ac:dyDescent="0.3">
      <c r="B56" s="8" t="s">
        <v>581</v>
      </c>
      <c r="D56" s="30">
        <f>C57</f>
        <v>38776450.0268922</v>
      </c>
      <c r="E56" s="30">
        <f>D57</f>
        <v>68556645.315882802</v>
      </c>
      <c r="F56" s="30">
        <f t="shared" ref="F56:G56" si="1">E57</f>
        <v>100188650.55479747</v>
      </c>
      <c r="G56" s="30">
        <f t="shared" si="1"/>
        <v>135240487.29362857</v>
      </c>
    </row>
    <row r="57" spans="2:7" ht="15" thickBot="1" x14ac:dyDescent="0.35">
      <c r="B57" s="8" t="s">
        <v>582</v>
      </c>
      <c r="C57" s="113">
        <f>C47-C55</f>
        <v>38776450.0268922</v>
      </c>
      <c r="D57" s="113">
        <f>(D47+D56)-D55</f>
        <v>68556645.315882802</v>
      </c>
      <c r="E57" s="113">
        <f t="shared" ref="E57:G57" si="2">(E47+E56)-E55</f>
        <v>100188650.55479747</v>
      </c>
      <c r="F57" s="113">
        <f t="shared" si="2"/>
        <v>135240487.29362857</v>
      </c>
      <c r="G57" s="113">
        <f t="shared" si="2"/>
        <v>174066511.7732178</v>
      </c>
    </row>
    <row r="58" spans="2:7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010D-48C5-4F32-B655-BC6B4AF5B2F2}">
  <sheetPr>
    <tabColor theme="9" tint="0.79998168889431442"/>
  </sheetPr>
  <dimension ref="A1:S142"/>
  <sheetViews>
    <sheetView topLeftCell="A118" workbookViewId="0">
      <selection activeCell="E146" sqref="E146"/>
    </sheetView>
  </sheetViews>
  <sheetFormatPr defaultRowHeight="14.4" x14ac:dyDescent="0.3"/>
  <cols>
    <col min="1" max="1" width="8" customWidth="1"/>
    <col min="2" max="2" width="40.5546875" customWidth="1"/>
    <col min="3" max="3" width="17.109375" customWidth="1"/>
    <col min="4" max="4" width="15.33203125" customWidth="1"/>
    <col min="5" max="7" width="18.88671875" customWidth="1"/>
    <col min="8" max="10" width="19" customWidth="1"/>
    <col min="11" max="11" width="18.77734375" customWidth="1"/>
    <col min="12" max="13" width="20" customWidth="1"/>
    <col min="14" max="14" width="17.44140625" customWidth="1"/>
    <col min="15" max="16" width="20" customWidth="1"/>
    <col min="17" max="17" width="18.77734375" customWidth="1"/>
    <col min="18" max="19" width="20" customWidth="1"/>
  </cols>
  <sheetData>
    <row r="1" spans="1:9" x14ac:dyDescent="0.3">
      <c r="B1" s="8" t="s">
        <v>294</v>
      </c>
    </row>
    <row r="2" spans="1:9" x14ac:dyDescent="0.3">
      <c r="B2" s="8" t="s">
        <v>295</v>
      </c>
    </row>
    <row r="3" spans="1:9" x14ac:dyDescent="0.3">
      <c r="B3" s="1" t="s">
        <v>379</v>
      </c>
    </row>
    <row r="4" spans="1:9" x14ac:dyDescent="0.3">
      <c r="A4" s="8" t="s">
        <v>424</v>
      </c>
      <c r="B4" s="81" t="s">
        <v>296</v>
      </c>
      <c r="C4" s="81" t="s">
        <v>297</v>
      </c>
      <c r="D4" s="81" t="s">
        <v>298</v>
      </c>
      <c r="E4" s="81">
        <v>2024</v>
      </c>
      <c r="F4" s="81">
        <v>2025</v>
      </c>
      <c r="G4" s="81">
        <v>2026</v>
      </c>
      <c r="H4" s="81">
        <v>2027</v>
      </c>
      <c r="I4" s="81">
        <v>2028</v>
      </c>
    </row>
    <row r="5" spans="1:9" x14ac:dyDescent="0.3">
      <c r="B5" s="57" t="s">
        <v>299</v>
      </c>
    </row>
    <row r="6" spans="1:9" x14ac:dyDescent="0.3">
      <c r="B6" s="58" t="s">
        <v>300</v>
      </c>
      <c r="C6">
        <v>133</v>
      </c>
      <c r="D6" s="30">
        <f>F108</f>
        <v>3513.8426966292136</v>
      </c>
      <c r="E6" s="30">
        <f>C6*D6</f>
        <v>467341.07865168538</v>
      </c>
      <c r="F6" s="30">
        <f>E6*1.1</f>
        <v>514075.18651685398</v>
      </c>
      <c r="G6" s="30">
        <f>F6*1.1</f>
        <v>565482.70516853943</v>
      </c>
      <c r="H6" s="30">
        <f t="shared" ref="H6:I6" si="0">G6*1.1</f>
        <v>622030.97568539344</v>
      </c>
      <c r="I6" s="30">
        <f t="shared" si="0"/>
        <v>684234.07325393287</v>
      </c>
    </row>
    <row r="7" spans="1:9" x14ac:dyDescent="0.3">
      <c r="B7" s="58" t="s">
        <v>301</v>
      </c>
      <c r="C7">
        <v>181</v>
      </c>
      <c r="D7" s="30">
        <f>F109</f>
        <v>5684.1573033707864</v>
      </c>
      <c r="E7" s="30">
        <f t="shared" ref="E7:E32" si="1">C7*D7</f>
        <v>1028832.4719101123</v>
      </c>
      <c r="F7" s="30">
        <f t="shared" ref="F7:I32" si="2">E7*1.1</f>
        <v>1131715.7191011235</v>
      </c>
      <c r="G7" s="30">
        <f t="shared" si="2"/>
        <v>1244887.2910112359</v>
      </c>
      <c r="H7" s="30">
        <f t="shared" si="2"/>
        <v>1369376.0201123597</v>
      </c>
      <c r="I7" s="30">
        <f t="shared" si="2"/>
        <v>1506313.6221235958</v>
      </c>
    </row>
    <row r="8" spans="1:9" x14ac:dyDescent="0.3">
      <c r="B8" s="57" t="s">
        <v>302</v>
      </c>
      <c r="D8" s="30"/>
      <c r="E8" s="30"/>
      <c r="F8" s="30"/>
      <c r="G8" s="30"/>
      <c r="H8" s="30"/>
      <c r="I8" s="30"/>
    </row>
    <row r="9" spans="1:9" x14ac:dyDescent="0.3">
      <c r="B9" s="58" t="s">
        <v>303</v>
      </c>
      <c r="C9">
        <v>173</v>
      </c>
      <c r="D9" s="30">
        <f>F111</f>
        <v>7574.823529411764</v>
      </c>
      <c r="E9" s="30">
        <f t="shared" si="1"/>
        <v>1310444.4705882352</v>
      </c>
      <c r="F9" s="30">
        <f t="shared" si="2"/>
        <v>1441488.9176470588</v>
      </c>
      <c r="G9" s="30">
        <f t="shared" si="2"/>
        <v>1585637.8094117648</v>
      </c>
      <c r="H9" s="30">
        <f t="shared" si="2"/>
        <v>1744201.5903529415</v>
      </c>
      <c r="I9" s="30">
        <f t="shared" si="2"/>
        <v>1918621.7493882359</v>
      </c>
    </row>
    <row r="10" spans="1:9" x14ac:dyDescent="0.3">
      <c r="B10" s="58" t="s">
        <v>304</v>
      </c>
      <c r="C10">
        <v>174</v>
      </c>
      <c r="D10" s="30">
        <f>F112</f>
        <v>10821.176470588236</v>
      </c>
      <c r="E10" s="30">
        <f t="shared" si="1"/>
        <v>1882884.705882353</v>
      </c>
      <c r="F10" s="30">
        <f t="shared" si="2"/>
        <v>2071173.1764705884</v>
      </c>
      <c r="G10" s="30">
        <f t="shared" si="2"/>
        <v>2278290.4941176474</v>
      </c>
      <c r="H10" s="30">
        <f t="shared" si="2"/>
        <v>2506119.5435294122</v>
      </c>
      <c r="I10" s="30">
        <f t="shared" si="2"/>
        <v>2756731.4978823536</v>
      </c>
    </row>
    <row r="11" spans="1:9" x14ac:dyDescent="0.3">
      <c r="B11" s="57" t="s">
        <v>305</v>
      </c>
      <c r="D11" s="30"/>
      <c r="E11" s="30"/>
      <c r="F11" s="30"/>
      <c r="G11" s="30"/>
      <c r="H11" s="30"/>
      <c r="I11" s="30"/>
    </row>
    <row r="12" spans="1:9" x14ac:dyDescent="0.3">
      <c r="B12" s="59" t="s">
        <v>306</v>
      </c>
      <c r="C12">
        <v>392</v>
      </c>
      <c r="D12" s="30">
        <f>F114</f>
        <v>36171.910112359546</v>
      </c>
      <c r="E12" s="30">
        <f t="shared" si="1"/>
        <v>14179388.764044942</v>
      </c>
      <c r="F12" s="30">
        <f t="shared" si="2"/>
        <v>15597327.640449438</v>
      </c>
      <c r="G12" s="30">
        <f t="shared" si="2"/>
        <v>17157060.404494382</v>
      </c>
      <c r="H12" s="30">
        <f t="shared" si="2"/>
        <v>18872766.444943823</v>
      </c>
      <c r="I12" s="30">
        <f t="shared" si="2"/>
        <v>20760043.089438207</v>
      </c>
    </row>
    <row r="13" spans="1:9" x14ac:dyDescent="0.3">
      <c r="B13" s="59" t="s">
        <v>307</v>
      </c>
      <c r="C13">
        <v>328</v>
      </c>
      <c r="D13" s="30">
        <f>F115</f>
        <v>32554.719101123592</v>
      </c>
      <c r="E13" s="30">
        <f t="shared" si="1"/>
        <v>10677947.865168538</v>
      </c>
      <c r="F13" s="30">
        <f t="shared" si="2"/>
        <v>11745742.651685392</v>
      </c>
      <c r="G13" s="30">
        <f t="shared" si="2"/>
        <v>12920316.916853933</v>
      </c>
      <c r="H13" s="30">
        <f t="shared" si="2"/>
        <v>14212348.608539328</v>
      </c>
      <c r="I13" s="30">
        <f t="shared" si="2"/>
        <v>15633583.469393263</v>
      </c>
    </row>
    <row r="14" spans="1:9" x14ac:dyDescent="0.3">
      <c r="B14" s="59" t="s">
        <v>308</v>
      </c>
      <c r="C14">
        <v>253</v>
      </c>
      <c r="D14" s="30">
        <f>F116</f>
        <v>23253.370786516854</v>
      </c>
      <c r="E14" s="30">
        <f t="shared" si="1"/>
        <v>5883102.808988764</v>
      </c>
      <c r="F14" s="30">
        <f t="shared" si="2"/>
        <v>6471413.0898876404</v>
      </c>
      <c r="G14" s="30">
        <f t="shared" si="2"/>
        <v>7118554.3988764053</v>
      </c>
      <c r="H14" s="30">
        <f t="shared" si="2"/>
        <v>7830409.8387640463</v>
      </c>
      <c r="I14" s="30">
        <f t="shared" si="2"/>
        <v>8613450.8226404525</v>
      </c>
    </row>
    <row r="15" spans="1:9" x14ac:dyDescent="0.3">
      <c r="B15" s="57" t="s">
        <v>309</v>
      </c>
      <c r="D15" s="30"/>
      <c r="E15" s="30"/>
      <c r="F15" s="30"/>
      <c r="G15" s="30"/>
      <c r="H15" s="30"/>
      <c r="I15" s="30"/>
    </row>
    <row r="16" spans="1:9" x14ac:dyDescent="0.3">
      <c r="B16" s="58" t="s">
        <v>310</v>
      </c>
      <c r="C16">
        <v>364</v>
      </c>
      <c r="D16" s="30">
        <f>F118</f>
        <v>5329.9668874172185</v>
      </c>
      <c r="E16" s="30">
        <f t="shared" si="1"/>
        <v>1940107.9470198676</v>
      </c>
      <c r="F16" s="30">
        <f t="shared" si="2"/>
        <v>2134118.7417218545</v>
      </c>
      <c r="G16" s="30">
        <f t="shared" si="2"/>
        <v>2347530.6158940401</v>
      </c>
      <c r="H16" s="30">
        <f t="shared" si="2"/>
        <v>2582283.6774834441</v>
      </c>
      <c r="I16" s="30">
        <f t="shared" si="2"/>
        <v>2840512.0452317889</v>
      </c>
    </row>
    <row r="17" spans="2:9" x14ac:dyDescent="0.3">
      <c r="B17" s="58" t="s">
        <v>311</v>
      </c>
      <c r="C17">
        <v>219</v>
      </c>
      <c r="D17" s="30">
        <f>F119</f>
        <v>7766.5231788079473</v>
      </c>
      <c r="E17" s="30">
        <f t="shared" si="1"/>
        <v>1700868.5761589406</v>
      </c>
      <c r="F17" s="30">
        <f t="shared" si="2"/>
        <v>1870955.4337748347</v>
      </c>
      <c r="G17" s="30">
        <f t="shared" si="2"/>
        <v>2058050.9771523185</v>
      </c>
      <c r="H17" s="30">
        <f t="shared" si="2"/>
        <v>2263856.0748675503</v>
      </c>
      <c r="I17" s="30">
        <f t="shared" si="2"/>
        <v>2490241.6823543054</v>
      </c>
    </row>
    <row r="18" spans="2:9" x14ac:dyDescent="0.3">
      <c r="B18" s="58" t="s">
        <v>312</v>
      </c>
      <c r="C18">
        <v>248</v>
      </c>
      <c r="D18" s="30">
        <f>F120</f>
        <v>9898.5099337748361</v>
      </c>
      <c r="E18" s="30">
        <f t="shared" si="1"/>
        <v>2454830.4635761594</v>
      </c>
      <c r="F18" s="30">
        <f t="shared" si="2"/>
        <v>2700313.5099337758</v>
      </c>
      <c r="G18" s="30">
        <f t="shared" si="2"/>
        <v>2970344.8609271534</v>
      </c>
      <c r="H18" s="30">
        <f t="shared" si="2"/>
        <v>3267379.3470198689</v>
      </c>
      <c r="I18" s="30">
        <f t="shared" si="2"/>
        <v>3594117.281721856</v>
      </c>
    </row>
    <row r="19" spans="2:9" x14ac:dyDescent="0.3">
      <c r="B19" s="57" t="s">
        <v>313</v>
      </c>
      <c r="D19" s="30"/>
      <c r="E19" s="30"/>
      <c r="F19" s="30"/>
      <c r="G19" s="30"/>
      <c r="H19" s="30"/>
      <c r="I19" s="30"/>
    </row>
    <row r="20" spans="2:9" x14ac:dyDescent="0.3">
      <c r="B20" s="58" t="s">
        <v>314</v>
      </c>
      <c r="C20">
        <v>378</v>
      </c>
      <c r="D20" s="30">
        <f>F122</f>
        <v>4779.8595505617977</v>
      </c>
      <c r="E20" s="30">
        <f t="shared" si="1"/>
        <v>1806786.9101123596</v>
      </c>
      <c r="F20" s="30">
        <f t="shared" si="2"/>
        <v>1987465.6011235956</v>
      </c>
      <c r="G20" s="30">
        <f t="shared" si="2"/>
        <v>2186212.1612359555</v>
      </c>
      <c r="H20" s="30">
        <f t="shared" si="2"/>
        <v>2404833.3773595514</v>
      </c>
      <c r="I20" s="30">
        <f t="shared" si="2"/>
        <v>2645316.7150955065</v>
      </c>
    </row>
    <row r="21" spans="2:9" x14ac:dyDescent="0.3">
      <c r="B21" s="58" t="s">
        <v>315</v>
      </c>
      <c r="C21">
        <v>275</v>
      </c>
      <c r="D21" s="30">
        <f>F123</f>
        <v>6200.8988764044943</v>
      </c>
      <c r="E21" s="30">
        <f t="shared" si="1"/>
        <v>1705247.191011236</v>
      </c>
      <c r="F21" s="30">
        <f t="shared" si="2"/>
        <v>1875771.9101123598</v>
      </c>
      <c r="G21" s="30">
        <f t="shared" si="2"/>
        <v>2063349.1011235958</v>
      </c>
      <c r="H21" s="30">
        <f t="shared" si="2"/>
        <v>2269684.0112359556</v>
      </c>
      <c r="I21" s="30">
        <f t="shared" si="2"/>
        <v>2496652.4123595515</v>
      </c>
    </row>
    <row r="22" spans="2:9" x14ac:dyDescent="0.3">
      <c r="B22" s="58" t="s">
        <v>316</v>
      </c>
      <c r="C22">
        <v>252</v>
      </c>
      <c r="D22" s="30">
        <f>F124</f>
        <v>6846.8258426966304</v>
      </c>
      <c r="E22" s="30">
        <f t="shared" si="1"/>
        <v>1725400.1123595508</v>
      </c>
      <c r="F22" s="30">
        <f t="shared" si="2"/>
        <v>1897940.123595506</v>
      </c>
      <c r="G22" s="30">
        <f t="shared" si="2"/>
        <v>2087734.1359550566</v>
      </c>
      <c r="H22" s="30">
        <f t="shared" si="2"/>
        <v>2296507.5495505626</v>
      </c>
      <c r="I22" s="30">
        <f t="shared" si="2"/>
        <v>2526158.3045056192</v>
      </c>
    </row>
    <row r="23" spans="2:9" x14ac:dyDescent="0.3">
      <c r="B23" s="58" t="s">
        <v>317</v>
      </c>
      <c r="C23">
        <v>267</v>
      </c>
      <c r="D23" s="30">
        <f>F125</f>
        <v>5167.4157303370794</v>
      </c>
      <c r="E23" s="30">
        <f t="shared" si="1"/>
        <v>1379700.0000000002</v>
      </c>
      <c r="F23" s="30">
        <f t="shared" si="2"/>
        <v>1517670.0000000005</v>
      </c>
      <c r="G23" s="30">
        <f t="shared" si="2"/>
        <v>1669437.0000000007</v>
      </c>
      <c r="H23" s="30">
        <f t="shared" si="2"/>
        <v>1836380.7000000009</v>
      </c>
      <c r="I23" s="30">
        <f t="shared" si="2"/>
        <v>2020018.7700000012</v>
      </c>
    </row>
    <row r="24" spans="2:9" x14ac:dyDescent="0.3">
      <c r="B24" s="57" t="s">
        <v>318</v>
      </c>
      <c r="D24" s="30"/>
      <c r="E24" s="30"/>
      <c r="F24" s="30"/>
      <c r="G24" s="30"/>
      <c r="H24" s="30"/>
      <c r="I24" s="30"/>
    </row>
    <row r="25" spans="2:9" x14ac:dyDescent="0.3">
      <c r="B25" s="58" t="s">
        <v>319</v>
      </c>
      <c r="C25">
        <v>225</v>
      </c>
      <c r="D25" s="30">
        <f>F127</f>
        <v>5109.9999999999991</v>
      </c>
      <c r="E25" s="30">
        <f t="shared" si="1"/>
        <v>1149749.9999999998</v>
      </c>
      <c r="F25" s="30">
        <f t="shared" si="2"/>
        <v>1264724.9999999998</v>
      </c>
      <c r="G25" s="30">
        <f t="shared" si="2"/>
        <v>1391197.4999999998</v>
      </c>
      <c r="H25" s="30">
        <f t="shared" si="2"/>
        <v>1530317.2499999998</v>
      </c>
      <c r="I25" s="30">
        <f t="shared" si="2"/>
        <v>1683348.9749999999</v>
      </c>
    </row>
    <row r="26" spans="2:9" x14ac:dyDescent="0.3">
      <c r="B26" s="58" t="s">
        <v>320</v>
      </c>
      <c r="C26">
        <v>187</v>
      </c>
      <c r="D26" s="30">
        <f>F128</f>
        <v>4088</v>
      </c>
      <c r="E26" s="30">
        <f t="shared" si="1"/>
        <v>764456</v>
      </c>
      <c r="F26" s="30">
        <f t="shared" si="2"/>
        <v>840901.60000000009</v>
      </c>
      <c r="G26" s="30">
        <f t="shared" si="2"/>
        <v>924991.76000000013</v>
      </c>
      <c r="H26" s="30">
        <f t="shared" si="2"/>
        <v>1017490.9360000002</v>
      </c>
      <c r="I26" s="30">
        <f t="shared" si="2"/>
        <v>1119240.0296000002</v>
      </c>
    </row>
    <row r="27" spans="2:9" x14ac:dyDescent="0.3">
      <c r="B27" s="57" t="s">
        <v>321</v>
      </c>
      <c r="D27" s="30"/>
      <c r="E27" s="30"/>
      <c r="F27" s="30"/>
      <c r="G27" s="30"/>
      <c r="H27" s="30"/>
      <c r="I27" s="30"/>
    </row>
    <row r="28" spans="2:9" x14ac:dyDescent="0.3">
      <c r="B28" s="58" t="s">
        <v>322</v>
      </c>
      <c r="C28">
        <v>52</v>
      </c>
      <c r="D28" s="30">
        <f>F130</f>
        <v>2194.0183486238534</v>
      </c>
      <c r="E28" s="30">
        <f t="shared" si="1"/>
        <v>114088.95412844038</v>
      </c>
      <c r="F28" s="30">
        <f t="shared" si="2"/>
        <v>125497.84954128443</v>
      </c>
      <c r="G28" s="30">
        <f t="shared" si="2"/>
        <v>138047.6344954129</v>
      </c>
      <c r="H28" s="30">
        <f t="shared" si="2"/>
        <v>151852.39794495419</v>
      </c>
      <c r="I28" s="30">
        <f t="shared" si="2"/>
        <v>167037.63773944962</v>
      </c>
    </row>
    <row r="29" spans="2:9" x14ac:dyDescent="0.3">
      <c r="B29" s="58" t="s">
        <v>323</v>
      </c>
      <c r="C29">
        <v>119</v>
      </c>
      <c r="D29" s="30">
        <f>F131</f>
        <v>2404.9816513761466</v>
      </c>
      <c r="E29" s="30">
        <f t="shared" si="1"/>
        <v>286192.81651376147</v>
      </c>
      <c r="F29" s="30">
        <f t="shared" si="2"/>
        <v>314812.09816513764</v>
      </c>
      <c r="G29" s="30">
        <f t="shared" si="2"/>
        <v>346293.30798165145</v>
      </c>
      <c r="H29" s="30">
        <f t="shared" si="2"/>
        <v>380922.63877981663</v>
      </c>
      <c r="I29" s="30">
        <f t="shared" si="2"/>
        <v>419014.90265779832</v>
      </c>
    </row>
    <row r="30" spans="2:9" x14ac:dyDescent="0.3">
      <c r="B30" s="57" t="s">
        <v>324</v>
      </c>
      <c r="D30" s="30"/>
      <c r="E30" s="30"/>
      <c r="F30" s="30"/>
      <c r="G30" s="30"/>
      <c r="H30" s="30"/>
      <c r="I30" s="30"/>
    </row>
    <row r="31" spans="2:9" x14ac:dyDescent="0.3">
      <c r="B31" s="58" t="s">
        <v>325</v>
      </c>
      <c r="C31">
        <v>183</v>
      </c>
      <c r="D31" s="30">
        <f>F133</f>
        <v>2343.7211538461538</v>
      </c>
      <c r="E31" s="30">
        <f t="shared" si="1"/>
        <v>428900.97115384613</v>
      </c>
      <c r="F31" s="30">
        <f t="shared" si="2"/>
        <v>471791.06826923077</v>
      </c>
      <c r="G31" s="30">
        <f t="shared" si="2"/>
        <v>518970.17509615392</v>
      </c>
      <c r="H31" s="30">
        <f t="shared" si="2"/>
        <v>570867.19260576938</v>
      </c>
      <c r="I31" s="30">
        <f t="shared" si="2"/>
        <v>627953.91186634637</v>
      </c>
    </row>
    <row r="32" spans="2:9" x14ac:dyDescent="0.3">
      <c r="B32" s="63" t="s">
        <v>326</v>
      </c>
      <c r="C32" s="9">
        <v>75</v>
      </c>
      <c r="D32" s="36">
        <f>F134</f>
        <v>2255.2788461538462</v>
      </c>
      <c r="E32" s="36">
        <f t="shared" si="1"/>
        <v>169145.91346153847</v>
      </c>
      <c r="F32" s="36">
        <f t="shared" si="2"/>
        <v>186060.50480769234</v>
      </c>
      <c r="G32" s="36">
        <f t="shared" si="2"/>
        <v>204666.55528846159</v>
      </c>
      <c r="H32" s="36">
        <f t="shared" si="2"/>
        <v>225133.21081730776</v>
      </c>
      <c r="I32" s="36">
        <f t="shared" si="2"/>
        <v>247646.53189903856</v>
      </c>
    </row>
    <row r="33" spans="2:19" ht="15" thickBot="1" x14ac:dyDescent="0.35">
      <c r="B33" s="168" t="s">
        <v>5</v>
      </c>
      <c r="C33" s="168"/>
      <c r="D33" s="168"/>
      <c r="E33" s="82">
        <f>SUM(E5:E32)</f>
        <v>51055418.020730324</v>
      </c>
      <c r="F33" s="82">
        <f t="shared" ref="F33:I33" si="3">SUM(F5:F32)</f>
        <v>56160959.822803378</v>
      </c>
      <c r="G33" s="82">
        <f t="shared" si="3"/>
        <v>61777055.805083722</v>
      </c>
      <c r="H33" s="82">
        <f t="shared" si="3"/>
        <v>67954761.385592073</v>
      </c>
      <c r="I33" s="82">
        <f t="shared" si="3"/>
        <v>74750237.524151281</v>
      </c>
    </row>
    <row r="34" spans="2:19" ht="15" thickTop="1" x14ac:dyDescent="0.3">
      <c r="B34" s="49" t="s">
        <v>337</v>
      </c>
    </row>
    <row r="35" spans="2:19" x14ac:dyDescent="0.3">
      <c r="B35" s="66" t="s">
        <v>338</v>
      </c>
      <c r="D35" s="30"/>
    </row>
    <row r="37" spans="2:19" x14ac:dyDescent="0.3">
      <c r="B37" s="8" t="s">
        <v>380</v>
      </c>
      <c r="E37" s="165">
        <v>2022</v>
      </c>
      <c r="F37" s="166"/>
      <c r="G37" s="167"/>
      <c r="H37" s="165">
        <v>2023</v>
      </c>
      <c r="I37" s="166"/>
      <c r="J37" s="167"/>
      <c r="K37" s="165">
        <v>2024</v>
      </c>
      <c r="L37" s="166"/>
      <c r="M37" s="167"/>
      <c r="N37" s="165">
        <v>2025</v>
      </c>
      <c r="O37" s="166"/>
      <c r="P37" s="167"/>
      <c r="Q37" s="165">
        <v>2026</v>
      </c>
      <c r="R37" s="166"/>
      <c r="S37" s="167"/>
    </row>
    <row r="38" spans="2:19" ht="28.8" x14ac:dyDescent="0.3">
      <c r="B38" s="83" t="s">
        <v>296</v>
      </c>
      <c r="C38" s="83" t="s">
        <v>297</v>
      </c>
      <c r="D38" s="83" t="s">
        <v>298</v>
      </c>
      <c r="E38" s="84" t="s">
        <v>30</v>
      </c>
      <c r="F38" s="84" t="s">
        <v>31</v>
      </c>
      <c r="G38" s="84" t="s">
        <v>32</v>
      </c>
      <c r="H38" s="84" t="s">
        <v>30</v>
      </c>
      <c r="I38" s="84" t="s">
        <v>31</v>
      </c>
      <c r="J38" s="84" t="s">
        <v>32</v>
      </c>
      <c r="K38" s="84" t="s">
        <v>30</v>
      </c>
      <c r="L38" s="84" t="s">
        <v>31</v>
      </c>
      <c r="M38" s="84" t="s">
        <v>32</v>
      </c>
      <c r="N38" s="84" t="s">
        <v>30</v>
      </c>
      <c r="O38" s="84" t="s">
        <v>31</v>
      </c>
      <c r="P38" s="84" t="s">
        <v>32</v>
      </c>
      <c r="Q38" s="84" t="s">
        <v>30</v>
      </c>
      <c r="R38" s="84" t="s">
        <v>31</v>
      </c>
      <c r="S38" s="84" t="s">
        <v>32</v>
      </c>
    </row>
    <row r="39" spans="2:19" x14ac:dyDescent="0.3">
      <c r="B39" s="57" t="s">
        <v>299</v>
      </c>
      <c r="C39" s="1"/>
      <c r="D39" s="1"/>
      <c r="E39" s="76"/>
      <c r="F39" s="77"/>
      <c r="G39" s="78"/>
      <c r="H39" s="128"/>
      <c r="I39" s="129"/>
      <c r="J39" s="130"/>
      <c r="K39" s="76"/>
      <c r="L39" s="77"/>
      <c r="M39" s="78"/>
      <c r="N39" s="76"/>
      <c r="O39" s="77"/>
      <c r="P39" s="78"/>
      <c r="Q39" s="76"/>
      <c r="R39" s="77"/>
      <c r="S39" s="78"/>
    </row>
    <row r="40" spans="2:19" x14ac:dyDescent="0.3">
      <c r="B40" s="58" t="s">
        <v>300</v>
      </c>
      <c r="C40" s="93">
        <v>133</v>
      </c>
      <c r="D40" s="19">
        <f>F108</f>
        <v>3513.8426966292136</v>
      </c>
      <c r="E40" s="73">
        <f>($C$40*$D$40)/365</f>
        <v>1280.3865168539326</v>
      </c>
      <c r="F40" s="44">
        <f>($D$40*$C$40)/12</f>
        <v>38945.089887640446</v>
      </c>
      <c r="G40" s="90">
        <f>$D$40*$C$40</f>
        <v>467341.07865168538</v>
      </c>
      <c r="H40" s="131">
        <f>((C40*D40)/365)*1.1</f>
        <v>1408.425168539326</v>
      </c>
      <c r="I40" s="132">
        <f>((C40*D40)/12)*1.1</f>
        <v>42839.598876404496</v>
      </c>
      <c r="J40" s="133">
        <f>(D40*C40)*1.1</f>
        <v>514075.18651685398</v>
      </c>
      <c r="K40" s="89">
        <f t="shared" ref="K40:S40" si="4">H40*1.1</f>
        <v>1549.2676853932587</v>
      </c>
      <c r="L40" s="44">
        <f t="shared" si="4"/>
        <v>47123.558764044952</v>
      </c>
      <c r="M40" s="90">
        <f t="shared" si="4"/>
        <v>565482.70516853943</v>
      </c>
      <c r="N40" s="89">
        <f t="shared" si="4"/>
        <v>1704.1944539325848</v>
      </c>
      <c r="O40" s="44">
        <f t="shared" si="4"/>
        <v>51835.914640449453</v>
      </c>
      <c r="P40" s="90">
        <f t="shared" si="4"/>
        <v>622030.97568539344</v>
      </c>
      <c r="Q40" s="89">
        <f t="shared" si="4"/>
        <v>1874.6138993258435</v>
      </c>
      <c r="R40" s="44">
        <f t="shared" si="4"/>
        <v>57019.506104494401</v>
      </c>
      <c r="S40" s="90">
        <f t="shared" si="4"/>
        <v>684234.07325393287</v>
      </c>
    </row>
    <row r="41" spans="2:19" x14ac:dyDescent="0.3">
      <c r="B41" s="58" t="s">
        <v>301</v>
      </c>
      <c r="C41" s="93">
        <v>181</v>
      </c>
      <c r="D41" s="19">
        <f t="shared" ref="D41:D66" si="5">F109</f>
        <v>5684.1573033707864</v>
      </c>
      <c r="E41" s="73">
        <f>(C41*D41)/365</f>
        <v>2818.7191011235955</v>
      </c>
      <c r="F41" s="44">
        <f>(D41*C41)/12</f>
        <v>85736.039325842692</v>
      </c>
      <c r="G41" s="90">
        <f t="shared" ref="G41:G66" si="6">D41*C41</f>
        <v>1028832.4719101123</v>
      </c>
      <c r="H41" s="131">
        <f t="shared" ref="H41:H66" si="7">((C41*D41)/365)*1.1</f>
        <v>3100.5910112359552</v>
      </c>
      <c r="I41" s="132">
        <f t="shared" ref="I41:I66" si="8">((C41*D41)/12)*1.1</f>
        <v>94309.643258426964</v>
      </c>
      <c r="J41" s="133">
        <f t="shared" ref="J41:J66" si="9">(D41*C41)*1.1</f>
        <v>1131715.7191011235</v>
      </c>
      <c r="K41" s="89">
        <f t="shared" ref="K41:K66" si="10">H41*1.1</f>
        <v>3410.6501123595508</v>
      </c>
      <c r="L41" s="44">
        <f t="shared" ref="L41:L66" si="11">I41*1.1</f>
        <v>103740.60758426967</v>
      </c>
      <c r="M41" s="90">
        <f t="shared" ref="M41:M66" si="12">J41*1.1</f>
        <v>1244887.2910112359</v>
      </c>
      <c r="N41" s="89">
        <f t="shared" ref="N41:N66" si="13">K41*1.1</f>
        <v>3751.7151235955062</v>
      </c>
      <c r="O41" s="44">
        <f t="shared" ref="O41:O66" si="14">L41*1.1</f>
        <v>114114.66834269665</v>
      </c>
      <c r="P41" s="90">
        <f t="shared" ref="P41:P66" si="15">M41*1.1</f>
        <v>1369376.0201123597</v>
      </c>
      <c r="Q41" s="89">
        <f t="shared" ref="Q41:Q66" si="16">N41*1.1</f>
        <v>4126.8866359550575</v>
      </c>
      <c r="R41" s="44">
        <f t="shared" ref="R41:R66" si="17">O41*1.1</f>
        <v>125526.13517696632</v>
      </c>
      <c r="S41" s="90">
        <f t="shared" ref="S41:S66" si="18">P41*1.1</f>
        <v>1506313.6221235958</v>
      </c>
    </row>
    <row r="42" spans="2:19" x14ac:dyDescent="0.3">
      <c r="B42" s="57" t="s">
        <v>302</v>
      </c>
      <c r="C42" s="93"/>
      <c r="D42" s="19">
        <f t="shared" si="5"/>
        <v>0</v>
      </c>
      <c r="E42" s="89"/>
      <c r="F42" s="44"/>
      <c r="G42" s="90"/>
      <c r="H42" s="131"/>
      <c r="I42" s="132"/>
      <c r="J42" s="133"/>
      <c r="K42" s="89"/>
      <c r="L42" s="44"/>
      <c r="M42" s="90"/>
      <c r="N42" s="89"/>
      <c r="O42" s="44"/>
      <c r="P42" s="90"/>
      <c r="Q42" s="89"/>
      <c r="R42" s="44"/>
      <c r="S42" s="90"/>
    </row>
    <row r="43" spans="2:19" x14ac:dyDescent="0.3">
      <c r="B43" s="58" t="s">
        <v>303</v>
      </c>
      <c r="C43" s="93">
        <v>173</v>
      </c>
      <c r="D43" s="19">
        <f t="shared" si="5"/>
        <v>7574.823529411764</v>
      </c>
      <c r="E43" s="89">
        <f t="shared" ref="E43:E66" si="19">(C43*D43)/365</f>
        <v>3590.2588235294115</v>
      </c>
      <c r="F43" s="44">
        <f t="shared" ref="F43:F66" si="20">(D43*C43)/12</f>
        <v>109203.70588235294</v>
      </c>
      <c r="G43" s="90">
        <f t="shared" si="6"/>
        <v>1310444.4705882352</v>
      </c>
      <c r="H43" s="131">
        <f t="shared" si="7"/>
        <v>3949.2847058823531</v>
      </c>
      <c r="I43" s="132">
        <f t="shared" si="8"/>
        <v>120124.07647058825</v>
      </c>
      <c r="J43" s="133">
        <f t="shared" si="9"/>
        <v>1441488.9176470588</v>
      </c>
      <c r="K43" s="89">
        <f t="shared" si="10"/>
        <v>4344.2131764705891</v>
      </c>
      <c r="L43" s="44">
        <f t="shared" si="11"/>
        <v>132136.48411764708</v>
      </c>
      <c r="M43" s="90">
        <f t="shared" si="12"/>
        <v>1585637.8094117648</v>
      </c>
      <c r="N43" s="89">
        <f t="shared" si="13"/>
        <v>4778.6344941176485</v>
      </c>
      <c r="O43" s="44">
        <f t="shared" si="14"/>
        <v>145350.13252941181</v>
      </c>
      <c r="P43" s="90">
        <f t="shared" si="15"/>
        <v>1744201.5903529415</v>
      </c>
      <c r="Q43" s="89">
        <f t="shared" si="16"/>
        <v>5256.4979435294135</v>
      </c>
      <c r="R43" s="44">
        <f t="shared" si="17"/>
        <v>159885.14578235301</v>
      </c>
      <c r="S43" s="90">
        <f t="shared" si="18"/>
        <v>1918621.7493882359</v>
      </c>
    </row>
    <row r="44" spans="2:19" x14ac:dyDescent="0.3">
      <c r="B44" s="58" t="s">
        <v>304</v>
      </c>
      <c r="C44" s="93">
        <v>174</v>
      </c>
      <c r="D44" s="19">
        <f t="shared" si="5"/>
        <v>10821.176470588236</v>
      </c>
      <c r="E44" s="89">
        <f t="shared" si="19"/>
        <v>5158.588235294118</v>
      </c>
      <c r="F44" s="44">
        <f t="shared" si="20"/>
        <v>156907.05882352943</v>
      </c>
      <c r="G44" s="90">
        <f t="shared" si="6"/>
        <v>1882884.705882353</v>
      </c>
      <c r="H44" s="131">
        <f t="shared" si="7"/>
        <v>5674.4470588235299</v>
      </c>
      <c r="I44" s="132">
        <f t="shared" si="8"/>
        <v>172597.76470588238</v>
      </c>
      <c r="J44" s="133">
        <f t="shared" si="9"/>
        <v>2071173.1764705884</v>
      </c>
      <c r="K44" s="89">
        <f t="shared" si="10"/>
        <v>6241.8917647058834</v>
      </c>
      <c r="L44" s="44">
        <f t="shared" si="11"/>
        <v>189857.54117647064</v>
      </c>
      <c r="M44" s="90">
        <f t="shared" si="12"/>
        <v>2278290.4941176474</v>
      </c>
      <c r="N44" s="89">
        <f t="shared" si="13"/>
        <v>6866.0809411764722</v>
      </c>
      <c r="O44" s="44">
        <f t="shared" si="14"/>
        <v>208843.29529411771</v>
      </c>
      <c r="P44" s="90">
        <f t="shared" si="15"/>
        <v>2506119.5435294122</v>
      </c>
      <c r="Q44" s="89">
        <f t="shared" si="16"/>
        <v>7552.68903529412</v>
      </c>
      <c r="R44" s="44">
        <f t="shared" si="17"/>
        <v>229727.62482352951</v>
      </c>
      <c r="S44" s="90">
        <f t="shared" si="18"/>
        <v>2756731.4978823536</v>
      </c>
    </row>
    <row r="45" spans="2:19" x14ac:dyDescent="0.3">
      <c r="B45" s="57" t="s">
        <v>305</v>
      </c>
      <c r="C45" s="93"/>
      <c r="D45" s="19">
        <f t="shared" si="5"/>
        <v>0</v>
      </c>
      <c r="E45" s="89"/>
      <c r="F45" s="44"/>
      <c r="G45" s="90"/>
      <c r="H45" s="131"/>
      <c r="I45" s="132"/>
      <c r="J45" s="133"/>
      <c r="K45" s="89"/>
      <c r="L45" s="44"/>
      <c r="M45" s="90"/>
      <c r="N45" s="89"/>
      <c r="O45" s="44"/>
      <c r="P45" s="90"/>
      <c r="Q45" s="89"/>
      <c r="R45" s="44"/>
      <c r="S45" s="90"/>
    </row>
    <row r="46" spans="2:19" x14ac:dyDescent="0.3">
      <c r="B46" s="59" t="s">
        <v>306</v>
      </c>
      <c r="C46" s="93">
        <v>392</v>
      </c>
      <c r="D46" s="19">
        <f t="shared" si="5"/>
        <v>36171.910112359546</v>
      </c>
      <c r="E46" s="89">
        <f t="shared" si="19"/>
        <v>38847.6404494382</v>
      </c>
      <c r="F46" s="44">
        <f t="shared" si="20"/>
        <v>1181615.7303370785</v>
      </c>
      <c r="G46" s="90">
        <f t="shared" si="6"/>
        <v>14179388.764044942</v>
      </c>
      <c r="H46" s="131">
        <f t="shared" si="7"/>
        <v>42732.404494382026</v>
      </c>
      <c r="I46" s="132">
        <f t="shared" si="8"/>
        <v>1299777.3033707864</v>
      </c>
      <c r="J46" s="133">
        <f t="shared" si="9"/>
        <v>15597327.640449438</v>
      </c>
      <c r="K46" s="89">
        <f t="shared" si="10"/>
        <v>47005.644943820233</v>
      </c>
      <c r="L46" s="44">
        <f t="shared" si="11"/>
        <v>1429755.033707865</v>
      </c>
      <c r="M46" s="90">
        <f t="shared" si="12"/>
        <v>17157060.404494382</v>
      </c>
      <c r="N46" s="89">
        <f t="shared" si="13"/>
        <v>51706.209438202262</v>
      </c>
      <c r="O46" s="30">
        <f t="shared" si="14"/>
        <v>1572730.5370786516</v>
      </c>
      <c r="P46" s="90">
        <f t="shared" si="15"/>
        <v>18872766.444943823</v>
      </c>
      <c r="Q46" s="89">
        <f t="shared" si="16"/>
        <v>56876.83038202249</v>
      </c>
      <c r="R46" s="44">
        <f t="shared" si="17"/>
        <v>1730003.5907865169</v>
      </c>
      <c r="S46" s="90">
        <f t="shared" si="18"/>
        <v>20760043.089438207</v>
      </c>
    </row>
    <row r="47" spans="2:19" x14ac:dyDescent="0.3">
      <c r="B47" s="59" t="s">
        <v>307</v>
      </c>
      <c r="C47" s="93">
        <v>328</v>
      </c>
      <c r="D47" s="19">
        <f t="shared" si="5"/>
        <v>32554.719101123592</v>
      </c>
      <c r="E47" s="89">
        <f t="shared" si="19"/>
        <v>29254.651685393255</v>
      </c>
      <c r="F47" s="44">
        <f t="shared" si="20"/>
        <v>889828.98876404483</v>
      </c>
      <c r="G47" s="90">
        <f t="shared" si="6"/>
        <v>10677947.865168538</v>
      </c>
      <c r="H47" s="131">
        <f t="shared" si="7"/>
        <v>32180.116853932584</v>
      </c>
      <c r="I47" s="132">
        <f t="shared" si="8"/>
        <v>978811.88764044933</v>
      </c>
      <c r="J47" s="133">
        <f t="shared" si="9"/>
        <v>11745742.651685392</v>
      </c>
      <c r="K47" s="73">
        <f t="shared" si="10"/>
        <v>35398.128539325844</v>
      </c>
      <c r="L47" s="44">
        <f t="shared" si="11"/>
        <v>1076693.0764044945</v>
      </c>
      <c r="M47" s="90">
        <f t="shared" si="12"/>
        <v>12920316.916853933</v>
      </c>
      <c r="N47" s="89">
        <f t="shared" si="13"/>
        <v>38937.941393258428</v>
      </c>
      <c r="O47" s="44">
        <f t="shared" si="14"/>
        <v>1184362.3840449441</v>
      </c>
      <c r="P47" s="90">
        <f t="shared" si="15"/>
        <v>14212348.608539328</v>
      </c>
      <c r="Q47" s="89">
        <f t="shared" si="16"/>
        <v>42831.735532584273</v>
      </c>
      <c r="R47" s="44">
        <f t="shared" si="17"/>
        <v>1302798.6224494386</v>
      </c>
      <c r="S47" s="90">
        <f t="shared" si="18"/>
        <v>15633583.469393263</v>
      </c>
    </row>
    <row r="48" spans="2:19" x14ac:dyDescent="0.3">
      <c r="B48" s="59" t="s">
        <v>308</v>
      </c>
      <c r="C48" s="93">
        <v>253</v>
      </c>
      <c r="D48" s="19">
        <f t="shared" si="5"/>
        <v>23253.370786516854</v>
      </c>
      <c r="E48" s="89">
        <f t="shared" si="19"/>
        <v>16118.08988764045</v>
      </c>
      <c r="F48" s="44">
        <f t="shared" si="20"/>
        <v>490258.56741573033</v>
      </c>
      <c r="G48" s="90">
        <f t="shared" si="6"/>
        <v>5883102.808988764</v>
      </c>
      <c r="H48" s="131">
        <f t="shared" si="7"/>
        <v>17729.898876404495</v>
      </c>
      <c r="I48" s="132">
        <f t="shared" si="8"/>
        <v>539284.42415730341</v>
      </c>
      <c r="J48" s="133">
        <f t="shared" si="9"/>
        <v>6471413.0898876404</v>
      </c>
      <c r="K48" s="89">
        <f t="shared" si="10"/>
        <v>19502.888764044947</v>
      </c>
      <c r="L48" s="44">
        <f t="shared" si="11"/>
        <v>593212.86657303385</v>
      </c>
      <c r="M48" s="90">
        <f t="shared" si="12"/>
        <v>7118554.3988764053</v>
      </c>
      <c r="N48" s="89">
        <f t="shared" si="13"/>
        <v>21453.177640449441</v>
      </c>
      <c r="O48" s="44">
        <f t="shared" si="14"/>
        <v>652534.15323033731</v>
      </c>
      <c r="P48" s="90">
        <f t="shared" si="15"/>
        <v>7830409.8387640463</v>
      </c>
      <c r="Q48" s="89">
        <f t="shared" si="16"/>
        <v>23598.495404494388</v>
      </c>
      <c r="R48" s="44">
        <f t="shared" si="17"/>
        <v>717787.56855337112</v>
      </c>
      <c r="S48" s="90">
        <f t="shared" si="18"/>
        <v>8613450.8226404525</v>
      </c>
    </row>
    <row r="49" spans="2:19" x14ac:dyDescent="0.3">
      <c r="B49" s="57" t="s">
        <v>309</v>
      </c>
      <c r="C49" s="93"/>
      <c r="D49" s="19">
        <f t="shared" si="5"/>
        <v>0</v>
      </c>
      <c r="E49" s="89"/>
      <c r="F49" s="44"/>
      <c r="G49" s="90"/>
      <c r="H49" s="131"/>
      <c r="I49" s="132"/>
      <c r="J49" s="133"/>
      <c r="K49" s="89"/>
      <c r="L49" s="44"/>
      <c r="M49" s="90"/>
      <c r="N49" s="89"/>
      <c r="O49" s="44"/>
      <c r="P49" s="90"/>
      <c r="Q49" s="89"/>
      <c r="R49" s="44"/>
      <c r="S49" s="90"/>
    </row>
    <row r="50" spans="2:19" x14ac:dyDescent="0.3">
      <c r="B50" s="58" t="s">
        <v>310</v>
      </c>
      <c r="C50" s="93">
        <v>364</v>
      </c>
      <c r="D50" s="19">
        <f t="shared" si="5"/>
        <v>5329.9668874172185</v>
      </c>
      <c r="E50" s="89">
        <f t="shared" si="19"/>
        <v>5315.364238410596</v>
      </c>
      <c r="F50" s="44">
        <f t="shared" si="20"/>
        <v>161675.66225165562</v>
      </c>
      <c r="G50" s="90">
        <f t="shared" si="6"/>
        <v>1940107.9470198676</v>
      </c>
      <c r="H50" s="131">
        <f t="shared" si="7"/>
        <v>5846.9006622516563</v>
      </c>
      <c r="I50" s="132">
        <f t="shared" si="8"/>
        <v>177843.22847682121</v>
      </c>
      <c r="J50" s="133">
        <f t="shared" si="9"/>
        <v>2134118.7417218545</v>
      </c>
      <c r="K50" s="89">
        <f t="shared" si="10"/>
        <v>6431.5907284768227</v>
      </c>
      <c r="L50" s="44">
        <f t="shared" si="11"/>
        <v>195627.55132450335</v>
      </c>
      <c r="M50" s="90">
        <f t="shared" si="12"/>
        <v>2347530.6158940401</v>
      </c>
      <c r="N50" s="89">
        <f t="shared" si="13"/>
        <v>7074.7498013245058</v>
      </c>
      <c r="O50" s="44">
        <f t="shared" si="14"/>
        <v>215190.30645695369</v>
      </c>
      <c r="P50" s="90">
        <f t="shared" si="15"/>
        <v>2582283.6774834441</v>
      </c>
      <c r="Q50" s="89">
        <f t="shared" si="16"/>
        <v>7782.2247814569573</v>
      </c>
      <c r="R50" s="44">
        <f t="shared" si="17"/>
        <v>236709.33710264909</v>
      </c>
      <c r="S50" s="90">
        <f t="shared" si="18"/>
        <v>2840512.0452317889</v>
      </c>
    </row>
    <row r="51" spans="2:19" x14ac:dyDescent="0.3">
      <c r="B51" s="58" t="s">
        <v>311</v>
      </c>
      <c r="C51" s="93">
        <v>219</v>
      </c>
      <c r="D51" s="19">
        <f t="shared" si="5"/>
        <v>7766.5231788079473</v>
      </c>
      <c r="E51" s="89">
        <f t="shared" si="19"/>
        <v>4659.9139072847684</v>
      </c>
      <c r="F51" s="44">
        <f t="shared" si="20"/>
        <v>141739.04801324505</v>
      </c>
      <c r="G51" s="90">
        <f t="shared" si="6"/>
        <v>1700868.5761589406</v>
      </c>
      <c r="H51" s="131">
        <f t="shared" si="7"/>
        <v>5125.9052980132456</v>
      </c>
      <c r="I51" s="132">
        <f t="shared" si="8"/>
        <v>155912.95281456955</v>
      </c>
      <c r="J51" s="133">
        <f t="shared" si="9"/>
        <v>1870955.4337748347</v>
      </c>
      <c r="K51" s="89">
        <f t="shared" si="10"/>
        <v>5638.4958278145705</v>
      </c>
      <c r="L51" s="44">
        <f t="shared" si="11"/>
        <v>171504.24809602651</v>
      </c>
      <c r="M51" s="90">
        <f t="shared" si="12"/>
        <v>2058050.9771523185</v>
      </c>
      <c r="N51" s="89">
        <f t="shared" si="13"/>
        <v>6202.3454105960282</v>
      </c>
      <c r="O51" s="44">
        <f t="shared" si="14"/>
        <v>188654.67290562918</v>
      </c>
      <c r="P51" s="90">
        <f t="shared" si="15"/>
        <v>2263856.0748675503</v>
      </c>
      <c r="Q51" s="89">
        <f t="shared" si="16"/>
        <v>6822.5799516556317</v>
      </c>
      <c r="R51" s="44">
        <f t="shared" si="17"/>
        <v>207520.14019619211</v>
      </c>
      <c r="S51" s="90">
        <f t="shared" si="18"/>
        <v>2490241.6823543054</v>
      </c>
    </row>
    <row r="52" spans="2:19" x14ac:dyDescent="0.3">
      <c r="B52" s="58" t="s">
        <v>312</v>
      </c>
      <c r="C52" s="93">
        <v>248</v>
      </c>
      <c r="D52" s="19">
        <f t="shared" si="5"/>
        <v>9898.5099337748361</v>
      </c>
      <c r="E52" s="89">
        <f t="shared" si="19"/>
        <v>6725.5629139072862</v>
      </c>
      <c r="F52" s="44">
        <f t="shared" si="20"/>
        <v>204569.20529801329</v>
      </c>
      <c r="G52" s="90">
        <f t="shared" si="6"/>
        <v>2454830.4635761594</v>
      </c>
      <c r="H52" s="131">
        <f t="shared" si="7"/>
        <v>7398.119205298015</v>
      </c>
      <c r="I52" s="132">
        <f t="shared" si="8"/>
        <v>225026.12582781463</v>
      </c>
      <c r="J52" s="133">
        <f t="shared" si="9"/>
        <v>2700313.5099337758</v>
      </c>
      <c r="K52" s="89">
        <f t="shared" si="10"/>
        <v>8137.9311258278176</v>
      </c>
      <c r="L52" s="44">
        <f t="shared" si="11"/>
        <v>247528.7384105961</v>
      </c>
      <c r="M52" s="90">
        <f t="shared" si="12"/>
        <v>2970344.8609271534</v>
      </c>
      <c r="N52" s="89">
        <f t="shared" si="13"/>
        <v>8951.7242384105994</v>
      </c>
      <c r="O52" s="44">
        <f t="shared" si="14"/>
        <v>272281.61225165572</v>
      </c>
      <c r="P52" s="90">
        <f t="shared" si="15"/>
        <v>3267379.3470198689</v>
      </c>
      <c r="Q52" s="89">
        <f t="shared" si="16"/>
        <v>9846.89666225166</v>
      </c>
      <c r="R52" s="44">
        <f t="shared" si="17"/>
        <v>299509.77347682131</v>
      </c>
      <c r="S52" s="90">
        <f t="shared" si="18"/>
        <v>3594117.281721856</v>
      </c>
    </row>
    <row r="53" spans="2:19" x14ac:dyDescent="0.3">
      <c r="B53" s="57" t="s">
        <v>313</v>
      </c>
      <c r="C53" s="93"/>
      <c r="D53" s="19">
        <f t="shared" si="5"/>
        <v>0</v>
      </c>
      <c r="E53" s="89"/>
      <c r="F53" s="44"/>
      <c r="G53" s="90"/>
      <c r="H53" s="131"/>
      <c r="I53" s="132"/>
      <c r="J53" s="133"/>
      <c r="K53" s="89"/>
      <c r="L53" s="44"/>
      <c r="M53" s="90"/>
      <c r="N53" s="89"/>
      <c r="O53" s="44"/>
      <c r="P53" s="90"/>
      <c r="Q53" s="89"/>
      <c r="R53" s="44"/>
      <c r="S53" s="90"/>
    </row>
    <row r="54" spans="2:19" x14ac:dyDescent="0.3">
      <c r="B54" s="58" t="s">
        <v>314</v>
      </c>
      <c r="C54" s="93">
        <v>378</v>
      </c>
      <c r="D54" s="19">
        <f t="shared" si="5"/>
        <v>4779.8595505617977</v>
      </c>
      <c r="E54" s="89">
        <f t="shared" si="19"/>
        <v>4950.1011235955057</v>
      </c>
      <c r="F54" s="44">
        <f t="shared" si="20"/>
        <v>150565.57584269662</v>
      </c>
      <c r="G54" s="90">
        <f t="shared" si="6"/>
        <v>1806786.9101123596</v>
      </c>
      <c r="H54" s="131">
        <f t="shared" si="7"/>
        <v>5445.1112359550571</v>
      </c>
      <c r="I54" s="132">
        <f t="shared" si="8"/>
        <v>165622.13342696629</v>
      </c>
      <c r="J54" s="133">
        <f t="shared" si="9"/>
        <v>1987465.6011235956</v>
      </c>
      <c r="K54" s="89">
        <f t="shared" si="10"/>
        <v>5989.6223595505635</v>
      </c>
      <c r="L54" s="44">
        <f t="shared" si="11"/>
        <v>182184.34676966292</v>
      </c>
      <c r="M54" s="90">
        <f t="shared" si="12"/>
        <v>2186212.1612359555</v>
      </c>
      <c r="N54" s="89">
        <f t="shared" si="13"/>
        <v>6588.5845955056202</v>
      </c>
      <c r="O54" s="44">
        <f t="shared" si="14"/>
        <v>200402.78144662923</v>
      </c>
      <c r="P54" s="90">
        <f t="shared" si="15"/>
        <v>2404833.3773595514</v>
      </c>
      <c r="Q54" s="89">
        <f t="shared" si="16"/>
        <v>7247.4430550561829</v>
      </c>
      <c r="R54" s="44">
        <f t="shared" si="17"/>
        <v>220443.05959129217</v>
      </c>
      <c r="S54" s="90">
        <f t="shared" si="18"/>
        <v>2645316.7150955065</v>
      </c>
    </row>
    <row r="55" spans="2:19" x14ac:dyDescent="0.3">
      <c r="B55" s="58" t="s">
        <v>315</v>
      </c>
      <c r="C55" s="93">
        <v>275</v>
      </c>
      <c r="D55" s="19">
        <f t="shared" si="5"/>
        <v>6200.8988764044943</v>
      </c>
      <c r="E55" s="89">
        <f t="shared" si="19"/>
        <v>4671.910112359551</v>
      </c>
      <c r="F55" s="44">
        <f t="shared" si="20"/>
        <v>142103.93258426967</v>
      </c>
      <c r="G55" s="90">
        <f t="shared" si="6"/>
        <v>1705247.191011236</v>
      </c>
      <c r="H55" s="131">
        <f t="shared" si="7"/>
        <v>5139.1011235955066</v>
      </c>
      <c r="I55" s="132">
        <f t="shared" si="8"/>
        <v>156314.32584269665</v>
      </c>
      <c r="J55" s="133">
        <f t="shared" si="9"/>
        <v>1875771.9101123598</v>
      </c>
      <c r="K55" s="89">
        <f t="shared" si="10"/>
        <v>5653.0112359550576</v>
      </c>
      <c r="L55" s="44">
        <f t="shared" si="11"/>
        <v>171945.75842696632</v>
      </c>
      <c r="M55" s="90">
        <f t="shared" si="12"/>
        <v>2063349.1011235958</v>
      </c>
      <c r="N55" s="89">
        <f t="shared" si="13"/>
        <v>6218.312359550564</v>
      </c>
      <c r="O55" s="44">
        <f t="shared" si="14"/>
        <v>189140.33426966297</v>
      </c>
      <c r="P55" s="90">
        <f t="shared" si="15"/>
        <v>2269684.0112359556</v>
      </c>
      <c r="Q55" s="89">
        <f t="shared" si="16"/>
        <v>6840.1435955056213</v>
      </c>
      <c r="R55" s="44">
        <f t="shared" si="17"/>
        <v>208054.36769662928</v>
      </c>
      <c r="S55" s="90">
        <f t="shared" si="18"/>
        <v>2496652.4123595515</v>
      </c>
    </row>
    <row r="56" spans="2:19" x14ac:dyDescent="0.3">
      <c r="B56" s="58" t="s">
        <v>316</v>
      </c>
      <c r="C56" s="93">
        <v>252</v>
      </c>
      <c r="D56" s="19">
        <f t="shared" si="5"/>
        <v>6846.8258426966304</v>
      </c>
      <c r="E56" s="89">
        <f t="shared" si="19"/>
        <v>4727.1235955056181</v>
      </c>
      <c r="F56" s="44">
        <f t="shared" si="20"/>
        <v>143783.34269662923</v>
      </c>
      <c r="G56" s="90">
        <f t="shared" si="6"/>
        <v>1725400.1123595508</v>
      </c>
      <c r="H56" s="131">
        <f t="shared" si="7"/>
        <v>5199.83595505618</v>
      </c>
      <c r="I56" s="132">
        <f t="shared" si="8"/>
        <v>158161.67696629217</v>
      </c>
      <c r="J56" s="133">
        <f t="shared" si="9"/>
        <v>1897940.123595506</v>
      </c>
      <c r="K56" s="89">
        <f t="shared" si="10"/>
        <v>5719.8195505617987</v>
      </c>
      <c r="L56" s="44">
        <f t="shared" si="11"/>
        <v>173977.84466292142</v>
      </c>
      <c r="M56" s="90">
        <f t="shared" si="12"/>
        <v>2087734.1359550566</v>
      </c>
      <c r="N56" s="89">
        <f t="shared" si="13"/>
        <v>6291.8015056179793</v>
      </c>
      <c r="O56" s="44">
        <f t="shared" si="14"/>
        <v>191375.62912921357</v>
      </c>
      <c r="P56" s="90">
        <f t="shared" si="15"/>
        <v>2296507.5495505626</v>
      </c>
      <c r="Q56" s="89">
        <f t="shared" si="16"/>
        <v>6920.9816561797779</v>
      </c>
      <c r="R56" s="44">
        <f t="shared" si="17"/>
        <v>210513.19204213494</v>
      </c>
      <c r="S56" s="90">
        <f t="shared" si="18"/>
        <v>2526158.3045056192</v>
      </c>
    </row>
    <row r="57" spans="2:19" x14ac:dyDescent="0.3">
      <c r="B57" s="58" t="s">
        <v>317</v>
      </c>
      <c r="C57" s="93">
        <v>267</v>
      </c>
      <c r="D57" s="19">
        <f t="shared" si="5"/>
        <v>5167.4157303370794</v>
      </c>
      <c r="E57" s="89">
        <f t="shared" si="19"/>
        <v>3780.0000000000005</v>
      </c>
      <c r="F57" s="44">
        <f t="shared" si="20"/>
        <v>114975.00000000001</v>
      </c>
      <c r="G57" s="90">
        <f t="shared" si="6"/>
        <v>1379700.0000000002</v>
      </c>
      <c r="H57" s="131">
        <f t="shared" si="7"/>
        <v>4158.0000000000009</v>
      </c>
      <c r="I57" s="132">
        <f t="shared" si="8"/>
        <v>126472.50000000003</v>
      </c>
      <c r="J57" s="133">
        <f t="shared" si="9"/>
        <v>1517670.0000000005</v>
      </c>
      <c r="K57" s="89">
        <f t="shared" si="10"/>
        <v>4573.8000000000011</v>
      </c>
      <c r="L57" s="44">
        <f t="shared" si="11"/>
        <v>139119.75000000003</v>
      </c>
      <c r="M57" s="90">
        <f t="shared" si="12"/>
        <v>1669437.0000000007</v>
      </c>
      <c r="N57" s="89">
        <f t="shared" si="13"/>
        <v>5031.1800000000012</v>
      </c>
      <c r="O57" s="44">
        <f t="shared" si="14"/>
        <v>153031.72500000003</v>
      </c>
      <c r="P57" s="90">
        <f t="shared" si="15"/>
        <v>1836380.7000000009</v>
      </c>
      <c r="Q57" s="89">
        <f t="shared" si="16"/>
        <v>5534.2980000000016</v>
      </c>
      <c r="R57" s="44">
        <f t="shared" si="17"/>
        <v>168334.89750000005</v>
      </c>
      <c r="S57" s="90">
        <f t="shared" si="18"/>
        <v>2020018.7700000012</v>
      </c>
    </row>
    <row r="58" spans="2:19" x14ac:dyDescent="0.3">
      <c r="B58" s="57" t="s">
        <v>318</v>
      </c>
      <c r="C58" s="93"/>
      <c r="D58" s="19">
        <f t="shared" si="5"/>
        <v>0</v>
      </c>
      <c r="E58" s="89"/>
      <c r="F58" s="44"/>
      <c r="G58" s="90"/>
      <c r="H58" s="131"/>
      <c r="I58" s="132"/>
      <c r="J58" s="133"/>
      <c r="K58" s="89"/>
      <c r="L58" s="44"/>
      <c r="M58" s="90"/>
      <c r="N58" s="89"/>
      <c r="O58" s="44"/>
      <c r="P58" s="90"/>
      <c r="Q58" s="89"/>
      <c r="R58" s="44"/>
      <c r="S58" s="90"/>
    </row>
    <row r="59" spans="2:19" x14ac:dyDescent="0.3">
      <c r="B59" s="58" t="s">
        <v>319</v>
      </c>
      <c r="C59" s="93">
        <v>225</v>
      </c>
      <c r="D59" s="19">
        <f t="shared" si="5"/>
        <v>5109.9999999999991</v>
      </c>
      <c r="E59" s="89">
        <f t="shared" si="19"/>
        <v>3149.9999999999995</v>
      </c>
      <c r="F59" s="44">
        <f t="shared" si="20"/>
        <v>95812.499999999985</v>
      </c>
      <c r="G59" s="90">
        <f t="shared" si="6"/>
        <v>1149749.9999999998</v>
      </c>
      <c r="H59" s="131">
        <f t="shared" si="7"/>
        <v>3465</v>
      </c>
      <c r="I59" s="132">
        <f t="shared" si="8"/>
        <v>105393.74999999999</v>
      </c>
      <c r="J59" s="133">
        <f t="shared" si="9"/>
        <v>1264724.9999999998</v>
      </c>
      <c r="K59" s="89">
        <f t="shared" si="10"/>
        <v>3811.5000000000005</v>
      </c>
      <c r="L59" s="44">
        <f t="shared" si="11"/>
        <v>115933.125</v>
      </c>
      <c r="M59" s="90">
        <f t="shared" si="12"/>
        <v>1391197.4999999998</v>
      </c>
      <c r="N59" s="89">
        <f t="shared" si="13"/>
        <v>4192.6500000000005</v>
      </c>
      <c r="O59" s="44">
        <f t="shared" si="14"/>
        <v>127526.43750000001</v>
      </c>
      <c r="P59" s="90">
        <f t="shared" si="15"/>
        <v>1530317.2499999998</v>
      </c>
      <c r="Q59" s="89">
        <f t="shared" si="16"/>
        <v>4611.9150000000009</v>
      </c>
      <c r="R59" s="44">
        <f t="shared" si="17"/>
        <v>140279.08125000002</v>
      </c>
      <c r="S59" s="90">
        <f t="shared" si="18"/>
        <v>1683348.9749999999</v>
      </c>
    </row>
    <row r="60" spans="2:19" x14ac:dyDescent="0.3">
      <c r="B60" s="58" t="s">
        <v>320</v>
      </c>
      <c r="C60" s="93">
        <v>187</v>
      </c>
      <c r="D60" s="19">
        <f t="shared" si="5"/>
        <v>4088</v>
      </c>
      <c r="E60" s="89">
        <f t="shared" si="19"/>
        <v>2094.4</v>
      </c>
      <c r="F60" s="44">
        <f t="shared" si="20"/>
        <v>63704.666666666664</v>
      </c>
      <c r="G60" s="90">
        <f t="shared" si="6"/>
        <v>764456</v>
      </c>
      <c r="H60" s="131">
        <f t="shared" si="7"/>
        <v>2303.84</v>
      </c>
      <c r="I60" s="132">
        <f t="shared" si="8"/>
        <v>70075.133333333331</v>
      </c>
      <c r="J60" s="133">
        <f t="shared" si="9"/>
        <v>840901.60000000009</v>
      </c>
      <c r="K60" s="89">
        <f t="shared" si="10"/>
        <v>2534.2240000000002</v>
      </c>
      <c r="L60" s="44">
        <f t="shared" si="11"/>
        <v>77082.646666666667</v>
      </c>
      <c r="M60" s="90">
        <f t="shared" si="12"/>
        <v>924991.76000000013</v>
      </c>
      <c r="N60" s="89">
        <f t="shared" si="13"/>
        <v>2787.6464000000005</v>
      </c>
      <c r="O60" s="44">
        <f t="shared" si="14"/>
        <v>84790.911333333337</v>
      </c>
      <c r="P60" s="90">
        <f t="shared" si="15"/>
        <v>1017490.9360000002</v>
      </c>
      <c r="Q60" s="89">
        <f t="shared" si="16"/>
        <v>3066.4110400000009</v>
      </c>
      <c r="R60" s="44">
        <f t="shared" si="17"/>
        <v>93270.002466666672</v>
      </c>
      <c r="S60" s="90">
        <f t="shared" si="18"/>
        <v>1119240.0296000002</v>
      </c>
    </row>
    <row r="61" spans="2:19" x14ac:dyDescent="0.3">
      <c r="B61" s="57" t="s">
        <v>321</v>
      </c>
      <c r="C61" s="93"/>
      <c r="D61" s="19">
        <f t="shared" si="5"/>
        <v>0</v>
      </c>
      <c r="E61" s="89"/>
      <c r="F61" s="44"/>
      <c r="G61" s="90"/>
      <c r="H61" s="131"/>
      <c r="I61" s="132"/>
      <c r="J61" s="133"/>
      <c r="K61" s="89"/>
      <c r="L61" s="44"/>
      <c r="M61" s="90"/>
      <c r="N61" s="89"/>
      <c r="O61" s="44"/>
      <c r="P61" s="90"/>
      <c r="Q61" s="89"/>
      <c r="R61" s="44"/>
      <c r="S61" s="90"/>
    </row>
    <row r="62" spans="2:19" x14ac:dyDescent="0.3">
      <c r="B62" s="58" t="s">
        <v>322</v>
      </c>
      <c r="C62" s="93">
        <v>52</v>
      </c>
      <c r="D62" s="19">
        <f t="shared" si="5"/>
        <v>2194.0183486238534</v>
      </c>
      <c r="E62" s="89">
        <f t="shared" si="19"/>
        <v>312.57247706422021</v>
      </c>
      <c r="F62" s="44">
        <f t="shared" si="20"/>
        <v>9507.4128440366985</v>
      </c>
      <c r="G62" s="90">
        <f t="shared" si="6"/>
        <v>114088.95412844038</v>
      </c>
      <c r="H62" s="131">
        <f t="shared" si="7"/>
        <v>343.82972477064226</v>
      </c>
      <c r="I62" s="132">
        <f t="shared" si="8"/>
        <v>10458.154128440368</v>
      </c>
      <c r="J62" s="133">
        <f t="shared" si="9"/>
        <v>125497.84954128443</v>
      </c>
      <c r="K62" s="89">
        <f t="shared" si="10"/>
        <v>378.2126972477065</v>
      </c>
      <c r="L62" s="44">
        <f t="shared" si="11"/>
        <v>11503.969541284407</v>
      </c>
      <c r="M62" s="90">
        <f t="shared" si="12"/>
        <v>138047.6344954129</v>
      </c>
      <c r="N62" s="89">
        <f t="shared" si="13"/>
        <v>416.03396697247717</v>
      </c>
      <c r="O62" s="44">
        <f t="shared" si="14"/>
        <v>12654.366495412849</v>
      </c>
      <c r="P62" s="90">
        <f t="shared" si="15"/>
        <v>151852.39794495419</v>
      </c>
      <c r="Q62" s="89">
        <f t="shared" si="16"/>
        <v>457.63736366972495</v>
      </c>
      <c r="R62" s="44">
        <f t="shared" si="17"/>
        <v>13919.803144954136</v>
      </c>
      <c r="S62" s="90">
        <f t="shared" si="18"/>
        <v>167037.63773944962</v>
      </c>
    </row>
    <row r="63" spans="2:19" x14ac:dyDescent="0.3">
      <c r="B63" s="58" t="s">
        <v>323</v>
      </c>
      <c r="C63" s="93">
        <v>119</v>
      </c>
      <c r="D63" s="19">
        <f t="shared" si="5"/>
        <v>2404.9816513761466</v>
      </c>
      <c r="E63" s="89">
        <f t="shared" si="19"/>
        <v>784.08990825688079</v>
      </c>
      <c r="F63" s="44">
        <f t="shared" si="20"/>
        <v>23849.40137614679</v>
      </c>
      <c r="G63" s="90">
        <f t="shared" si="6"/>
        <v>286192.81651376147</v>
      </c>
      <c r="H63" s="131">
        <f t="shared" si="7"/>
        <v>862.49889908256898</v>
      </c>
      <c r="I63" s="132">
        <f t="shared" si="8"/>
        <v>26234.341513761472</v>
      </c>
      <c r="J63" s="133">
        <f t="shared" si="9"/>
        <v>314812.09816513764</v>
      </c>
      <c r="K63" s="89">
        <f t="shared" si="10"/>
        <v>948.74878899082591</v>
      </c>
      <c r="L63" s="44">
        <f t="shared" si="11"/>
        <v>28857.775665137622</v>
      </c>
      <c r="M63" s="90">
        <f t="shared" si="12"/>
        <v>346293.30798165145</v>
      </c>
      <c r="N63" s="89">
        <f t="shared" si="13"/>
        <v>1043.6236678899086</v>
      </c>
      <c r="O63" s="44">
        <f t="shared" si="14"/>
        <v>31743.553231651385</v>
      </c>
      <c r="P63" s="90">
        <f t="shared" si="15"/>
        <v>380922.63877981663</v>
      </c>
      <c r="Q63" s="89">
        <f t="shared" si="16"/>
        <v>1147.9860346788996</v>
      </c>
      <c r="R63" s="44">
        <f t="shared" si="17"/>
        <v>34917.908554816524</v>
      </c>
      <c r="S63" s="90">
        <f t="shared" si="18"/>
        <v>419014.90265779832</v>
      </c>
    </row>
    <row r="64" spans="2:19" x14ac:dyDescent="0.3">
      <c r="B64" s="57" t="s">
        <v>324</v>
      </c>
      <c r="C64" s="93"/>
      <c r="D64" s="19">
        <f t="shared" si="5"/>
        <v>0</v>
      </c>
      <c r="E64" s="89"/>
      <c r="F64" s="44"/>
      <c r="G64" s="90"/>
      <c r="H64" s="131"/>
      <c r="I64" s="132"/>
      <c r="J64" s="133"/>
      <c r="K64" s="89"/>
      <c r="L64" s="44"/>
      <c r="M64" s="90"/>
      <c r="N64" s="89"/>
      <c r="O64" s="44"/>
      <c r="P64" s="90"/>
      <c r="Q64" s="89"/>
      <c r="R64" s="44"/>
      <c r="S64" s="90"/>
    </row>
    <row r="65" spans="1:19" x14ac:dyDescent="0.3">
      <c r="B65" s="58" t="s">
        <v>325</v>
      </c>
      <c r="C65" s="93">
        <v>183</v>
      </c>
      <c r="D65" s="19">
        <f t="shared" si="5"/>
        <v>2343.7211538461538</v>
      </c>
      <c r="E65" s="89">
        <f t="shared" si="19"/>
        <v>1175.0711538461537</v>
      </c>
      <c r="F65" s="44">
        <f t="shared" si="20"/>
        <v>35741.747596153844</v>
      </c>
      <c r="G65" s="90">
        <f t="shared" si="6"/>
        <v>428900.97115384613</v>
      </c>
      <c r="H65" s="131">
        <f t="shared" si="7"/>
        <v>1292.5782692307691</v>
      </c>
      <c r="I65" s="132">
        <f t="shared" si="8"/>
        <v>39315.922355769231</v>
      </c>
      <c r="J65" s="133">
        <f t="shared" si="9"/>
        <v>471791.06826923077</v>
      </c>
      <c r="K65" s="89">
        <f t="shared" si="10"/>
        <v>1421.8360961538463</v>
      </c>
      <c r="L65" s="44">
        <f t="shared" si="11"/>
        <v>43247.51459134616</v>
      </c>
      <c r="M65" s="90">
        <f t="shared" si="12"/>
        <v>518970.17509615392</v>
      </c>
      <c r="N65" s="89">
        <f t="shared" si="13"/>
        <v>1564.019705769231</v>
      </c>
      <c r="O65" s="44">
        <f t="shared" si="14"/>
        <v>47572.266050480779</v>
      </c>
      <c r="P65" s="90">
        <f t="shared" si="15"/>
        <v>570867.19260576938</v>
      </c>
      <c r="Q65" s="89">
        <f t="shared" si="16"/>
        <v>1720.4216763461543</v>
      </c>
      <c r="R65" s="44">
        <f t="shared" si="17"/>
        <v>52329.492655528862</v>
      </c>
      <c r="S65" s="90">
        <f t="shared" si="18"/>
        <v>627953.91186634637</v>
      </c>
    </row>
    <row r="66" spans="1:19" x14ac:dyDescent="0.3">
      <c r="B66" s="63" t="s">
        <v>326</v>
      </c>
      <c r="C66" s="94">
        <v>75</v>
      </c>
      <c r="D66" s="111">
        <f t="shared" si="5"/>
        <v>2255.2788461538462</v>
      </c>
      <c r="E66" s="91">
        <f t="shared" si="19"/>
        <v>463.41346153846155</v>
      </c>
      <c r="F66" s="45">
        <f t="shared" si="20"/>
        <v>14095.492788461539</v>
      </c>
      <c r="G66" s="92">
        <f t="shared" si="6"/>
        <v>169145.91346153847</v>
      </c>
      <c r="H66" s="134">
        <f t="shared" si="7"/>
        <v>509.75480769230774</v>
      </c>
      <c r="I66" s="135">
        <f t="shared" si="8"/>
        <v>15505.042067307693</v>
      </c>
      <c r="J66" s="136">
        <f t="shared" si="9"/>
        <v>186060.50480769234</v>
      </c>
      <c r="K66" s="91">
        <f t="shared" si="10"/>
        <v>560.73028846153852</v>
      </c>
      <c r="L66" s="45">
        <f t="shared" si="11"/>
        <v>17055.546274038465</v>
      </c>
      <c r="M66" s="92">
        <f t="shared" si="12"/>
        <v>204666.55528846159</v>
      </c>
      <c r="N66" s="91">
        <f t="shared" si="13"/>
        <v>616.8033173076924</v>
      </c>
      <c r="O66" s="45">
        <f t="shared" si="14"/>
        <v>18761.100901442314</v>
      </c>
      <c r="P66" s="92">
        <f t="shared" si="15"/>
        <v>225133.21081730776</v>
      </c>
      <c r="Q66" s="91">
        <f t="shared" si="16"/>
        <v>678.48364903846164</v>
      </c>
      <c r="R66" s="45">
        <f t="shared" si="17"/>
        <v>20637.210991586548</v>
      </c>
      <c r="S66" s="92">
        <f t="shared" si="18"/>
        <v>247646.53189903856</v>
      </c>
    </row>
    <row r="67" spans="1:19" x14ac:dyDescent="0.3">
      <c r="B67" s="57" t="s">
        <v>5</v>
      </c>
      <c r="D67" s="150"/>
      <c r="E67" s="86">
        <f>SUM(E39:E66)</f>
        <v>139877.85759104203</v>
      </c>
      <c r="F67" s="86">
        <f t="shared" ref="F67:S67" si="21">SUM(F39:F66)</f>
        <v>4254618.168394194</v>
      </c>
      <c r="G67" s="86">
        <f t="shared" si="21"/>
        <v>51055418.020730324</v>
      </c>
      <c r="H67" s="86">
        <f t="shared" si="21"/>
        <v>153865.64335014622</v>
      </c>
      <c r="I67" s="86">
        <f t="shared" si="21"/>
        <v>4680079.9852336142</v>
      </c>
      <c r="J67" s="86">
        <f t="shared" si="21"/>
        <v>56160959.822803378</v>
      </c>
      <c r="K67" s="86">
        <f t="shared" si="21"/>
        <v>169252.20768516083</v>
      </c>
      <c r="L67" s="86">
        <f t="shared" si="21"/>
        <v>5148087.9837569753</v>
      </c>
      <c r="M67" s="86">
        <f t="shared" si="21"/>
        <v>61777055.805083722</v>
      </c>
      <c r="N67" s="86">
        <f t="shared" si="21"/>
        <v>186177.42845367693</v>
      </c>
      <c r="O67" s="86">
        <f t="shared" si="21"/>
        <v>5662896.782132674</v>
      </c>
      <c r="P67" s="86">
        <f t="shared" si="21"/>
        <v>67954761.385592073</v>
      </c>
      <c r="Q67" s="86">
        <f t="shared" si="21"/>
        <v>204795.17129904471</v>
      </c>
      <c r="R67" s="86">
        <f t="shared" si="21"/>
        <v>6229186.4603459407</v>
      </c>
      <c r="S67" s="86">
        <f t="shared" si="21"/>
        <v>74750237.524151281</v>
      </c>
    </row>
    <row r="68" spans="1:19" x14ac:dyDescent="0.3">
      <c r="B68" s="57" t="s">
        <v>381</v>
      </c>
      <c r="E68" s="86">
        <f>(E101)/365</f>
        <v>34979.508978982165</v>
      </c>
      <c r="F68" s="86">
        <f>E101/12</f>
        <v>1063960.0647773743</v>
      </c>
      <c r="G68" s="86">
        <f>E101</f>
        <v>12767520.777328491</v>
      </c>
      <c r="H68" s="87">
        <f>$F$101/365</f>
        <v>38477.459876880399</v>
      </c>
      <c r="I68" s="87">
        <f>$F$101/12</f>
        <v>1170356.0712551121</v>
      </c>
      <c r="J68" s="87">
        <f>$F$101</f>
        <v>14044272.855061345</v>
      </c>
      <c r="K68" s="87">
        <f>$G$101/365</f>
        <v>42325.20586456843</v>
      </c>
      <c r="L68" s="87">
        <f>$G$101/12</f>
        <v>1287391.6783806232</v>
      </c>
      <c r="M68" s="87">
        <f>$G$101</f>
        <v>15448700.140567478</v>
      </c>
      <c r="N68" s="87">
        <f>$H$101/365</f>
        <v>46557.726451025293</v>
      </c>
      <c r="O68" s="87">
        <f>$H$101/12</f>
        <v>1416130.8462186859</v>
      </c>
      <c r="P68" s="87">
        <f>$H$101</f>
        <v>16993570.154624231</v>
      </c>
      <c r="Q68" s="86">
        <f>$I$101/365</f>
        <v>51213.499096127824</v>
      </c>
      <c r="R68" s="86">
        <f>$I$101/12</f>
        <v>1557743.9308405546</v>
      </c>
      <c r="S68" s="86">
        <f>$I$101</f>
        <v>18692927.170086656</v>
      </c>
    </row>
    <row r="69" spans="1:19" ht="15" thickBot="1" x14ac:dyDescent="0.35">
      <c r="B69" s="57" t="s">
        <v>359</v>
      </c>
      <c r="E69" s="85">
        <f>E67-E68</f>
        <v>104898.34861205987</v>
      </c>
      <c r="F69" s="85">
        <f t="shared" ref="F69:S69" si="22">F67-F68</f>
        <v>3190658.1036168197</v>
      </c>
      <c r="G69" s="85">
        <f t="shared" si="22"/>
        <v>38287897.243401833</v>
      </c>
      <c r="H69" s="85">
        <f t="shared" si="22"/>
        <v>115388.18347326582</v>
      </c>
      <c r="I69" s="85">
        <f t="shared" si="22"/>
        <v>3509723.9139785022</v>
      </c>
      <c r="J69" s="85">
        <f t="shared" si="22"/>
        <v>42116686.967742033</v>
      </c>
      <c r="K69" s="85">
        <f t="shared" si="22"/>
        <v>126927.0018205924</v>
      </c>
      <c r="L69" s="85">
        <f t="shared" si="22"/>
        <v>3860696.3053763518</v>
      </c>
      <c r="M69" s="85">
        <f t="shared" si="22"/>
        <v>46328355.66451624</v>
      </c>
      <c r="N69" s="85">
        <f t="shared" si="22"/>
        <v>139619.70200265164</v>
      </c>
      <c r="O69" s="85">
        <f t="shared" si="22"/>
        <v>4246765.9359139884</v>
      </c>
      <c r="P69" s="85">
        <f t="shared" si="22"/>
        <v>50961191.230967842</v>
      </c>
      <c r="Q69" s="85">
        <f t="shared" si="22"/>
        <v>153581.67220291687</v>
      </c>
      <c r="R69" s="85">
        <f t="shared" si="22"/>
        <v>4671442.529505386</v>
      </c>
      <c r="S69" s="85">
        <f t="shared" si="22"/>
        <v>56057310.354064628</v>
      </c>
    </row>
    <row r="70" spans="1:19" ht="15" thickTop="1" x14ac:dyDescent="0.3"/>
    <row r="71" spans="1:19" x14ac:dyDescent="0.3">
      <c r="B71" s="8" t="s">
        <v>327</v>
      </c>
    </row>
    <row r="72" spans="1:19" x14ac:dyDescent="0.3">
      <c r="A72" s="8" t="s">
        <v>425</v>
      </c>
      <c r="B72" s="81" t="s">
        <v>327</v>
      </c>
      <c r="C72" s="81" t="s">
        <v>328</v>
      </c>
      <c r="D72" s="81" t="s">
        <v>298</v>
      </c>
      <c r="E72" s="81">
        <v>2024</v>
      </c>
      <c r="F72" s="81">
        <v>2025</v>
      </c>
      <c r="G72" s="81">
        <v>2026</v>
      </c>
      <c r="H72" s="81">
        <v>2027</v>
      </c>
      <c r="I72" s="81">
        <v>2028</v>
      </c>
    </row>
    <row r="73" spans="1:19" x14ac:dyDescent="0.3">
      <c r="B73" s="57" t="s">
        <v>299</v>
      </c>
    </row>
    <row r="74" spans="1:19" x14ac:dyDescent="0.3">
      <c r="B74" s="58" t="s">
        <v>300</v>
      </c>
      <c r="C74">
        <v>33.159999999999997</v>
      </c>
      <c r="D74" s="30">
        <f>F108</f>
        <v>3513.8426966292136</v>
      </c>
      <c r="E74" s="30">
        <f>C74*D74</f>
        <v>116519.02382022471</v>
      </c>
      <c r="F74" s="44">
        <f>E74*1.1</f>
        <v>128170.9262022472</v>
      </c>
      <c r="G74" s="44">
        <f t="shared" ref="G74:I74" si="23">F74*1.1</f>
        <v>140988.01882247193</v>
      </c>
      <c r="H74" s="44">
        <f t="shared" si="23"/>
        <v>155086.82070471914</v>
      </c>
      <c r="I74" s="44">
        <f t="shared" si="23"/>
        <v>170595.50277519107</v>
      </c>
    </row>
    <row r="75" spans="1:19" x14ac:dyDescent="0.3">
      <c r="B75" s="58" t="s">
        <v>301</v>
      </c>
      <c r="C75">
        <v>45.14</v>
      </c>
      <c r="D75" s="30">
        <f t="shared" ref="D75:D100" si="24">F109</f>
        <v>5684.1573033707864</v>
      </c>
      <c r="E75" s="30">
        <f t="shared" ref="E75:E100" si="25">C75*D75</f>
        <v>256582.8606741573</v>
      </c>
      <c r="F75" s="44">
        <f t="shared" ref="F75:I75" si="26">E75*1.1</f>
        <v>282241.14674157306</v>
      </c>
      <c r="G75" s="44">
        <f t="shared" si="26"/>
        <v>310465.26141573041</v>
      </c>
      <c r="H75" s="44">
        <f t="shared" si="26"/>
        <v>341511.7875573035</v>
      </c>
      <c r="I75" s="44">
        <f t="shared" si="26"/>
        <v>375662.96631303389</v>
      </c>
    </row>
    <row r="76" spans="1:19" x14ac:dyDescent="0.3">
      <c r="B76" s="57" t="s">
        <v>302</v>
      </c>
      <c r="D76" s="30"/>
      <c r="E76" s="30"/>
      <c r="F76" s="44"/>
      <c r="G76" s="44"/>
      <c r="H76" s="44"/>
      <c r="I76" s="44"/>
    </row>
    <row r="77" spans="1:19" x14ac:dyDescent="0.3">
      <c r="B77" s="58" t="s">
        <v>303</v>
      </c>
      <c r="C77">
        <v>43.32</v>
      </c>
      <c r="D77" s="30">
        <f t="shared" si="24"/>
        <v>7574.823529411764</v>
      </c>
      <c r="E77" s="30">
        <f t="shared" si="25"/>
        <v>328141.35529411765</v>
      </c>
      <c r="F77" s="44">
        <f t="shared" ref="F77:I77" si="27">E77*1.1</f>
        <v>360955.49082352943</v>
      </c>
      <c r="G77" s="44">
        <f t="shared" si="27"/>
        <v>397051.03990588238</v>
      </c>
      <c r="H77" s="44">
        <f t="shared" si="27"/>
        <v>436756.14389647066</v>
      </c>
      <c r="I77" s="44">
        <f t="shared" si="27"/>
        <v>480431.75828611775</v>
      </c>
    </row>
    <row r="78" spans="1:19" x14ac:dyDescent="0.3">
      <c r="B78" s="58" t="s">
        <v>304</v>
      </c>
      <c r="C78">
        <v>43.52</v>
      </c>
      <c r="D78" s="30">
        <f t="shared" si="24"/>
        <v>10821.176470588236</v>
      </c>
      <c r="E78" s="30">
        <f t="shared" si="25"/>
        <v>470937.60000000009</v>
      </c>
      <c r="F78" s="44">
        <f t="shared" ref="F78:I78" si="28">E78*1.1</f>
        <v>518031.36000000016</v>
      </c>
      <c r="G78" s="44">
        <f t="shared" si="28"/>
        <v>569834.49600000028</v>
      </c>
      <c r="H78" s="44">
        <f t="shared" si="28"/>
        <v>626817.94560000033</v>
      </c>
      <c r="I78" s="44">
        <f t="shared" si="28"/>
        <v>689499.74016000039</v>
      </c>
    </row>
    <row r="79" spans="1:19" x14ac:dyDescent="0.3">
      <c r="B79" s="57" t="s">
        <v>305</v>
      </c>
      <c r="D79" s="30"/>
      <c r="E79" s="30"/>
      <c r="F79" s="44"/>
      <c r="G79" s="44"/>
      <c r="H79" s="44"/>
      <c r="I79" s="44"/>
    </row>
    <row r="80" spans="1:19" x14ac:dyDescent="0.3">
      <c r="B80" s="59" t="s">
        <v>306</v>
      </c>
      <c r="C80">
        <v>97.99</v>
      </c>
      <c r="D80" s="30">
        <f t="shared" si="24"/>
        <v>36171.910112359546</v>
      </c>
      <c r="E80" s="30">
        <f t="shared" si="25"/>
        <v>3544485.4719101116</v>
      </c>
      <c r="F80" s="44">
        <f t="shared" ref="F80:I80" si="29">E80*1.1</f>
        <v>3898934.0191011229</v>
      </c>
      <c r="G80" s="44">
        <f t="shared" si="29"/>
        <v>4288827.4210112356</v>
      </c>
      <c r="H80" s="44">
        <f t="shared" si="29"/>
        <v>4717710.1631123591</v>
      </c>
      <c r="I80" s="44">
        <f t="shared" si="29"/>
        <v>5189481.1794235958</v>
      </c>
    </row>
    <row r="81" spans="2:9" x14ac:dyDescent="0.3">
      <c r="B81" s="59" t="s">
        <v>307</v>
      </c>
      <c r="C81">
        <v>82.02</v>
      </c>
      <c r="D81" s="30">
        <f t="shared" si="24"/>
        <v>32554.719101123592</v>
      </c>
      <c r="E81" s="30">
        <f t="shared" si="25"/>
        <v>2670138.060674157</v>
      </c>
      <c r="F81" s="44">
        <f t="shared" ref="F81:I81" si="30">E81*1.1</f>
        <v>2937151.866741573</v>
      </c>
      <c r="G81" s="44">
        <f t="shared" si="30"/>
        <v>3230867.0534157306</v>
      </c>
      <c r="H81" s="44">
        <f t="shared" si="30"/>
        <v>3553953.7587573039</v>
      </c>
      <c r="I81" s="44">
        <f t="shared" si="30"/>
        <v>3909349.1346330345</v>
      </c>
    </row>
    <row r="82" spans="2:9" x14ac:dyDescent="0.3">
      <c r="B82" s="59" t="s">
        <v>308</v>
      </c>
      <c r="C82">
        <v>63.36</v>
      </c>
      <c r="D82" s="30">
        <f t="shared" si="24"/>
        <v>23253.370786516854</v>
      </c>
      <c r="E82" s="30">
        <f t="shared" si="25"/>
        <v>1473333.5730337079</v>
      </c>
      <c r="F82" s="44">
        <f t="shared" ref="F82:I82" si="31">E82*1.1</f>
        <v>1620666.9303370789</v>
      </c>
      <c r="G82" s="44">
        <f t="shared" si="31"/>
        <v>1782733.6233707869</v>
      </c>
      <c r="H82" s="44">
        <f t="shared" si="31"/>
        <v>1961006.9857078658</v>
      </c>
      <c r="I82" s="44">
        <f t="shared" si="31"/>
        <v>2157107.6842786525</v>
      </c>
    </row>
    <row r="83" spans="2:9" x14ac:dyDescent="0.3">
      <c r="B83" s="57" t="s">
        <v>309</v>
      </c>
      <c r="D83" s="30"/>
      <c r="E83" s="30"/>
      <c r="F83" s="44"/>
      <c r="G83" s="44"/>
      <c r="H83" s="44"/>
      <c r="I83" s="44"/>
    </row>
    <row r="84" spans="2:9" x14ac:dyDescent="0.3">
      <c r="B84" s="58" t="s">
        <v>310</v>
      </c>
      <c r="C84">
        <v>90.93</v>
      </c>
      <c r="D84" s="30">
        <f t="shared" si="24"/>
        <v>5329.9668874172185</v>
      </c>
      <c r="E84" s="30">
        <f t="shared" si="25"/>
        <v>484653.88907284773</v>
      </c>
      <c r="F84" s="44">
        <f t="shared" ref="F84:I84" si="32">E84*1.1</f>
        <v>533119.27798013249</v>
      </c>
      <c r="G84" s="44">
        <f t="shared" si="32"/>
        <v>586431.20577814581</v>
      </c>
      <c r="H84" s="44">
        <f t="shared" si="32"/>
        <v>645074.32635596045</v>
      </c>
      <c r="I84" s="44">
        <f t="shared" si="32"/>
        <v>709581.75899155659</v>
      </c>
    </row>
    <row r="85" spans="2:9" x14ac:dyDescent="0.3">
      <c r="B85" s="58" t="s">
        <v>311</v>
      </c>
      <c r="C85">
        <v>54.74</v>
      </c>
      <c r="D85" s="30">
        <f t="shared" si="24"/>
        <v>7766.5231788079473</v>
      </c>
      <c r="E85" s="30">
        <f t="shared" si="25"/>
        <v>425139.47880794707</v>
      </c>
      <c r="F85" s="44">
        <f t="shared" ref="F85:I85" si="33">E85*1.1</f>
        <v>467653.42668874183</v>
      </c>
      <c r="G85" s="44">
        <f t="shared" si="33"/>
        <v>514418.76935761608</v>
      </c>
      <c r="H85" s="44">
        <f t="shared" si="33"/>
        <v>565860.64629337774</v>
      </c>
      <c r="I85" s="44">
        <f t="shared" si="33"/>
        <v>622446.7109227156</v>
      </c>
    </row>
    <row r="86" spans="2:9" x14ac:dyDescent="0.3">
      <c r="B86" s="58" t="s">
        <v>312</v>
      </c>
      <c r="C86">
        <v>62.11</v>
      </c>
      <c r="D86" s="30">
        <f t="shared" si="24"/>
        <v>9898.5099337748361</v>
      </c>
      <c r="E86" s="30">
        <f t="shared" si="25"/>
        <v>614796.45198675501</v>
      </c>
      <c r="F86" s="44">
        <f t="shared" ref="F86:I86" si="34">E86*1.1</f>
        <v>676276.09718543058</v>
      </c>
      <c r="G86" s="44">
        <f t="shared" si="34"/>
        <v>743903.70690397371</v>
      </c>
      <c r="H86" s="44">
        <f t="shared" si="34"/>
        <v>818294.07759437116</v>
      </c>
      <c r="I86" s="44">
        <f t="shared" si="34"/>
        <v>900123.48535380838</v>
      </c>
    </row>
    <row r="87" spans="2:9" x14ac:dyDescent="0.3">
      <c r="B87" s="57" t="s">
        <v>313</v>
      </c>
      <c r="D87" s="30"/>
      <c r="E87" s="30"/>
      <c r="F87" s="44"/>
      <c r="G87" s="44"/>
      <c r="H87" s="44"/>
      <c r="I87" s="44"/>
    </row>
    <row r="88" spans="2:9" x14ac:dyDescent="0.3">
      <c r="B88" s="58" t="s">
        <v>314</v>
      </c>
      <c r="C88">
        <v>94.4</v>
      </c>
      <c r="D88" s="30">
        <f t="shared" si="24"/>
        <v>4779.8595505617977</v>
      </c>
      <c r="E88" s="30">
        <f t="shared" si="25"/>
        <v>451218.74157303374</v>
      </c>
      <c r="F88" s="44">
        <f t="shared" ref="F88:I88" si="35">E88*1.1</f>
        <v>496340.61573033716</v>
      </c>
      <c r="G88" s="44">
        <f t="shared" si="35"/>
        <v>545974.6773033709</v>
      </c>
      <c r="H88" s="44">
        <f t="shared" si="35"/>
        <v>600572.14503370808</v>
      </c>
      <c r="I88" s="44">
        <f t="shared" si="35"/>
        <v>660629.35953707888</v>
      </c>
    </row>
    <row r="89" spans="2:9" x14ac:dyDescent="0.3">
      <c r="B89" s="58" t="s">
        <v>315</v>
      </c>
      <c r="C89">
        <v>68.680000000000007</v>
      </c>
      <c r="D89" s="30">
        <f t="shared" si="24"/>
        <v>6200.8988764044943</v>
      </c>
      <c r="E89" s="30">
        <f t="shared" si="25"/>
        <v>425877.73483146069</v>
      </c>
      <c r="F89" s="44">
        <f t="shared" ref="F89:I89" si="36">E89*1.1</f>
        <v>468465.50831460679</v>
      </c>
      <c r="G89" s="44">
        <f t="shared" si="36"/>
        <v>515312.05914606754</v>
      </c>
      <c r="H89" s="44">
        <f t="shared" si="36"/>
        <v>566843.26506067428</v>
      </c>
      <c r="I89" s="44">
        <f t="shared" si="36"/>
        <v>623527.59156674182</v>
      </c>
    </row>
    <row r="90" spans="2:9" x14ac:dyDescent="0.3">
      <c r="B90" s="58" t="s">
        <v>316</v>
      </c>
      <c r="C90">
        <v>63.06</v>
      </c>
      <c r="D90" s="30">
        <f t="shared" si="24"/>
        <v>6846.8258426966304</v>
      </c>
      <c r="E90" s="30">
        <f t="shared" si="25"/>
        <v>431760.83764044952</v>
      </c>
      <c r="F90" s="44">
        <f t="shared" ref="F90:I90" si="37">E90*1.1</f>
        <v>474936.9214044945</v>
      </c>
      <c r="G90" s="44">
        <f t="shared" si="37"/>
        <v>522430.61354494398</v>
      </c>
      <c r="H90" s="44">
        <f t="shared" si="37"/>
        <v>574673.6748994384</v>
      </c>
      <c r="I90" s="44">
        <f t="shared" si="37"/>
        <v>632141.04238938226</v>
      </c>
    </row>
    <row r="91" spans="2:9" x14ac:dyDescent="0.3">
      <c r="B91" s="58" t="s">
        <v>317</v>
      </c>
      <c r="C91">
        <v>66.8</v>
      </c>
      <c r="D91" s="30">
        <f t="shared" si="24"/>
        <v>5167.4157303370794</v>
      </c>
      <c r="E91" s="30">
        <f t="shared" si="25"/>
        <v>345183.37078651687</v>
      </c>
      <c r="F91" s="44">
        <f t="shared" ref="F91:I91" si="38">E91*1.1</f>
        <v>379701.70786516857</v>
      </c>
      <c r="G91" s="44">
        <f t="shared" si="38"/>
        <v>417671.87865168549</v>
      </c>
      <c r="H91" s="44">
        <f t="shared" si="38"/>
        <v>459439.0665168541</v>
      </c>
      <c r="I91" s="44">
        <f t="shared" si="38"/>
        <v>505382.97316853958</v>
      </c>
    </row>
    <row r="92" spans="2:9" x14ac:dyDescent="0.3">
      <c r="B92" s="57" t="s">
        <v>318</v>
      </c>
      <c r="D92" s="30"/>
      <c r="E92" s="30"/>
      <c r="F92" s="44"/>
      <c r="G92" s="44"/>
      <c r="H92" s="44"/>
      <c r="I92" s="44"/>
    </row>
    <row r="93" spans="2:9" x14ac:dyDescent="0.3">
      <c r="B93" s="58" t="s">
        <v>319</v>
      </c>
      <c r="C93">
        <v>56.16</v>
      </c>
      <c r="D93" s="30">
        <f t="shared" si="24"/>
        <v>5109.9999999999991</v>
      </c>
      <c r="E93" s="30">
        <f t="shared" si="25"/>
        <v>286977.59999999992</v>
      </c>
      <c r="F93" s="44">
        <f t="shared" ref="F93:I93" si="39">E93*1.1</f>
        <v>315675.35999999993</v>
      </c>
      <c r="G93" s="44">
        <f t="shared" si="39"/>
        <v>347242.89599999995</v>
      </c>
      <c r="H93" s="44">
        <f t="shared" si="39"/>
        <v>381967.18559999997</v>
      </c>
      <c r="I93" s="44">
        <f t="shared" si="39"/>
        <v>420163.90415999998</v>
      </c>
    </row>
    <row r="94" spans="2:9" x14ac:dyDescent="0.3">
      <c r="B94" s="58" t="s">
        <v>320</v>
      </c>
      <c r="C94">
        <v>46.87</v>
      </c>
      <c r="D94" s="30">
        <f t="shared" si="24"/>
        <v>4088</v>
      </c>
      <c r="E94" s="30">
        <f t="shared" si="25"/>
        <v>191604.56</v>
      </c>
      <c r="F94" s="44">
        <f t="shared" ref="F94:I94" si="40">E94*1.1</f>
        <v>210765.016</v>
      </c>
      <c r="G94" s="44">
        <f t="shared" si="40"/>
        <v>231841.51760000002</v>
      </c>
      <c r="H94" s="44">
        <f t="shared" si="40"/>
        <v>255025.66936000006</v>
      </c>
      <c r="I94" s="44">
        <f t="shared" si="40"/>
        <v>280528.23629600008</v>
      </c>
    </row>
    <row r="95" spans="2:9" x14ac:dyDescent="0.3">
      <c r="B95" s="57" t="s">
        <v>321</v>
      </c>
      <c r="D95" s="30"/>
      <c r="E95" s="30"/>
      <c r="F95" s="44"/>
      <c r="G95" s="44"/>
      <c r="H95" s="44"/>
      <c r="I95" s="44"/>
    </row>
    <row r="96" spans="2:9" x14ac:dyDescent="0.3">
      <c r="B96" s="58" t="s">
        <v>322</v>
      </c>
      <c r="C96">
        <v>13.11</v>
      </c>
      <c r="D96" s="30">
        <f t="shared" si="24"/>
        <v>2194.0183486238534</v>
      </c>
      <c r="E96" s="30">
        <f t="shared" si="25"/>
        <v>28763.580550458715</v>
      </c>
      <c r="F96" s="44">
        <f t="shared" ref="F96:I96" si="41">E96*1.1</f>
        <v>31639.938605504591</v>
      </c>
      <c r="G96" s="44">
        <f t="shared" si="41"/>
        <v>34803.932466055056</v>
      </c>
      <c r="H96" s="44">
        <f t="shared" si="41"/>
        <v>38284.325712660568</v>
      </c>
      <c r="I96" s="44">
        <f t="shared" si="41"/>
        <v>42112.758283926625</v>
      </c>
    </row>
    <row r="97" spans="2:9" x14ac:dyDescent="0.3">
      <c r="B97" s="58" t="s">
        <v>323</v>
      </c>
      <c r="C97">
        <v>29.8</v>
      </c>
      <c r="D97" s="30">
        <f t="shared" si="24"/>
        <v>2404.9816513761466</v>
      </c>
      <c r="E97" s="30">
        <f t="shared" si="25"/>
        <v>71668.453211009168</v>
      </c>
      <c r="F97" s="44">
        <f t="shared" ref="F97:I97" si="42">E97*1.1</f>
        <v>78835.298532110086</v>
      </c>
      <c r="G97" s="44">
        <f t="shared" si="42"/>
        <v>86718.828385321103</v>
      </c>
      <c r="H97" s="44">
        <f t="shared" si="42"/>
        <v>95390.711223853228</v>
      </c>
      <c r="I97" s="44">
        <f t="shared" si="42"/>
        <v>104929.78234623856</v>
      </c>
    </row>
    <row r="98" spans="2:9" x14ac:dyDescent="0.3">
      <c r="B98" s="57" t="s">
        <v>324</v>
      </c>
      <c r="D98" s="30"/>
      <c r="E98" s="30"/>
      <c r="F98" s="44"/>
      <c r="G98" s="44"/>
      <c r="H98" s="44"/>
      <c r="I98" s="44"/>
    </row>
    <row r="99" spans="2:9" x14ac:dyDescent="0.3">
      <c r="B99" s="58" t="s">
        <v>325</v>
      </c>
      <c r="C99">
        <v>45.76</v>
      </c>
      <c r="D99" s="30">
        <f t="shared" si="24"/>
        <v>2343.7211538461538</v>
      </c>
      <c r="E99" s="30">
        <f t="shared" si="25"/>
        <v>107248.68</v>
      </c>
      <c r="F99" s="44">
        <f t="shared" ref="F99:I99" si="43">E99*1.1</f>
        <v>117973.548</v>
      </c>
      <c r="G99" s="44">
        <f t="shared" si="43"/>
        <v>129770.90280000001</v>
      </c>
      <c r="H99" s="44">
        <f t="shared" si="43"/>
        <v>142747.99308000001</v>
      </c>
      <c r="I99" s="44">
        <f t="shared" si="43"/>
        <v>157022.79238800003</v>
      </c>
    </row>
    <row r="100" spans="2:9" x14ac:dyDescent="0.3">
      <c r="B100" s="63" t="s">
        <v>326</v>
      </c>
      <c r="C100" s="9">
        <v>18.84</v>
      </c>
      <c r="D100" s="36">
        <f t="shared" si="24"/>
        <v>2255.2788461538462</v>
      </c>
      <c r="E100" s="36">
        <f t="shared" si="25"/>
        <v>42489.453461538462</v>
      </c>
      <c r="F100" s="45">
        <f t="shared" ref="F100:I100" si="44">E100*1.1</f>
        <v>46738.398807692312</v>
      </c>
      <c r="G100" s="45">
        <f t="shared" si="44"/>
        <v>51412.238688461548</v>
      </c>
      <c r="H100" s="45">
        <f t="shared" si="44"/>
        <v>56553.462557307706</v>
      </c>
      <c r="I100" s="45">
        <f t="shared" si="44"/>
        <v>62208.808813038479</v>
      </c>
    </row>
    <row r="101" spans="2:9" ht="15" thickBot="1" x14ac:dyDescent="0.35">
      <c r="B101" s="168" t="s">
        <v>5</v>
      </c>
      <c r="C101" s="168"/>
      <c r="D101" s="168"/>
      <c r="E101" s="82">
        <f>SUM(E73:E100)</f>
        <v>12767520.777328491</v>
      </c>
      <c r="F101" s="82">
        <f t="shared" ref="F101:I101" si="45">SUM(F73:F100)</f>
        <v>14044272.855061345</v>
      </c>
      <c r="G101" s="82">
        <f t="shared" si="45"/>
        <v>15448700.140567478</v>
      </c>
      <c r="H101" s="82">
        <f t="shared" si="45"/>
        <v>16993570.154624231</v>
      </c>
      <c r="I101" s="82">
        <f t="shared" si="45"/>
        <v>18692927.170086656</v>
      </c>
    </row>
    <row r="102" spans="2:9" ht="15" thickTop="1" x14ac:dyDescent="0.3">
      <c r="B102" s="49" t="s">
        <v>337</v>
      </c>
    </row>
    <row r="103" spans="2:9" x14ac:dyDescent="0.3">
      <c r="B103" s="66" t="s">
        <v>338</v>
      </c>
    </row>
    <row r="105" spans="2:9" x14ac:dyDescent="0.3">
      <c r="B105" s="8" t="s">
        <v>336</v>
      </c>
    </row>
    <row r="106" spans="2:9" ht="28.8" x14ac:dyDescent="0.3">
      <c r="B106" s="88"/>
      <c r="C106" s="84" t="s">
        <v>388</v>
      </c>
      <c r="D106" s="84" t="s">
        <v>329</v>
      </c>
      <c r="E106" s="84" t="s">
        <v>330</v>
      </c>
      <c r="F106" s="84" t="s">
        <v>331</v>
      </c>
    </row>
    <row r="107" spans="2:9" x14ac:dyDescent="0.3">
      <c r="B107" s="57" t="s">
        <v>339</v>
      </c>
      <c r="D107" s="58"/>
    </row>
    <row r="108" spans="2:9" x14ac:dyDescent="0.3">
      <c r="B108" s="58" t="s">
        <v>300</v>
      </c>
      <c r="C108" s="60">
        <v>0.34</v>
      </c>
      <c r="D108" s="61">
        <v>0.38202247191011235</v>
      </c>
      <c r="E108" s="14">
        <f>(504*365)</f>
        <v>183960</v>
      </c>
      <c r="F108" s="30">
        <f>(E108*0.05)*D108</f>
        <v>3513.8426966292136</v>
      </c>
    </row>
    <row r="109" spans="2:9" x14ac:dyDescent="0.3">
      <c r="B109" s="58" t="s">
        <v>301</v>
      </c>
      <c r="C109" s="60">
        <v>0.55000000000000004</v>
      </c>
      <c r="D109" s="61">
        <v>0.6179775280898876</v>
      </c>
      <c r="E109" s="14">
        <f>(504*365)</f>
        <v>183960</v>
      </c>
      <c r="F109" s="30">
        <f>(E109*0.05)*D109</f>
        <v>5684.1573033707864</v>
      </c>
    </row>
    <row r="110" spans="2:9" x14ac:dyDescent="0.3">
      <c r="B110" s="57" t="s">
        <v>332</v>
      </c>
      <c r="C110" s="58"/>
      <c r="D110" s="58"/>
    </row>
    <row r="111" spans="2:9" x14ac:dyDescent="0.3">
      <c r="B111" s="58" t="s">
        <v>303</v>
      </c>
      <c r="C111" s="60">
        <v>0.42</v>
      </c>
      <c r="D111" s="61">
        <v>0.41176470588235292</v>
      </c>
      <c r="E111" s="14">
        <f t="shared" ref="E111:E112" si="46">(504*365)</f>
        <v>183960</v>
      </c>
      <c r="F111" s="30">
        <f>(E111*0.1)*D111</f>
        <v>7574.823529411764</v>
      </c>
    </row>
    <row r="112" spans="2:9" x14ac:dyDescent="0.3">
      <c r="B112" s="58" t="s">
        <v>304</v>
      </c>
      <c r="C112" s="60">
        <v>0.6</v>
      </c>
      <c r="D112" s="61">
        <v>0.58823529411764708</v>
      </c>
      <c r="E112" s="14">
        <f t="shared" si="46"/>
        <v>183960</v>
      </c>
      <c r="F112" s="30">
        <f>(E112*0.1)*D112</f>
        <v>10821.176470588236</v>
      </c>
    </row>
    <row r="113" spans="2:6" x14ac:dyDescent="0.3">
      <c r="B113" s="57" t="s">
        <v>340</v>
      </c>
      <c r="C113" s="58"/>
      <c r="D113" s="58"/>
    </row>
    <row r="114" spans="2:6" x14ac:dyDescent="0.3">
      <c r="B114" s="58" t="s">
        <v>306</v>
      </c>
      <c r="C114" s="60">
        <v>0.7</v>
      </c>
      <c r="D114" s="61">
        <v>0.3932584269662921</v>
      </c>
      <c r="E114" s="14">
        <f t="shared" ref="E114:E116" si="47">(504*365)</f>
        <v>183960</v>
      </c>
      <c r="F114" s="30">
        <f>(E114*0.5)*D114</f>
        <v>36171.910112359546</v>
      </c>
    </row>
    <row r="115" spans="2:6" x14ac:dyDescent="0.3">
      <c r="B115" s="58" t="s">
        <v>307</v>
      </c>
      <c r="C115" s="60">
        <v>0.63</v>
      </c>
      <c r="D115" s="61">
        <v>0.3539325842696629</v>
      </c>
      <c r="E115" s="14">
        <f t="shared" si="47"/>
        <v>183960</v>
      </c>
      <c r="F115" s="30">
        <f t="shared" ref="F115:F116" si="48">(E115*0.5)*D115</f>
        <v>32554.719101123592</v>
      </c>
    </row>
    <row r="116" spans="2:6" x14ac:dyDescent="0.3">
      <c r="B116" s="58" t="s">
        <v>308</v>
      </c>
      <c r="C116" s="60">
        <v>0.45</v>
      </c>
      <c r="D116" s="61">
        <v>0.25280898876404495</v>
      </c>
      <c r="E116" s="14">
        <f t="shared" si="47"/>
        <v>183960</v>
      </c>
      <c r="F116" s="30">
        <f t="shared" si="48"/>
        <v>23253.370786516854</v>
      </c>
    </row>
    <row r="117" spans="2:6" x14ac:dyDescent="0.3">
      <c r="B117" s="57" t="s">
        <v>341</v>
      </c>
      <c r="C117" s="58"/>
      <c r="D117" s="62"/>
    </row>
    <row r="118" spans="2:6" x14ac:dyDescent="0.3">
      <c r="B118" s="58" t="s">
        <v>310</v>
      </c>
      <c r="C118" s="60">
        <v>0.35</v>
      </c>
      <c r="D118" s="61">
        <v>0.23178807947019867</v>
      </c>
      <c r="E118" s="14">
        <f t="shared" ref="E118:E120" si="49">(504*365)</f>
        <v>183960</v>
      </c>
      <c r="F118" s="30">
        <f>(E118*0.125)*D118</f>
        <v>5329.9668874172185</v>
      </c>
    </row>
    <row r="119" spans="2:6" x14ac:dyDescent="0.3">
      <c r="B119" s="58" t="s">
        <v>311</v>
      </c>
      <c r="C119" s="60">
        <v>0.51</v>
      </c>
      <c r="D119" s="61">
        <v>0.33774834437086093</v>
      </c>
      <c r="E119" s="14">
        <f t="shared" si="49"/>
        <v>183960</v>
      </c>
      <c r="F119" s="30">
        <f t="shared" ref="F119:F120" si="50">(E119*0.125)*D119</f>
        <v>7766.5231788079473</v>
      </c>
    </row>
    <row r="120" spans="2:6" x14ac:dyDescent="0.3">
      <c r="B120" s="58" t="s">
        <v>312</v>
      </c>
      <c r="C120" s="60">
        <v>0.65</v>
      </c>
      <c r="D120" s="61">
        <v>0.43046357615894043</v>
      </c>
      <c r="E120" s="14">
        <f t="shared" si="49"/>
        <v>183960</v>
      </c>
      <c r="F120" s="30">
        <f t="shared" si="50"/>
        <v>9898.5099337748361</v>
      </c>
    </row>
    <row r="121" spans="2:6" x14ac:dyDescent="0.3">
      <c r="B121" s="57" t="s">
        <v>342</v>
      </c>
      <c r="C121" s="58"/>
      <c r="D121" s="58"/>
    </row>
    <row r="122" spans="2:6" x14ac:dyDescent="0.3">
      <c r="B122" s="58" t="s">
        <v>314</v>
      </c>
      <c r="C122" s="60">
        <v>0.37</v>
      </c>
      <c r="D122" s="61">
        <v>0.20786516853932585</v>
      </c>
      <c r="E122" s="14">
        <f t="shared" ref="E122:E125" si="51">(504*365)</f>
        <v>183960</v>
      </c>
      <c r="F122" s="30">
        <f>(E122*0.125)*D122</f>
        <v>4779.8595505617977</v>
      </c>
    </row>
    <row r="123" spans="2:6" x14ac:dyDescent="0.3">
      <c r="B123" s="58" t="s">
        <v>315</v>
      </c>
      <c r="C123" s="60">
        <v>0.48</v>
      </c>
      <c r="D123" s="61">
        <v>0.2696629213483146</v>
      </c>
      <c r="E123" s="14">
        <f t="shared" si="51"/>
        <v>183960</v>
      </c>
      <c r="F123" s="30">
        <f t="shared" ref="F123:F125" si="52">(E123*0.125)*D123</f>
        <v>6200.8988764044943</v>
      </c>
    </row>
    <row r="124" spans="2:6" x14ac:dyDescent="0.3">
      <c r="B124" s="58" t="s">
        <v>316</v>
      </c>
      <c r="C124" s="60">
        <v>0.53</v>
      </c>
      <c r="D124" s="61">
        <v>0.29775280898876411</v>
      </c>
      <c r="E124" s="14">
        <f t="shared" si="51"/>
        <v>183960</v>
      </c>
      <c r="F124" s="30">
        <f t="shared" si="52"/>
        <v>6846.8258426966304</v>
      </c>
    </row>
    <row r="125" spans="2:6" x14ac:dyDescent="0.3">
      <c r="B125" s="58" t="s">
        <v>317</v>
      </c>
      <c r="C125" s="60">
        <v>0.4</v>
      </c>
      <c r="D125" s="61">
        <v>0.22471910112359555</v>
      </c>
      <c r="E125" s="14">
        <f t="shared" si="51"/>
        <v>183960</v>
      </c>
      <c r="F125" s="30">
        <f t="shared" si="52"/>
        <v>5167.4157303370794</v>
      </c>
    </row>
    <row r="126" spans="2:6" x14ac:dyDescent="0.3">
      <c r="B126" s="57" t="s">
        <v>333</v>
      </c>
      <c r="C126" s="58"/>
      <c r="D126" s="58"/>
    </row>
    <row r="127" spans="2:6" x14ac:dyDescent="0.3">
      <c r="B127" s="58" t="s">
        <v>319</v>
      </c>
      <c r="C127" s="60">
        <v>0.6</v>
      </c>
      <c r="D127" s="61">
        <v>0.55555555555555547</v>
      </c>
      <c r="E127" s="14">
        <f t="shared" ref="E127:E128" si="53">(504*365)</f>
        <v>183960</v>
      </c>
      <c r="F127" s="30">
        <f>(E127*0.05)*D127</f>
        <v>5109.9999999999991</v>
      </c>
    </row>
    <row r="128" spans="2:6" x14ac:dyDescent="0.3">
      <c r="B128" s="58" t="s">
        <v>320</v>
      </c>
      <c r="C128" s="60">
        <v>0.48</v>
      </c>
      <c r="D128" s="61">
        <v>0.44444444444444442</v>
      </c>
      <c r="E128" s="14">
        <f t="shared" si="53"/>
        <v>183960</v>
      </c>
      <c r="F128" s="30">
        <f>(E128*0.05)*D128</f>
        <v>4088</v>
      </c>
    </row>
    <row r="129" spans="2:6" x14ac:dyDescent="0.3">
      <c r="B129" s="57" t="s">
        <v>334</v>
      </c>
      <c r="C129" s="58"/>
      <c r="D129" s="58"/>
    </row>
    <row r="130" spans="2:6" x14ac:dyDescent="0.3">
      <c r="B130" s="58" t="s">
        <v>322</v>
      </c>
      <c r="C130" s="60">
        <v>0.52</v>
      </c>
      <c r="D130" s="61">
        <v>0.47706422018348632</v>
      </c>
      <c r="E130" s="14">
        <f t="shared" ref="E130:E131" si="54">(504*365)</f>
        <v>183960</v>
      </c>
      <c r="F130" s="30">
        <f>(E130*0.025)*D130</f>
        <v>2194.0183486238534</v>
      </c>
    </row>
    <row r="131" spans="2:6" x14ac:dyDescent="0.3">
      <c r="B131" s="58" t="s">
        <v>323</v>
      </c>
      <c r="C131" s="60">
        <v>0.56999999999999995</v>
      </c>
      <c r="D131" s="61">
        <v>0.52293577981651373</v>
      </c>
      <c r="E131" s="14">
        <f t="shared" si="54"/>
        <v>183960</v>
      </c>
      <c r="F131" s="30">
        <f>(E131*0.025)*D131</f>
        <v>2404.9816513761466</v>
      </c>
    </row>
    <row r="132" spans="2:6" x14ac:dyDescent="0.3">
      <c r="B132" s="57" t="s">
        <v>335</v>
      </c>
      <c r="C132" s="58"/>
      <c r="D132" s="58"/>
    </row>
    <row r="133" spans="2:6" x14ac:dyDescent="0.3">
      <c r="B133" s="58" t="s">
        <v>325</v>
      </c>
      <c r="C133" s="60">
        <v>0.53</v>
      </c>
      <c r="D133" s="61">
        <v>0.50961538461538458</v>
      </c>
      <c r="E133" s="14">
        <f t="shared" ref="E133:E134" si="55">(504*365)</f>
        <v>183960</v>
      </c>
      <c r="F133" s="30">
        <f>(E133*0.025)*D133</f>
        <v>2343.7211538461538</v>
      </c>
    </row>
    <row r="134" spans="2:6" x14ac:dyDescent="0.3">
      <c r="B134" s="63" t="s">
        <v>326</v>
      </c>
      <c r="C134" s="64">
        <v>0.51</v>
      </c>
      <c r="D134" s="65">
        <v>0.49038461538461536</v>
      </c>
      <c r="E134" s="15">
        <f t="shared" si="55"/>
        <v>183960</v>
      </c>
      <c r="F134" s="36">
        <f>(E134*0.025)*D134</f>
        <v>2255.2788461538462</v>
      </c>
    </row>
    <row r="135" spans="2:6" ht="15" thickBot="1" x14ac:dyDescent="0.35">
      <c r="B135" s="57" t="s">
        <v>5</v>
      </c>
      <c r="F135" s="82">
        <f>SUM(F108:F134)</f>
        <v>183959.99999999997</v>
      </c>
    </row>
    <row r="136" spans="2:6" ht="15" thickTop="1" x14ac:dyDescent="0.3">
      <c r="B136" s="49" t="s">
        <v>596</v>
      </c>
    </row>
    <row r="138" spans="2:6" x14ac:dyDescent="0.3">
      <c r="B138" s="152" t="s">
        <v>593</v>
      </c>
    </row>
    <row r="139" spans="2:6" x14ac:dyDescent="0.3">
      <c r="B139" s="163" t="s">
        <v>601</v>
      </c>
      <c r="C139" s="163"/>
      <c r="D139">
        <v>70</v>
      </c>
    </row>
    <row r="140" spans="2:6" x14ac:dyDescent="0.3">
      <c r="B140" s="163" t="s">
        <v>602</v>
      </c>
      <c r="C140" s="163"/>
      <c r="D140">
        <v>8</v>
      </c>
    </row>
    <row r="141" spans="2:6" x14ac:dyDescent="0.3">
      <c r="B141" s="163" t="s">
        <v>594</v>
      </c>
      <c r="C141" s="163"/>
      <c r="D141" s="153">
        <v>0.9</v>
      </c>
    </row>
    <row r="142" spans="2:6" x14ac:dyDescent="0.3">
      <c r="B142" s="164" t="s">
        <v>595</v>
      </c>
      <c r="C142" s="164"/>
      <c r="D142" s="185">
        <f>(D139*D140)*D141</f>
        <v>504</v>
      </c>
    </row>
  </sheetData>
  <mergeCells count="11">
    <mergeCell ref="B33:D33"/>
    <mergeCell ref="B101:D101"/>
    <mergeCell ref="E37:G37"/>
    <mergeCell ref="H37:J37"/>
    <mergeCell ref="K37:M37"/>
    <mergeCell ref="B139:C139"/>
    <mergeCell ref="B140:C140"/>
    <mergeCell ref="B141:C141"/>
    <mergeCell ref="B142:C142"/>
    <mergeCell ref="Q37:S37"/>
    <mergeCell ref="N37:P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BBE2-3450-4B55-ABA8-C5AD57A86005}">
  <sheetPr>
    <tabColor theme="9" tint="0.79998168889431442"/>
  </sheetPr>
  <dimension ref="B1:G31"/>
  <sheetViews>
    <sheetView workbookViewId="0">
      <selection activeCell="D24" sqref="D24"/>
    </sheetView>
  </sheetViews>
  <sheetFormatPr defaultRowHeight="14.4" x14ac:dyDescent="0.3"/>
  <cols>
    <col min="1" max="1" width="4.88671875" customWidth="1"/>
    <col min="2" max="2" width="29.109375" customWidth="1"/>
    <col min="3" max="3" width="21.109375" style="14" customWidth="1"/>
    <col min="4" max="4" width="7.44140625" customWidth="1"/>
    <col min="5" max="5" width="2.77734375" customWidth="1"/>
    <col min="6" max="6" width="30.88671875" customWidth="1"/>
    <col min="7" max="7" width="10.44140625" style="14" bestFit="1" customWidth="1"/>
  </cols>
  <sheetData>
    <row r="1" spans="2:7" x14ac:dyDescent="0.3">
      <c r="B1" s="8" t="s">
        <v>33</v>
      </c>
      <c r="F1" s="16" t="s">
        <v>48</v>
      </c>
    </row>
    <row r="2" spans="2:7" x14ac:dyDescent="0.3">
      <c r="B2" s="119" t="s">
        <v>584</v>
      </c>
      <c r="C2" s="96" t="s">
        <v>583</v>
      </c>
      <c r="F2" s="8" t="s">
        <v>49</v>
      </c>
      <c r="G2" s="14">
        <v>70000</v>
      </c>
    </row>
    <row r="3" spans="2:7" x14ac:dyDescent="0.3">
      <c r="F3" t="s">
        <v>50</v>
      </c>
      <c r="G3" s="15">
        <v>6</v>
      </c>
    </row>
    <row r="4" spans="2:7" ht="28.8" x14ac:dyDescent="0.3">
      <c r="B4" s="3" t="s">
        <v>599</v>
      </c>
      <c r="C4" s="14">
        <f>SUM('FIXED ASSET EXPENSE'!E6:E17)</f>
        <v>1246000</v>
      </c>
      <c r="G4" s="17">
        <f>G2*G3</f>
        <v>420000</v>
      </c>
    </row>
    <row r="5" spans="2:7" x14ac:dyDescent="0.3">
      <c r="B5" t="s">
        <v>36</v>
      </c>
      <c r="C5" s="14">
        <f>SUM('FIXED ASSET EXPENSE'!E20:E47)</f>
        <v>810516.69</v>
      </c>
    </row>
    <row r="6" spans="2:7" x14ac:dyDescent="0.3">
      <c r="B6" t="s">
        <v>37</v>
      </c>
      <c r="C6" s="14">
        <f>SUM('FIXED ASSET EXPENSE'!E50:E71)</f>
        <v>722348.95</v>
      </c>
      <c r="F6" s="8" t="s">
        <v>155</v>
      </c>
    </row>
    <row r="7" spans="2:7" x14ac:dyDescent="0.3">
      <c r="B7" t="s">
        <v>38</v>
      </c>
      <c r="C7" s="14">
        <f>SUM('FIXED ASSET EXPENSE'!E74:E79)</f>
        <v>65000</v>
      </c>
    </row>
    <row r="8" spans="2:7" x14ac:dyDescent="0.3">
      <c r="B8" t="s">
        <v>75</v>
      </c>
      <c r="C8" s="14">
        <f>SUM('FIXED ASSET EXPENSE'!E81)</f>
        <v>60000</v>
      </c>
      <c r="F8" t="s">
        <v>156</v>
      </c>
    </row>
    <row r="9" spans="2:7" x14ac:dyDescent="0.3">
      <c r="B9" t="s">
        <v>76</v>
      </c>
      <c r="C9" s="14">
        <f>SUM('FIXED ASSET EXPENSE'!E83:E89)</f>
        <v>60600</v>
      </c>
      <c r="F9" s="18" t="s">
        <v>157</v>
      </c>
      <c r="G9" s="14">
        <v>10000</v>
      </c>
    </row>
    <row r="10" spans="2:7" x14ac:dyDescent="0.3">
      <c r="B10" t="s">
        <v>34</v>
      </c>
      <c r="C10" s="17">
        <f>G4</f>
        <v>420000</v>
      </c>
      <c r="F10" s="18" t="s">
        <v>158</v>
      </c>
      <c r="G10" s="14">
        <v>1000</v>
      </c>
    </row>
    <row r="11" spans="2:7" x14ac:dyDescent="0.3">
      <c r="B11" t="s">
        <v>54</v>
      </c>
      <c r="C11" s="14">
        <f>'SUPPLIES EXPENSE'!E65</f>
        <v>1222667.7300000002</v>
      </c>
      <c r="F11" s="18" t="s">
        <v>159</v>
      </c>
      <c r="G11" s="14">
        <v>4000</v>
      </c>
    </row>
    <row r="12" spans="2:7" x14ac:dyDescent="0.3">
      <c r="B12" t="s">
        <v>53</v>
      </c>
      <c r="C12" s="14">
        <f>SUM('PRE OPERATING EXPENSE'!C5:C7)</f>
        <v>20000</v>
      </c>
      <c r="F12" s="18" t="s">
        <v>269</v>
      </c>
      <c r="G12" s="14">
        <v>4000</v>
      </c>
    </row>
    <row r="13" spans="2:7" x14ac:dyDescent="0.3">
      <c r="B13" t="s">
        <v>52</v>
      </c>
      <c r="C13" s="14">
        <f>SUM('PRE OPERATING EXPENSE'!C9:C9)</f>
        <v>3000</v>
      </c>
      <c r="F13" s="18" t="s">
        <v>160</v>
      </c>
      <c r="G13" s="14">
        <v>2000</v>
      </c>
    </row>
    <row r="14" spans="2:7" x14ac:dyDescent="0.3">
      <c r="B14" t="s">
        <v>42</v>
      </c>
      <c r="C14" s="14">
        <f>SUM('PRE OPERATING EXPENSE'!C11:C13)</f>
        <v>17000</v>
      </c>
      <c r="F14" s="28" t="s">
        <v>161</v>
      </c>
      <c r="G14" s="15">
        <v>1500</v>
      </c>
    </row>
    <row r="15" spans="2:7" x14ac:dyDescent="0.3">
      <c r="B15" t="s">
        <v>41</v>
      </c>
      <c r="C15" s="14">
        <f>SUM('PRE OPERATING EXPENSE'!C16:C37)</f>
        <v>66150</v>
      </c>
      <c r="G15" s="47">
        <f>SUM(G7:G14)</f>
        <v>22500</v>
      </c>
    </row>
    <row r="16" spans="2:7" x14ac:dyDescent="0.3">
      <c r="B16" t="s">
        <v>51</v>
      </c>
      <c r="C16" s="14">
        <f>SUM('PRE OPERATING EXPENSE'!C39:C41)</f>
        <v>6600</v>
      </c>
    </row>
    <row r="17" spans="2:7" ht="28.8" x14ac:dyDescent="0.3">
      <c r="B17" s="13" t="s">
        <v>43</v>
      </c>
      <c r="F17" t="s">
        <v>39</v>
      </c>
      <c r="G17" s="14">
        <f>INITIAL_INVENTORY!H125</f>
        <v>565734.63610399212</v>
      </c>
    </row>
    <row r="18" spans="2:7" x14ac:dyDescent="0.3">
      <c r="B18" s="18" t="s">
        <v>44</v>
      </c>
      <c r="C18" s="14">
        <f>SUM(MARKETING!C5:C6)</f>
        <v>35000</v>
      </c>
    </row>
    <row r="19" spans="2:7" x14ac:dyDescent="0.3">
      <c r="B19" s="18" t="s">
        <v>45</v>
      </c>
      <c r="C19" s="14">
        <f>SUM(MARKETING!C8:C9)</f>
        <v>18000</v>
      </c>
    </row>
    <row r="20" spans="2:7" x14ac:dyDescent="0.3">
      <c r="B20" s="18" t="s">
        <v>46</v>
      </c>
      <c r="C20" s="14">
        <f>SUM(MARKETING!C11:C13)</f>
        <v>7000</v>
      </c>
    </row>
    <row r="21" spans="2:7" x14ac:dyDescent="0.3">
      <c r="B21" s="18" t="s">
        <v>47</v>
      </c>
      <c r="C21" s="14">
        <f>SUM(MARKETING!C15:C18)</f>
        <v>40000</v>
      </c>
      <c r="F21" s="30"/>
    </row>
    <row r="22" spans="2:7" x14ac:dyDescent="0.3">
      <c r="B22" t="s">
        <v>40</v>
      </c>
      <c r="C22" s="121">
        <f>G15</f>
        <v>22500</v>
      </c>
    </row>
    <row r="23" spans="2:7" x14ac:dyDescent="0.3">
      <c r="B23" s="18" t="s">
        <v>395</v>
      </c>
      <c r="C23" s="15">
        <f>C27-(SUM(C4:C22))</f>
        <v>157616.62999999989</v>
      </c>
    </row>
    <row r="24" spans="2:7" ht="15" thickBot="1" x14ac:dyDescent="0.35">
      <c r="B24" t="s">
        <v>23</v>
      </c>
      <c r="C24" s="112">
        <f>SUM(C4:C23)</f>
        <v>5000000</v>
      </c>
      <c r="F24" s="30"/>
    </row>
    <row r="25" spans="2:7" ht="15" thickTop="1" x14ac:dyDescent="0.3">
      <c r="F25" s="30"/>
    </row>
    <row r="26" spans="2:7" x14ac:dyDescent="0.3">
      <c r="B26" s="8" t="s">
        <v>384</v>
      </c>
      <c r="F26" s="30"/>
    </row>
    <row r="27" spans="2:7" x14ac:dyDescent="0.3">
      <c r="B27" t="s">
        <v>385</v>
      </c>
      <c r="C27" s="15">
        <f>'CAPITAL CONTRIBUTION'!C10</f>
        <v>5000000</v>
      </c>
      <c r="F27" s="30"/>
    </row>
    <row r="28" spans="2:7" x14ac:dyDescent="0.3">
      <c r="D28" s="30"/>
    </row>
    <row r="29" spans="2:7" x14ac:dyDescent="0.3">
      <c r="D29" s="67"/>
    </row>
    <row r="31" spans="2:7" x14ac:dyDescent="0.3">
      <c r="D31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98F8-F031-4B48-8836-FF46BEED892E}">
  <sheetPr>
    <tabColor theme="7" tint="0.39997558519241921"/>
  </sheetPr>
  <dimension ref="B1:H19"/>
  <sheetViews>
    <sheetView workbookViewId="0">
      <selection activeCell="F21" sqref="F21"/>
    </sheetView>
  </sheetViews>
  <sheetFormatPr defaultRowHeight="14.4" x14ac:dyDescent="0.3"/>
  <cols>
    <col min="1" max="1" width="4.109375" customWidth="1"/>
    <col min="2" max="2" width="40.109375" customWidth="1"/>
    <col min="3" max="7" width="19.109375" customWidth="1"/>
  </cols>
  <sheetData>
    <row r="1" spans="2:8" x14ac:dyDescent="0.3">
      <c r="B1" s="8" t="s">
        <v>294</v>
      </c>
    </row>
    <row r="2" spans="2:8" x14ac:dyDescent="0.3">
      <c r="B2" s="8" t="s">
        <v>383</v>
      </c>
    </row>
    <row r="3" spans="2:8" x14ac:dyDescent="0.3">
      <c r="B3" s="4" t="s">
        <v>606</v>
      </c>
      <c r="C3" s="81">
        <v>2024</v>
      </c>
      <c r="D3" s="81">
        <v>2025</v>
      </c>
      <c r="E3" s="81">
        <v>2026</v>
      </c>
      <c r="F3" s="81">
        <v>2027</v>
      </c>
      <c r="G3" s="81">
        <v>2028</v>
      </c>
    </row>
    <row r="4" spans="2:8" x14ac:dyDescent="0.3">
      <c r="B4" s="8" t="s">
        <v>585</v>
      </c>
      <c r="C4" s="14">
        <f>'CAPITAL CONTRIBUTION'!C10</f>
        <v>5000000</v>
      </c>
      <c r="D4" s="14">
        <f>C4</f>
        <v>5000000</v>
      </c>
      <c r="E4" s="14">
        <f t="shared" ref="E4:G4" si="0">D4</f>
        <v>5000000</v>
      </c>
      <c r="F4" s="14">
        <f t="shared" si="0"/>
        <v>5000000</v>
      </c>
      <c r="G4" s="14">
        <f t="shared" si="0"/>
        <v>5000000</v>
      </c>
      <c r="H4" s="14"/>
    </row>
    <row r="5" spans="2:8" x14ac:dyDescent="0.3">
      <c r="B5" s="125" t="s">
        <v>586</v>
      </c>
      <c r="C5" s="15">
        <f>IS!D28</f>
        <v>20198740.563301373</v>
      </c>
      <c r="D5" s="15">
        <f>IS!E28</f>
        <v>26615077.356556524</v>
      </c>
      <c r="E5" s="15">
        <f>IS!F28</f>
        <v>29566332.604137182</v>
      </c>
      <c r="F5" s="15">
        <f>IS!G28</f>
        <v>32825053.767725885</v>
      </c>
      <c r="G5" s="15">
        <f>IS!H28</f>
        <v>36421266.666535974</v>
      </c>
    </row>
    <row r="6" spans="2:8" ht="15" thickBot="1" x14ac:dyDescent="0.35">
      <c r="B6" s="32" t="s">
        <v>591</v>
      </c>
      <c r="C6" s="117">
        <f>C5-C4</f>
        <v>15198740.563301373</v>
      </c>
      <c r="D6" s="117">
        <f t="shared" ref="D6:G6" si="1">D5-D4</f>
        <v>21615077.356556524</v>
      </c>
      <c r="E6" s="117">
        <f t="shared" si="1"/>
        <v>24566332.604137182</v>
      </c>
      <c r="F6" s="117">
        <f t="shared" si="1"/>
        <v>27825053.767725885</v>
      </c>
      <c r="G6" s="117">
        <f t="shared" si="1"/>
        <v>31421266.666535974</v>
      </c>
    </row>
    <row r="7" spans="2:8" ht="15.6" thickTop="1" thickBot="1" x14ac:dyDescent="0.35">
      <c r="B7" s="32" t="s">
        <v>592</v>
      </c>
      <c r="C7" s="145">
        <f>(C6/C4)</f>
        <v>3.0397481126602748</v>
      </c>
      <c r="D7" s="145">
        <f t="shared" ref="D7:G7" si="2">(D6/D4)</f>
        <v>4.3230154713113045</v>
      </c>
      <c r="E7" s="145">
        <f t="shared" si="2"/>
        <v>4.9132665208274364</v>
      </c>
      <c r="F7" s="145">
        <f t="shared" si="2"/>
        <v>5.5650107535451774</v>
      </c>
      <c r="G7" s="145">
        <f t="shared" si="2"/>
        <v>6.2842533333071948</v>
      </c>
    </row>
    <row r="8" spans="2:8" ht="15" hidden="1" thickTop="1" x14ac:dyDescent="0.3"/>
    <row r="9" spans="2:8" hidden="1" x14ac:dyDescent="0.3">
      <c r="B9" s="4" t="s">
        <v>607</v>
      </c>
      <c r="C9" s="81">
        <v>2024</v>
      </c>
      <c r="D9" s="81">
        <v>2025</v>
      </c>
      <c r="E9" s="81">
        <v>2026</v>
      </c>
      <c r="F9" s="81">
        <v>2027</v>
      </c>
      <c r="G9" s="81">
        <v>2028</v>
      </c>
    </row>
    <row r="10" spans="2:8" hidden="1" x14ac:dyDescent="0.3">
      <c r="B10" s="8" t="s">
        <v>585</v>
      </c>
      <c r="C10" s="14">
        <f>'CAPITAL CONTRIBUTION'!C10</f>
        <v>5000000</v>
      </c>
      <c r="D10" s="14">
        <f>C10</f>
        <v>5000000</v>
      </c>
      <c r="E10" s="14">
        <f t="shared" ref="E10" si="3">D10</f>
        <v>5000000</v>
      </c>
      <c r="F10" s="14">
        <f t="shared" ref="F10" si="4">E10</f>
        <v>5000000</v>
      </c>
      <c r="G10" s="14">
        <f t="shared" ref="G10" si="5">F10</f>
        <v>5000000</v>
      </c>
    </row>
    <row r="11" spans="2:8" hidden="1" x14ac:dyDescent="0.3">
      <c r="B11" s="125" t="s">
        <v>296</v>
      </c>
      <c r="C11" s="15">
        <f>IS!D6</f>
        <v>51055418.020730324</v>
      </c>
      <c r="D11" s="15">
        <f>IS!E6</f>
        <v>56160959.822803378</v>
      </c>
      <c r="E11" s="15">
        <f>IS!F6</f>
        <v>61777055.805083722</v>
      </c>
      <c r="F11" s="15">
        <f>IS!G6</f>
        <v>67954761.385592073</v>
      </c>
      <c r="G11" s="15">
        <f>IS!H6</f>
        <v>74750237.524151281</v>
      </c>
    </row>
    <row r="12" spans="2:8" ht="15" hidden="1" thickBot="1" x14ac:dyDescent="0.35">
      <c r="B12" s="32" t="s">
        <v>591</v>
      </c>
      <c r="C12" s="151">
        <f>C11/C10</f>
        <v>10.211083604146065</v>
      </c>
      <c r="D12" s="151">
        <f t="shared" ref="D12:G12" si="6">D11/D10</f>
        <v>11.232191964560675</v>
      </c>
      <c r="E12" s="151">
        <f t="shared" si="6"/>
        <v>12.355411161016745</v>
      </c>
      <c r="F12" s="151">
        <f t="shared" si="6"/>
        <v>13.590952277118415</v>
      </c>
      <c r="G12" s="151">
        <f t="shared" si="6"/>
        <v>14.950047504830255</v>
      </c>
    </row>
    <row r="13" spans="2:8" ht="15.6" hidden="1" thickTop="1" thickBot="1" x14ac:dyDescent="0.35">
      <c r="B13" s="32" t="s">
        <v>592</v>
      </c>
      <c r="C13" s="145">
        <f>C12</f>
        <v>10.211083604146065</v>
      </c>
      <c r="D13" s="145">
        <f t="shared" ref="D13:G13" si="7">D12</f>
        <v>11.232191964560675</v>
      </c>
      <c r="E13" s="145">
        <f t="shared" si="7"/>
        <v>12.355411161016745</v>
      </c>
      <c r="F13" s="145">
        <f t="shared" si="7"/>
        <v>13.590952277118415</v>
      </c>
      <c r="G13" s="145">
        <f t="shared" si="7"/>
        <v>14.950047504830255</v>
      </c>
    </row>
    <row r="14" spans="2:8" ht="15" thickTop="1" x14ac:dyDescent="0.3"/>
    <row r="16" spans="2:8" x14ac:dyDescent="0.3">
      <c r="B16" s="8" t="s">
        <v>589</v>
      </c>
      <c r="C16" s="146">
        <f>IS!D8/IS!D6</f>
        <v>0.74992819034124014</v>
      </c>
      <c r="D16" s="146">
        <f>IS!E8/IS!E6</f>
        <v>0.74992819034124014</v>
      </c>
      <c r="E16" s="146">
        <f>IS!F8/IS!F6</f>
        <v>0.74992819034124014</v>
      </c>
      <c r="F16" s="146">
        <f>IS!G8/IS!G6</f>
        <v>0.74992819034124003</v>
      </c>
      <c r="G16" s="146">
        <f>IS!H8/IS!H6</f>
        <v>0.74992819034124003</v>
      </c>
    </row>
    <row r="17" spans="2:7" x14ac:dyDescent="0.3">
      <c r="B17" s="8" t="s">
        <v>590</v>
      </c>
      <c r="C17" s="146">
        <f>IS!D28/IS!D6</f>
        <v>0.39562384064899758</v>
      </c>
      <c r="D17" s="146">
        <f>IS!E28/IS!E6</f>
        <v>0.47390709561466293</v>
      </c>
      <c r="E17" s="146">
        <f>IS!F28/IS!F6</f>
        <v>0.47859730799446948</v>
      </c>
      <c r="F17" s="146">
        <f>IS!G28/IS!G6</f>
        <v>0.48304273458438673</v>
      </c>
      <c r="G17" s="146">
        <f>IS!H28/IS!H6</f>
        <v>0.48723947739655699</v>
      </c>
    </row>
    <row r="18" spans="2:7" x14ac:dyDescent="0.3">
      <c r="B18" s="8" t="s">
        <v>587</v>
      </c>
      <c r="C18" s="146">
        <f>IS!D28/FS!D22</f>
        <v>0.48023540899484102</v>
      </c>
      <c r="D18" s="146">
        <f>IS!E28/FS!E22</f>
        <v>0.37214272822631611</v>
      </c>
      <c r="E18" s="146">
        <f>IS!F28/FS!F22</f>
        <v>0.28752320733726805</v>
      </c>
      <c r="F18" s="146">
        <f>IS!G28/FS!G22</f>
        <v>0.23861260958286695</v>
      </c>
      <c r="G18" s="146">
        <f>IS!H28/FS!H22</f>
        <v>0.20684659117315193</v>
      </c>
    </row>
    <row r="19" spans="2:7" x14ac:dyDescent="0.3">
      <c r="B19" s="8" t="s">
        <v>588</v>
      </c>
      <c r="C19" s="146">
        <f>IS!D28/(FS!D44+FS!D45)</f>
        <v>0.80157738489193231</v>
      </c>
      <c r="D19" s="146">
        <f>IS!E28/(FS!E44+FS!E45)</f>
        <v>0.51366755867562053</v>
      </c>
      <c r="E19" s="146">
        <f>IS!F28/(FS!F44+FS!F45)</f>
        <v>0.36331135312190777</v>
      </c>
      <c r="F19" s="146">
        <f>IS!G28/(FS!G44+FS!G45)</f>
        <v>0.28742169826060593</v>
      </c>
      <c r="G19" s="146">
        <f>IS!H28/(FS!H44+FS!H45)</f>
        <v>0.24179857919282591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CA3-575B-4129-9DEA-D2B1BF1ADE57}">
  <sheetPr>
    <tabColor theme="7" tint="-0.499984740745262"/>
  </sheetPr>
  <dimension ref="B1:H25"/>
  <sheetViews>
    <sheetView workbookViewId="0">
      <selection activeCell="D21" sqref="D21"/>
    </sheetView>
  </sheetViews>
  <sheetFormatPr defaultRowHeight="14.4" x14ac:dyDescent="0.3"/>
  <cols>
    <col min="2" max="2" width="30.88671875" customWidth="1"/>
    <col min="3" max="3" width="21.6640625" customWidth="1"/>
    <col min="4" max="8" width="18.6640625" customWidth="1"/>
  </cols>
  <sheetData>
    <row r="1" spans="2:8" x14ac:dyDescent="0.3">
      <c r="B1" s="8" t="s">
        <v>294</v>
      </c>
    </row>
    <row r="2" spans="2:8" x14ac:dyDescent="0.3">
      <c r="B2" s="8" t="s">
        <v>252</v>
      </c>
    </row>
    <row r="4" spans="2:8" x14ac:dyDescent="0.3">
      <c r="B4" s="81" t="s">
        <v>386</v>
      </c>
      <c r="C4" s="81" t="s">
        <v>387</v>
      </c>
      <c r="D4" s="81" t="s">
        <v>597</v>
      </c>
    </row>
    <row r="5" spans="2:8" x14ac:dyDescent="0.3">
      <c r="B5" s="46" t="s">
        <v>253</v>
      </c>
      <c r="C5" s="14">
        <v>1000000</v>
      </c>
      <c r="D5" s="154">
        <f>C5/$C$10</f>
        <v>0.2</v>
      </c>
    </row>
    <row r="6" spans="2:8" x14ac:dyDescent="0.3">
      <c r="B6" s="46" t="s">
        <v>254</v>
      </c>
      <c r="C6" s="14">
        <v>1000000</v>
      </c>
      <c r="D6" s="154">
        <f t="shared" ref="D6:D9" si="0">C6/$C$10</f>
        <v>0.2</v>
      </c>
    </row>
    <row r="7" spans="2:8" x14ac:dyDescent="0.3">
      <c r="B7" s="46" t="s">
        <v>255</v>
      </c>
      <c r="C7" s="14">
        <v>1000000</v>
      </c>
      <c r="D7" s="154">
        <f t="shared" si="0"/>
        <v>0.2</v>
      </c>
    </row>
    <row r="8" spans="2:8" x14ac:dyDescent="0.3">
      <c r="B8" s="46" t="s">
        <v>256</v>
      </c>
      <c r="C8" s="14">
        <v>1000000</v>
      </c>
      <c r="D8" s="154">
        <f t="shared" si="0"/>
        <v>0.2</v>
      </c>
    </row>
    <row r="9" spans="2:8" x14ac:dyDescent="0.3">
      <c r="B9" s="80" t="s">
        <v>257</v>
      </c>
      <c r="C9" s="14">
        <v>1000000</v>
      </c>
      <c r="D9" s="154">
        <f t="shared" si="0"/>
        <v>0.2</v>
      </c>
    </row>
    <row r="10" spans="2:8" ht="15" thickBot="1" x14ac:dyDescent="0.35">
      <c r="B10" s="79" t="s">
        <v>5</v>
      </c>
      <c r="C10" s="112">
        <f>SUM(C5:C9)</f>
        <v>5000000</v>
      </c>
      <c r="D10" s="126">
        <f>SUM(D5:D9)</f>
        <v>1</v>
      </c>
    </row>
    <row r="11" spans="2:8" ht="15" thickTop="1" x14ac:dyDescent="0.3"/>
    <row r="15" spans="2:8" x14ac:dyDescent="0.3">
      <c r="B15" s="8" t="s">
        <v>561</v>
      </c>
    </row>
    <row r="16" spans="2:8" x14ac:dyDescent="0.3">
      <c r="B16" s="81" t="s">
        <v>1</v>
      </c>
      <c r="C16" s="81" t="s">
        <v>2</v>
      </c>
      <c r="D16" s="81">
        <v>2024</v>
      </c>
      <c r="E16" s="81">
        <v>2025</v>
      </c>
      <c r="F16" s="81">
        <v>2026</v>
      </c>
      <c r="G16" s="81">
        <v>2027</v>
      </c>
      <c r="H16" s="81">
        <v>2028</v>
      </c>
    </row>
    <row r="17" spans="2:8" x14ac:dyDescent="0.3">
      <c r="B17" t="s">
        <v>611</v>
      </c>
      <c r="C17" s="30">
        <f>C10-'Project Cost'!C4</f>
        <v>3754000</v>
      </c>
      <c r="D17" s="30">
        <f>$C$17</f>
        <v>3754000</v>
      </c>
      <c r="E17" s="30">
        <f t="shared" ref="E17:H17" si="1">$C$17</f>
        <v>3754000</v>
      </c>
      <c r="F17" s="30">
        <f t="shared" si="1"/>
        <v>3754000</v>
      </c>
      <c r="G17" s="30">
        <f t="shared" si="1"/>
        <v>3754000</v>
      </c>
      <c r="H17" s="30">
        <f t="shared" si="1"/>
        <v>3754000</v>
      </c>
    </row>
    <row r="18" spans="2:8" x14ac:dyDescent="0.3">
      <c r="B18" t="s">
        <v>609</v>
      </c>
      <c r="C18" s="30">
        <f>'Project Cost'!$C$4</f>
        <v>1246000</v>
      </c>
      <c r="D18" s="30">
        <f>'Project Cost'!$C$4</f>
        <v>1246000</v>
      </c>
      <c r="E18" s="30">
        <f>'Project Cost'!$C$4</f>
        <v>1246000</v>
      </c>
      <c r="F18" s="30">
        <f>'Project Cost'!$C$4</f>
        <v>1246000</v>
      </c>
      <c r="G18" s="30">
        <f>'Project Cost'!$C$4</f>
        <v>1246000</v>
      </c>
      <c r="H18" s="30">
        <f>'Project Cost'!$C$4</f>
        <v>1246000</v>
      </c>
    </row>
    <row r="19" spans="2:8" ht="13.8" customHeight="1" x14ac:dyDescent="0.3">
      <c r="B19" t="s">
        <v>605</v>
      </c>
      <c r="D19" s="38">
        <f>SCPE!H7</f>
        <v>14139118.394310961</v>
      </c>
      <c r="E19" s="14">
        <f>SCPE!H16</f>
        <v>18630554.149589565</v>
      </c>
      <c r="F19" s="14">
        <f>SCPE!H25</f>
        <v>20696432.822896026</v>
      </c>
      <c r="G19" s="14">
        <f>SCPE!H34</f>
        <v>22977537.637408119</v>
      </c>
      <c r="H19" s="14">
        <f>SCPE!H43</f>
        <v>25494886.666575179</v>
      </c>
    </row>
    <row r="20" spans="2:8" x14ac:dyDescent="0.3">
      <c r="B20" s="181" t="s">
        <v>4</v>
      </c>
      <c r="C20" s="181"/>
      <c r="D20" s="38">
        <f>FS!D45</f>
        <v>6059622.1689904118</v>
      </c>
      <c r="E20" s="38">
        <f>FS!E45</f>
        <v>7984523.2069669571</v>
      </c>
      <c r="F20" s="38">
        <f>FS!F45</f>
        <v>8869899.7812411543</v>
      </c>
      <c r="G20" s="38">
        <f>FS!G45</f>
        <v>9847516.1303177644</v>
      </c>
      <c r="H20" s="38">
        <f>FS!H45</f>
        <v>10926379.999960791</v>
      </c>
    </row>
    <row r="21" spans="2:8" x14ac:dyDescent="0.3">
      <c r="B21" s="9" t="s">
        <v>610</v>
      </c>
      <c r="C21" s="9"/>
      <c r="D21" s="15">
        <f>D19*0.2</f>
        <v>2827823.6788621922</v>
      </c>
      <c r="E21" s="15">
        <f t="shared" ref="E21:H21" si="2">E19*0.2</f>
        <v>3726110.8299179133</v>
      </c>
      <c r="F21" s="15">
        <f t="shared" si="2"/>
        <v>4139286.5645792056</v>
      </c>
      <c r="G21" s="15">
        <f t="shared" si="2"/>
        <v>4595507.5274816239</v>
      </c>
      <c r="H21" s="15">
        <f t="shared" si="2"/>
        <v>5098977.3333150363</v>
      </c>
    </row>
    <row r="22" spans="2:8" ht="15" thickBot="1" x14ac:dyDescent="0.35">
      <c r="B22" s="8" t="s">
        <v>5</v>
      </c>
      <c r="C22" s="113">
        <f>SUM(C17:C20)</f>
        <v>5000000</v>
      </c>
      <c r="D22" s="113">
        <f>SUM(D17:D20)-D21</f>
        <v>22370916.884439178</v>
      </c>
      <c r="E22" s="113">
        <f t="shared" ref="E22:H22" si="3">SUM(E17:E20)-E21</f>
        <v>27888966.526638605</v>
      </c>
      <c r="F22" s="113">
        <f t="shared" si="3"/>
        <v>30427046.039557979</v>
      </c>
      <c r="G22" s="113">
        <f t="shared" si="3"/>
        <v>33229546.240244262</v>
      </c>
      <c r="H22" s="113">
        <f t="shared" si="3"/>
        <v>36322289.333220936</v>
      </c>
    </row>
    <row r="23" spans="2:8" ht="15" thickTop="1" x14ac:dyDescent="0.3"/>
    <row r="24" spans="2:8" x14ac:dyDescent="0.3">
      <c r="D24" s="30"/>
    </row>
    <row r="25" spans="2:8" x14ac:dyDescent="0.3">
      <c r="D2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1853-2965-45BA-AE6B-00A23644148D}">
  <sheetPr>
    <tabColor theme="8" tint="-0.499984740745262"/>
  </sheetPr>
  <dimension ref="B1:M118"/>
  <sheetViews>
    <sheetView tabSelected="1" workbookViewId="0">
      <selection activeCell="M54" sqref="M54"/>
    </sheetView>
  </sheetViews>
  <sheetFormatPr defaultRowHeight="14.4" x14ac:dyDescent="0.3"/>
  <cols>
    <col min="1" max="1" width="2.33203125" customWidth="1"/>
    <col min="2" max="2" width="28.109375" customWidth="1"/>
    <col min="3" max="3" width="12.5546875" style="1" customWidth="1"/>
    <col min="4" max="4" width="9.5546875" style="19" customWidth="1"/>
    <col min="5" max="5" width="12.88671875" style="19" customWidth="1"/>
    <col min="6" max="6" width="12" style="19" customWidth="1"/>
    <col min="7" max="7" width="10.21875" style="19" customWidth="1"/>
    <col min="8" max="9" width="10.77734375" style="19" customWidth="1"/>
    <col min="10" max="10" width="9.44140625" style="19" customWidth="1"/>
    <col min="11" max="11" width="12.77734375" customWidth="1"/>
    <col min="12" max="12" width="8.88671875" customWidth="1"/>
    <col min="13" max="13" width="13.109375" customWidth="1"/>
    <col min="14" max="14" width="4.21875" customWidth="1"/>
  </cols>
  <sheetData>
    <row r="1" spans="2:13" x14ac:dyDescent="0.3">
      <c r="B1" s="8" t="s">
        <v>6</v>
      </c>
    </row>
    <row r="2" spans="2:13" x14ac:dyDescent="0.3">
      <c r="B2" s="8" t="s">
        <v>431</v>
      </c>
      <c r="F2" s="29"/>
      <c r="G2" s="173" t="s">
        <v>89</v>
      </c>
      <c r="H2" s="174"/>
      <c r="I2" s="174"/>
      <c r="J2" s="175"/>
    </row>
    <row r="3" spans="2:13" ht="28.8" x14ac:dyDescent="0.3">
      <c r="B3" s="84" t="s">
        <v>7</v>
      </c>
      <c r="C3" s="84" t="s">
        <v>8</v>
      </c>
      <c r="D3" s="95" t="s">
        <v>9</v>
      </c>
      <c r="E3" s="95" t="s">
        <v>5</v>
      </c>
      <c r="F3" s="95" t="s">
        <v>10</v>
      </c>
      <c r="G3" s="95" t="s">
        <v>11</v>
      </c>
      <c r="H3" s="95" t="s">
        <v>90</v>
      </c>
      <c r="I3" s="95" t="s">
        <v>258</v>
      </c>
      <c r="J3" s="95" t="s">
        <v>259</v>
      </c>
      <c r="K3" s="95" t="s">
        <v>91</v>
      </c>
      <c r="M3" s="186" t="s">
        <v>600</v>
      </c>
    </row>
    <row r="4" spans="2:13" x14ac:dyDescent="0.3">
      <c r="B4" t="s">
        <v>16</v>
      </c>
      <c r="C4" s="1">
        <v>1</v>
      </c>
      <c r="D4" s="157">
        <v>40000</v>
      </c>
      <c r="E4" s="99">
        <f>C4*D4</f>
        <v>40000</v>
      </c>
      <c r="F4" s="100">
        <f>E4*12</f>
        <v>480000</v>
      </c>
      <c r="G4" s="98">
        <f t="shared" ref="G4:G9" si="0">((D4/12)*C4)*12</f>
        <v>40000</v>
      </c>
      <c r="H4" s="38">
        <f>(20000*0.095)*C4</f>
        <v>1900</v>
      </c>
      <c r="I4" s="99">
        <f>(D4*0.0225)*C4</f>
        <v>900</v>
      </c>
      <c r="J4" s="100">
        <v>100</v>
      </c>
      <c r="K4" s="155">
        <f>((H4*12)+(I4*12)+(J4*12))*C4+(G4)</f>
        <v>74800</v>
      </c>
      <c r="M4" s="182">
        <f>(20000*0.045)*C22</f>
        <v>900</v>
      </c>
    </row>
    <row r="5" spans="2:13" x14ac:dyDescent="0.3">
      <c r="B5" t="s">
        <v>55</v>
      </c>
      <c r="C5" s="1">
        <v>1</v>
      </c>
      <c r="D5" s="158">
        <v>25000</v>
      </c>
      <c r="E5" s="38">
        <f t="shared" ref="E5:E14" si="1">C5*D5</f>
        <v>25000</v>
      </c>
      <c r="F5" s="102">
        <f t="shared" ref="F5:F14" si="2">E5*12</f>
        <v>300000</v>
      </c>
      <c r="G5" s="101">
        <f t="shared" si="0"/>
        <v>25000</v>
      </c>
      <c r="H5" s="38">
        <f>(20000*0.095)*C5</f>
        <v>1900</v>
      </c>
      <c r="I5" s="38">
        <f>(D5*0.0225)*C5</f>
        <v>562.5</v>
      </c>
      <c r="J5" s="102">
        <v>100</v>
      </c>
      <c r="K5" s="156">
        <f t="shared" ref="K5:K14" si="3">((H5*12)+(I5*12)+(J5*12))*C5+(G5)</f>
        <v>55750</v>
      </c>
      <c r="M5" s="182">
        <f>(20000*0.045)*C23</f>
        <v>900</v>
      </c>
    </row>
    <row r="6" spans="2:13" x14ac:dyDescent="0.3">
      <c r="B6" t="s">
        <v>56</v>
      </c>
      <c r="C6" s="1">
        <v>2</v>
      </c>
      <c r="D6" s="159">
        <v>15000</v>
      </c>
      <c r="E6" s="38">
        <f t="shared" si="1"/>
        <v>30000</v>
      </c>
      <c r="F6" s="102">
        <f t="shared" si="2"/>
        <v>360000</v>
      </c>
      <c r="G6" s="101">
        <f t="shared" si="0"/>
        <v>30000</v>
      </c>
      <c r="H6" s="38">
        <f t="shared" ref="H6:H14" si="4">(D6*0.095)*C6</f>
        <v>2850</v>
      </c>
      <c r="I6" s="38">
        <f t="shared" ref="I6:I14" si="5">(D6*0.0225)*C6</f>
        <v>675</v>
      </c>
      <c r="J6" s="102">
        <v>100</v>
      </c>
      <c r="K6" s="156">
        <f t="shared" si="3"/>
        <v>117000</v>
      </c>
      <c r="M6" s="183">
        <f>(D6*0.045)*C24</f>
        <v>1350</v>
      </c>
    </row>
    <row r="7" spans="2:13" x14ac:dyDescent="0.3">
      <c r="B7" t="s">
        <v>57</v>
      </c>
      <c r="C7" s="1">
        <v>4</v>
      </c>
      <c r="D7" s="159">
        <v>12000</v>
      </c>
      <c r="E7" s="38">
        <f t="shared" si="1"/>
        <v>48000</v>
      </c>
      <c r="F7" s="102">
        <f t="shared" si="2"/>
        <v>576000</v>
      </c>
      <c r="G7" s="101">
        <f t="shared" si="0"/>
        <v>48000</v>
      </c>
      <c r="H7" s="38">
        <f t="shared" si="4"/>
        <v>4560</v>
      </c>
      <c r="I7" s="38">
        <f t="shared" si="5"/>
        <v>1080</v>
      </c>
      <c r="J7" s="102">
        <v>100</v>
      </c>
      <c r="K7" s="156">
        <f t="shared" si="3"/>
        <v>323520</v>
      </c>
      <c r="M7" s="183">
        <f t="shared" ref="M7:M14" si="6">(D7*0.045)*C25</f>
        <v>2160</v>
      </c>
    </row>
    <row r="8" spans="2:13" x14ac:dyDescent="0.3">
      <c r="B8" t="s">
        <v>58</v>
      </c>
      <c r="C8" s="1">
        <v>1</v>
      </c>
      <c r="D8" s="159">
        <v>15000</v>
      </c>
      <c r="E8" s="38">
        <f t="shared" si="1"/>
        <v>15000</v>
      </c>
      <c r="F8" s="102">
        <f t="shared" si="2"/>
        <v>180000</v>
      </c>
      <c r="G8" s="101">
        <f t="shared" si="0"/>
        <v>15000</v>
      </c>
      <c r="H8" s="38">
        <f t="shared" si="4"/>
        <v>1425</v>
      </c>
      <c r="I8" s="38">
        <f t="shared" si="5"/>
        <v>337.5</v>
      </c>
      <c r="J8" s="102">
        <v>100</v>
      </c>
      <c r="K8" s="156">
        <f t="shared" si="3"/>
        <v>37350</v>
      </c>
      <c r="M8" s="183">
        <f t="shared" si="6"/>
        <v>675</v>
      </c>
    </row>
    <row r="9" spans="2:13" x14ac:dyDescent="0.3">
      <c r="B9" t="s">
        <v>59</v>
      </c>
      <c r="C9" s="1">
        <v>1</v>
      </c>
      <c r="D9" s="159">
        <v>30000</v>
      </c>
      <c r="E9" s="38">
        <f t="shared" si="1"/>
        <v>30000</v>
      </c>
      <c r="F9" s="102">
        <f t="shared" si="2"/>
        <v>360000</v>
      </c>
      <c r="G9" s="101">
        <f t="shared" si="0"/>
        <v>30000</v>
      </c>
      <c r="H9" s="38">
        <f>(20000*0.095)*C9</f>
        <v>1900</v>
      </c>
      <c r="I9" s="38">
        <f t="shared" si="5"/>
        <v>675</v>
      </c>
      <c r="J9" s="102">
        <v>100</v>
      </c>
      <c r="K9" s="156">
        <f t="shared" si="3"/>
        <v>62100</v>
      </c>
      <c r="M9" s="183">
        <f>(20000*0.045)*C27</f>
        <v>900</v>
      </c>
    </row>
    <row r="10" spans="2:13" x14ac:dyDescent="0.3">
      <c r="B10" t="s">
        <v>60</v>
      </c>
      <c r="C10" s="1">
        <v>2</v>
      </c>
      <c r="D10" s="159">
        <v>18000</v>
      </c>
      <c r="E10" s="38">
        <f t="shared" si="1"/>
        <v>36000</v>
      </c>
      <c r="F10" s="102">
        <f t="shared" si="2"/>
        <v>432000</v>
      </c>
      <c r="G10" s="101">
        <f t="shared" ref="G10:G14" si="7">((D10/12)*C10)*12</f>
        <v>36000</v>
      </c>
      <c r="H10" s="38">
        <f t="shared" si="4"/>
        <v>3420</v>
      </c>
      <c r="I10" s="38">
        <f t="shared" si="5"/>
        <v>810</v>
      </c>
      <c r="J10" s="102">
        <v>100</v>
      </c>
      <c r="K10" s="156">
        <f t="shared" si="3"/>
        <v>139920</v>
      </c>
      <c r="M10" s="183">
        <f t="shared" si="6"/>
        <v>1620</v>
      </c>
    </row>
    <row r="11" spans="2:13" x14ac:dyDescent="0.3">
      <c r="B11" t="s">
        <v>61</v>
      </c>
      <c r="C11" s="1">
        <v>4</v>
      </c>
      <c r="D11" s="159">
        <v>10000</v>
      </c>
      <c r="E11" s="38">
        <f t="shared" si="1"/>
        <v>40000</v>
      </c>
      <c r="F11" s="102">
        <f t="shared" si="2"/>
        <v>480000</v>
      </c>
      <c r="G11" s="101">
        <f t="shared" si="7"/>
        <v>40000</v>
      </c>
      <c r="H11" s="38">
        <f t="shared" si="4"/>
        <v>3800</v>
      </c>
      <c r="I11" s="38">
        <f t="shared" si="5"/>
        <v>900</v>
      </c>
      <c r="J11" s="102">
        <v>100</v>
      </c>
      <c r="K11" s="156">
        <f t="shared" si="3"/>
        <v>270400</v>
      </c>
      <c r="M11" s="183">
        <f t="shared" si="6"/>
        <v>1800</v>
      </c>
    </row>
    <row r="12" spans="2:13" x14ac:dyDescent="0.3">
      <c r="B12" t="s">
        <v>62</v>
      </c>
      <c r="C12" s="1">
        <v>2</v>
      </c>
      <c r="D12" s="159">
        <v>15000</v>
      </c>
      <c r="E12" s="38">
        <f t="shared" si="1"/>
        <v>30000</v>
      </c>
      <c r="F12" s="102">
        <f t="shared" si="2"/>
        <v>360000</v>
      </c>
      <c r="G12" s="101">
        <f t="shared" si="7"/>
        <v>30000</v>
      </c>
      <c r="H12" s="38">
        <f t="shared" si="4"/>
        <v>2850</v>
      </c>
      <c r="I12" s="38">
        <f t="shared" si="5"/>
        <v>675</v>
      </c>
      <c r="J12" s="102">
        <v>100</v>
      </c>
      <c r="K12" s="156">
        <f t="shared" si="3"/>
        <v>117000</v>
      </c>
      <c r="M12" s="183">
        <f t="shared" si="6"/>
        <v>1350</v>
      </c>
    </row>
    <row r="13" spans="2:13" x14ac:dyDescent="0.3">
      <c r="B13" t="s">
        <v>63</v>
      </c>
      <c r="C13" s="1">
        <v>2</v>
      </c>
      <c r="D13" s="159">
        <v>12000</v>
      </c>
      <c r="E13" s="38">
        <f t="shared" si="1"/>
        <v>24000</v>
      </c>
      <c r="F13" s="102">
        <f t="shared" si="2"/>
        <v>288000</v>
      </c>
      <c r="G13" s="101">
        <f t="shared" si="7"/>
        <v>24000</v>
      </c>
      <c r="H13" s="38">
        <f t="shared" si="4"/>
        <v>2280</v>
      </c>
      <c r="I13" s="38">
        <f t="shared" si="5"/>
        <v>540</v>
      </c>
      <c r="J13" s="102">
        <v>100</v>
      </c>
      <c r="K13" s="156">
        <f t="shared" si="3"/>
        <v>94080</v>
      </c>
      <c r="M13" s="183">
        <f t="shared" si="6"/>
        <v>1080</v>
      </c>
    </row>
    <row r="14" spans="2:13" x14ac:dyDescent="0.3">
      <c r="B14" t="s">
        <v>64</v>
      </c>
      <c r="C14" s="1">
        <v>1</v>
      </c>
      <c r="D14" s="159">
        <v>20000</v>
      </c>
      <c r="E14" s="38">
        <f t="shared" si="1"/>
        <v>20000</v>
      </c>
      <c r="F14" s="102">
        <f t="shared" si="2"/>
        <v>240000</v>
      </c>
      <c r="G14" s="101">
        <f t="shared" si="7"/>
        <v>20000</v>
      </c>
      <c r="H14" s="38">
        <f t="shared" si="4"/>
        <v>1900</v>
      </c>
      <c r="I14" s="38">
        <f t="shared" si="5"/>
        <v>450</v>
      </c>
      <c r="J14" s="102">
        <v>100</v>
      </c>
      <c r="K14" s="156">
        <f t="shared" si="3"/>
        <v>49400</v>
      </c>
      <c r="M14" s="184">
        <f t="shared" si="6"/>
        <v>900</v>
      </c>
    </row>
    <row r="15" spans="2:13" ht="15" thickBot="1" x14ac:dyDescent="0.35">
      <c r="B15" s="170" t="s">
        <v>17</v>
      </c>
      <c r="C15" s="170"/>
      <c r="D15" s="170"/>
      <c r="E15" s="170"/>
      <c r="F15" s="97">
        <f>SUM(F4:F14)</f>
        <v>4056000</v>
      </c>
      <c r="G15" s="176" t="s">
        <v>18</v>
      </c>
      <c r="H15" s="176"/>
      <c r="I15" s="176"/>
      <c r="J15" s="176"/>
      <c r="K15" s="82">
        <f>(SUM(K4:K14))+F15</f>
        <v>5397320</v>
      </c>
      <c r="M15" s="187">
        <f>SUM(M4:M14)</f>
        <v>13635</v>
      </c>
    </row>
    <row r="16" spans="2:13" ht="15" thickTop="1" x14ac:dyDescent="0.3">
      <c r="K16" s="30"/>
    </row>
    <row r="17" spans="2:13" x14ac:dyDescent="0.3">
      <c r="K17" s="30"/>
    </row>
    <row r="18" spans="2:13" x14ac:dyDescent="0.3">
      <c r="K18" s="30"/>
    </row>
    <row r="19" spans="2:13" x14ac:dyDescent="0.3">
      <c r="B19" s="177" t="s">
        <v>261</v>
      </c>
      <c r="C19" s="177"/>
      <c r="D19" s="177"/>
      <c r="E19" s="177"/>
      <c r="F19" s="177"/>
      <c r="G19" s="177"/>
    </row>
    <row r="20" spans="2:13" x14ac:dyDescent="0.3">
      <c r="B20" s="8" t="s">
        <v>260</v>
      </c>
      <c r="D20" s="172">
        <v>2024</v>
      </c>
      <c r="E20" s="172"/>
      <c r="F20" s="172">
        <v>2025</v>
      </c>
      <c r="G20" s="172"/>
      <c r="H20" s="172">
        <v>2026</v>
      </c>
      <c r="I20" s="172"/>
      <c r="J20" s="172">
        <v>2027</v>
      </c>
      <c r="K20" s="172"/>
      <c r="L20" s="172">
        <v>2028</v>
      </c>
      <c r="M20" s="172"/>
    </row>
    <row r="21" spans="2:13" ht="28.8" x14ac:dyDescent="0.3">
      <c r="B21" s="84" t="s">
        <v>7</v>
      </c>
      <c r="C21" s="84" t="s">
        <v>8</v>
      </c>
      <c r="D21" s="95" t="s">
        <v>9</v>
      </c>
      <c r="E21" s="95" t="s">
        <v>10</v>
      </c>
      <c r="F21" s="95" t="s">
        <v>9</v>
      </c>
      <c r="G21" s="95" t="s">
        <v>10</v>
      </c>
      <c r="H21" s="95" t="s">
        <v>9</v>
      </c>
      <c r="I21" s="95" t="s">
        <v>10</v>
      </c>
      <c r="J21" s="95" t="s">
        <v>9</v>
      </c>
      <c r="K21" s="95" t="s">
        <v>10</v>
      </c>
      <c r="L21" s="95" t="s">
        <v>9</v>
      </c>
      <c r="M21" s="95" t="s">
        <v>10</v>
      </c>
    </row>
    <row r="22" spans="2:13" x14ac:dyDescent="0.3">
      <c r="B22" t="s">
        <v>16</v>
      </c>
      <c r="C22" s="1">
        <v>1</v>
      </c>
      <c r="D22" s="107">
        <v>40000</v>
      </c>
      <c r="E22" s="100">
        <f>D22*12</f>
        <v>480000</v>
      </c>
      <c r="F22" s="107">
        <f>D22*1.05</f>
        <v>42000</v>
      </c>
      <c r="G22" s="100">
        <f>F22*12</f>
        <v>504000</v>
      </c>
      <c r="H22" s="107">
        <f>F22*1.05</f>
        <v>44100</v>
      </c>
      <c r="I22" s="100">
        <f t="shared" ref="I22:I32" si="8">H22*12</f>
        <v>529200</v>
      </c>
      <c r="J22" s="107">
        <f>H22*1.05</f>
        <v>46305</v>
      </c>
      <c r="K22" s="100">
        <f t="shared" ref="K22:K32" si="9">J22*12</f>
        <v>555660</v>
      </c>
      <c r="L22" s="107">
        <f>J22*1.05</f>
        <v>48620.25</v>
      </c>
      <c r="M22" s="100">
        <f t="shared" ref="M22:M32" si="10">L22*12</f>
        <v>583443</v>
      </c>
    </row>
    <row r="23" spans="2:13" x14ac:dyDescent="0.3">
      <c r="B23" t="s">
        <v>55</v>
      </c>
      <c r="C23" s="1">
        <v>1</v>
      </c>
      <c r="D23" s="105">
        <v>25000</v>
      </c>
      <c r="E23" s="102">
        <f t="shared" ref="E23:G32" si="11">D23*12</f>
        <v>300000</v>
      </c>
      <c r="F23" s="105">
        <f t="shared" ref="F23:F32" si="12">D23*1.05</f>
        <v>26250</v>
      </c>
      <c r="G23" s="102">
        <f t="shared" si="11"/>
        <v>315000</v>
      </c>
      <c r="H23" s="105">
        <f t="shared" ref="H23:H32" si="13">F23*1.05</f>
        <v>27562.5</v>
      </c>
      <c r="I23" s="102">
        <f t="shared" si="8"/>
        <v>330750</v>
      </c>
      <c r="J23" s="105">
        <f t="shared" ref="J23:J32" si="14">H23*1.05</f>
        <v>28940.625</v>
      </c>
      <c r="K23" s="102">
        <f t="shared" si="9"/>
        <v>347287.5</v>
      </c>
      <c r="L23" s="105">
        <f t="shared" ref="L23:L32" si="15">J23*1.05</f>
        <v>30387.65625</v>
      </c>
      <c r="M23" s="102">
        <f t="shared" si="10"/>
        <v>364651.875</v>
      </c>
    </row>
    <row r="24" spans="2:13" x14ac:dyDescent="0.3">
      <c r="B24" t="s">
        <v>56</v>
      </c>
      <c r="C24" s="1">
        <v>2</v>
      </c>
      <c r="D24" s="105">
        <v>30000</v>
      </c>
      <c r="E24" s="102">
        <f t="shared" si="11"/>
        <v>360000</v>
      </c>
      <c r="F24" s="105">
        <f t="shared" si="12"/>
        <v>31500</v>
      </c>
      <c r="G24" s="102">
        <f t="shared" si="11"/>
        <v>378000</v>
      </c>
      <c r="H24" s="105">
        <f t="shared" si="13"/>
        <v>33075</v>
      </c>
      <c r="I24" s="102">
        <f t="shared" si="8"/>
        <v>396900</v>
      </c>
      <c r="J24" s="105">
        <f t="shared" si="14"/>
        <v>34728.75</v>
      </c>
      <c r="K24" s="102">
        <f t="shared" si="9"/>
        <v>416745</v>
      </c>
      <c r="L24" s="105">
        <f t="shared" si="15"/>
        <v>36465.1875</v>
      </c>
      <c r="M24" s="102">
        <f t="shared" si="10"/>
        <v>437582.25</v>
      </c>
    </row>
    <row r="25" spans="2:13" x14ac:dyDescent="0.3">
      <c r="B25" t="s">
        <v>57</v>
      </c>
      <c r="C25" s="1">
        <v>4</v>
      </c>
      <c r="D25" s="105">
        <v>48000</v>
      </c>
      <c r="E25" s="102">
        <f t="shared" si="11"/>
        <v>576000</v>
      </c>
      <c r="F25" s="105">
        <f t="shared" si="12"/>
        <v>50400</v>
      </c>
      <c r="G25" s="102">
        <f t="shared" si="11"/>
        <v>604800</v>
      </c>
      <c r="H25" s="105">
        <f t="shared" si="13"/>
        <v>52920</v>
      </c>
      <c r="I25" s="102">
        <f t="shared" si="8"/>
        <v>635040</v>
      </c>
      <c r="J25" s="105">
        <f t="shared" si="14"/>
        <v>55566</v>
      </c>
      <c r="K25" s="102">
        <f t="shared" si="9"/>
        <v>666792</v>
      </c>
      <c r="L25" s="105">
        <f t="shared" si="15"/>
        <v>58344.3</v>
      </c>
      <c r="M25" s="102">
        <f t="shared" si="10"/>
        <v>700131.60000000009</v>
      </c>
    </row>
    <row r="26" spans="2:13" x14ac:dyDescent="0.3">
      <c r="B26" t="s">
        <v>58</v>
      </c>
      <c r="C26" s="1">
        <v>1</v>
      </c>
      <c r="D26" s="105">
        <v>15000</v>
      </c>
      <c r="E26" s="102">
        <f t="shared" si="11"/>
        <v>180000</v>
      </c>
      <c r="F26" s="105">
        <f t="shared" si="12"/>
        <v>15750</v>
      </c>
      <c r="G26" s="102">
        <f t="shared" si="11"/>
        <v>189000</v>
      </c>
      <c r="H26" s="105">
        <f t="shared" si="13"/>
        <v>16537.5</v>
      </c>
      <c r="I26" s="102">
        <f t="shared" si="8"/>
        <v>198450</v>
      </c>
      <c r="J26" s="105">
        <f t="shared" si="14"/>
        <v>17364.375</v>
      </c>
      <c r="K26" s="102">
        <f t="shared" si="9"/>
        <v>208372.5</v>
      </c>
      <c r="L26" s="105">
        <f t="shared" si="15"/>
        <v>18232.59375</v>
      </c>
      <c r="M26" s="102">
        <f t="shared" si="10"/>
        <v>218791.125</v>
      </c>
    </row>
    <row r="27" spans="2:13" x14ac:dyDescent="0.3">
      <c r="B27" t="s">
        <v>59</v>
      </c>
      <c r="C27" s="1">
        <v>1</v>
      </c>
      <c r="D27" s="105">
        <v>30000</v>
      </c>
      <c r="E27" s="102">
        <f t="shared" si="11"/>
        <v>360000</v>
      </c>
      <c r="F27" s="105">
        <f t="shared" si="12"/>
        <v>31500</v>
      </c>
      <c r="G27" s="102">
        <f t="shared" si="11"/>
        <v>378000</v>
      </c>
      <c r="H27" s="105">
        <f t="shared" si="13"/>
        <v>33075</v>
      </c>
      <c r="I27" s="102">
        <f t="shared" si="8"/>
        <v>396900</v>
      </c>
      <c r="J27" s="105">
        <f t="shared" si="14"/>
        <v>34728.75</v>
      </c>
      <c r="K27" s="102">
        <f t="shared" si="9"/>
        <v>416745</v>
      </c>
      <c r="L27" s="105">
        <f t="shared" si="15"/>
        <v>36465.1875</v>
      </c>
      <c r="M27" s="102">
        <f t="shared" si="10"/>
        <v>437582.25</v>
      </c>
    </row>
    <row r="28" spans="2:13" x14ac:dyDescent="0.3">
      <c r="B28" t="s">
        <v>60</v>
      </c>
      <c r="C28" s="1">
        <v>2</v>
      </c>
      <c r="D28" s="105">
        <v>36000</v>
      </c>
      <c r="E28" s="102">
        <f t="shared" si="11"/>
        <v>432000</v>
      </c>
      <c r="F28" s="105">
        <f t="shared" si="12"/>
        <v>37800</v>
      </c>
      <c r="G28" s="102">
        <f t="shared" si="11"/>
        <v>453600</v>
      </c>
      <c r="H28" s="105">
        <f t="shared" si="13"/>
        <v>39690</v>
      </c>
      <c r="I28" s="102">
        <f t="shared" si="8"/>
        <v>476280</v>
      </c>
      <c r="J28" s="105">
        <f t="shared" si="14"/>
        <v>41674.5</v>
      </c>
      <c r="K28" s="102">
        <f t="shared" si="9"/>
        <v>500094</v>
      </c>
      <c r="L28" s="105">
        <f t="shared" si="15"/>
        <v>43758.224999999999</v>
      </c>
      <c r="M28" s="102">
        <f t="shared" si="10"/>
        <v>525098.69999999995</v>
      </c>
    </row>
    <row r="29" spans="2:13" x14ac:dyDescent="0.3">
      <c r="B29" t="s">
        <v>61</v>
      </c>
      <c r="C29" s="1">
        <v>4</v>
      </c>
      <c r="D29" s="105">
        <v>40000</v>
      </c>
      <c r="E29" s="102">
        <f t="shared" si="11"/>
        <v>480000</v>
      </c>
      <c r="F29" s="105">
        <f>D29*1.05</f>
        <v>42000</v>
      </c>
      <c r="G29" s="102">
        <f t="shared" si="11"/>
        <v>504000</v>
      </c>
      <c r="H29" s="105">
        <f t="shared" si="13"/>
        <v>44100</v>
      </c>
      <c r="I29" s="102">
        <f t="shared" si="8"/>
        <v>529200</v>
      </c>
      <c r="J29" s="105">
        <f t="shared" si="14"/>
        <v>46305</v>
      </c>
      <c r="K29" s="102">
        <f t="shared" si="9"/>
        <v>555660</v>
      </c>
      <c r="L29" s="105">
        <f t="shared" si="15"/>
        <v>48620.25</v>
      </c>
      <c r="M29" s="102">
        <f t="shared" si="10"/>
        <v>583443</v>
      </c>
    </row>
    <row r="30" spans="2:13" x14ac:dyDescent="0.3">
      <c r="B30" t="s">
        <v>62</v>
      </c>
      <c r="C30" s="1">
        <v>2</v>
      </c>
      <c r="D30" s="105">
        <v>30000</v>
      </c>
      <c r="E30" s="102">
        <f t="shared" si="11"/>
        <v>360000</v>
      </c>
      <c r="F30" s="105">
        <f t="shared" si="12"/>
        <v>31500</v>
      </c>
      <c r="G30" s="102">
        <f t="shared" si="11"/>
        <v>378000</v>
      </c>
      <c r="H30" s="105">
        <f t="shared" si="13"/>
        <v>33075</v>
      </c>
      <c r="I30" s="102">
        <f t="shared" si="8"/>
        <v>396900</v>
      </c>
      <c r="J30" s="105">
        <f t="shared" si="14"/>
        <v>34728.75</v>
      </c>
      <c r="K30" s="102">
        <f t="shared" si="9"/>
        <v>416745</v>
      </c>
      <c r="L30" s="105">
        <f t="shared" si="15"/>
        <v>36465.1875</v>
      </c>
      <c r="M30" s="102">
        <f t="shared" si="10"/>
        <v>437582.25</v>
      </c>
    </row>
    <row r="31" spans="2:13" x14ac:dyDescent="0.3">
      <c r="B31" t="s">
        <v>63</v>
      </c>
      <c r="C31" s="1">
        <v>2</v>
      </c>
      <c r="D31" s="105">
        <v>24000</v>
      </c>
      <c r="E31" s="102">
        <f t="shared" si="11"/>
        <v>288000</v>
      </c>
      <c r="F31" s="105">
        <f t="shared" si="12"/>
        <v>25200</v>
      </c>
      <c r="G31" s="102">
        <f t="shared" si="11"/>
        <v>302400</v>
      </c>
      <c r="H31" s="105">
        <f t="shared" si="13"/>
        <v>26460</v>
      </c>
      <c r="I31" s="102">
        <f t="shared" si="8"/>
        <v>317520</v>
      </c>
      <c r="J31" s="105">
        <f t="shared" si="14"/>
        <v>27783</v>
      </c>
      <c r="K31" s="102">
        <f t="shared" si="9"/>
        <v>333396</v>
      </c>
      <c r="L31" s="105">
        <f t="shared" si="15"/>
        <v>29172.15</v>
      </c>
      <c r="M31" s="102">
        <f t="shared" si="10"/>
        <v>350065.80000000005</v>
      </c>
    </row>
    <row r="32" spans="2:13" x14ac:dyDescent="0.3">
      <c r="B32" t="s">
        <v>64</v>
      </c>
      <c r="C32" s="1">
        <v>1</v>
      </c>
      <c r="D32" s="105">
        <v>20000</v>
      </c>
      <c r="E32" s="104">
        <f t="shared" si="11"/>
        <v>240000</v>
      </c>
      <c r="F32" s="106">
        <f t="shared" si="12"/>
        <v>21000</v>
      </c>
      <c r="G32" s="104">
        <f t="shared" si="11"/>
        <v>252000</v>
      </c>
      <c r="H32" s="106">
        <f t="shared" si="13"/>
        <v>22050</v>
      </c>
      <c r="I32" s="104">
        <f t="shared" si="8"/>
        <v>264600</v>
      </c>
      <c r="J32" s="106">
        <f t="shared" si="14"/>
        <v>23152.5</v>
      </c>
      <c r="K32" s="104">
        <f t="shared" si="9"/>
        <v>277830</v>
      </c>
      <c r="L32" s="106">
        <f t="shared" si="15"/>
        <v>24310.125</v>
      </c>
      <c r="M32" s="104">
        <f t="shared" si="10"/>
        <v>291721.5</v>
      </c>
    </row>
    <row r="33" spans="2:13" ht="15" thickBot="1" x14ac:dyDescent="0.35">
      <c r="B33" s="170" t="s">
        <v>17</v>
      </c>
      <c r="C33" s="170"/>
      <c r="D33" s="170"/>
      <c r="E33" s="108">
        <f>SUM(E22:E32)</f>
        <v>4056000</v>
      </c>
      <c r="G33" s="108">
        <f>SUM(G22:G32)</f>
        <v>4258800</v>
      </c>
      <c r="I33" s="108">
        <f>SUM(I22:I32)</f>
        <v>4471740</v>
      </c>
      <c r="J33" s="31"/>
      <c r="K33" s="108">
        <f>SUM(K22:K32)</f>
        <v>4695327</v>
      </c>
      <c r="L33" s="31"/>
      <c r="M33" s="108">
        <f>SUM(M22:M32)</f>
        <v>4930093.3499999996</v>
      </c>
    </row>
    <row r="34" spans="2:13" ht="15" thickTop="1" x14ac:dyDescent="0.3"/>
    <row r="37" spans="2:13" x14ac:dyDescent="0.3">
      <c r="B37" s="8" t="s">
        <v>262</v>
      </c>
      <c r="D37" s="172">
        <v>2024</v>
      </c>
      <c r="E37" s="172"/>
      <c r="F37" s="172">
        <v>2025</v>
      </c>
      <c r="G37" s="172"/>
      <c r="H37" s="172">
        <v>2026</v>
      </c>
      <c r="I37" s="172"/>
      <c r="J37" s="172">
        <v>2027</v>
      </c>
      <c r="K37" s="172"/>
      <c r="L37" s="172">
        <v>2028</v>
      </c>
      <c r="M37" s="172"/>
    </row>
    <row r="38" spans="2:13" ht="28.8" x14ac:dyDescent="0.3">
      <c r="B38" s="84" t="s">
        <v>7</v>
      </c>
      <c r="C38" s="84" t="s">
        <v>8</v>
      </c>
      <c r="D38" s="95" t="s">
        <v>9</v>
      </c>
      <c r="E38" s="95" t="s">
        <v>10</v>
      </c>
      <c r="F38" s="95" t="s">
        <v>9</v>
      </c>
      <c r="G38" s="95" t="s">
        <v>10</v>
      </c>
      <c r="H38" s="95" t="s">
        <v>9</v>
      </c>
      <c r="I38" s="95" t="s">
        <v>10</v>
      </c>
      <c r="J38" s="95" t="s">
        <v>9</v>
      </c>
      <c r="K38" s="95" t="s">
        <v>10</v>
      </c>
      <c r="L38" s="95" t="s">
        <v>9</v>
      </c>
      <c r="M38" s="95" t="s">
        <v>10</v>
      </c>
    </row>
    <row r="39" spans="2:13" x14ac:dyDescent="0.3">
      <c r="B39" t="s">
        <v>16</v>
      </c>
      <c r="C39" s="1">
        <v>1</v>
      </c>
      <c r="D39" s="19">
        <f>(20000*0.095)</f>
        <v>1900</v>
      </c>
      <c r="E39" s="19">
        <f>D39*12</f>
        <v>22800</v>
      </c>
      <c r="F39" s="19">
        <f>(20000*0.095)</f>
        <v>1900</v>
      </c>
      <c r="G39" s="19">
        <f>F39*12</f>
        <v>22800</v>
      </c>
      <c r="H39" s="19">
        <f>(20000*0.095)</f>
        <v>1900</v>
      </c>
      <c r="I39" s="19">
        <f t="shared" ref="I39:I49" si="16">H39*12</f>
        <v>22800</v>
      </c>
      <c r="J39" s="19">
        <f>(20000*0.095)</f>
        <v>1900</v>
      </c>
      <c r="K39" s="19">
        <f t="shared" ref="K39:K49" si="17">J39*12</f>
        <v>22800</v>
      </c>
      <c r="L39" s="19">
        <f>(20000*0.095)</f>
        <v>1900</v>
      </c>
      <c r="M39" s="19">
        <f t="shared" ref="M39:M49" si="18">L39*12</f>
        <v>22800</v>
      </c>
    </row>
    <row r="40" spans="2:13" x14ac:dyDescent="0.3">
      <c r="B40" t="s">
        <v>55</v>
      </c>
      <c r="C40" s="1">
        <v>1</v>
      </c>
      <c r="D40" s="19">
        <f>(20000*0.095)</f>
        <v>1900</v>
      </c>
      <c r="E40" s="19">
        <f t="shared" ref="E40:G49" si="19">D40*12</f>
        <v>22800</v>
      </c>
      <c r="F40" s="19">
        <f>(20000*0.095)</f>
        <v>1900</v>
      </c>
      <c r="G40" s="19">
        <f t="shared" si="19"/>
        <v>22800</v>
      </c>
      <c r="H40" s="19">
        <f>(20000*0.095)</f>
        <v>1900</v>
      </c>
      <c r="I40" s="19">
        <f t="shared" si="16"/>
        <v>22800</v>
      </c>
      <c r="J40" s="19">
        <f>(20000*0.095)</f>
        <v>1900</v>
      </c>
      <c r="K40" s="19">
        <f t="shared" si="17"/>
        <v>22800</v>
      </c>
      <c r="L40" s="19">
        <f>(20000*0.095)</f>
        <v>1900</v>
      </c>
      <c r="M40" s="19">
        <f t="shared" si="18"/>
        <v>22800</v>
      </c>
    </row>
    <row r="41" spans="2:13" x14ac:dyDescent="0.3">
      <c r="B41" t="s">
        <v>56</v>
      </c>
      <c r="C41" s="1">
        <v>2</v>
      </c>
      <c r="D41" s="19">
        <f>(D24*0.095)</f>
        <v>2850</v>
      </c>
      <c r="E41" s="19">
        <f t="shared" si="19"/>
        <v>34200</v>
      </c>
      <c r="F41" s="19">
        <f>(F24*0.095)</f>
        <v>2992.5</v>
      </c>
      <c r="G41" s="19">
        <f t="shared" si="19"/>
        <v>35910</v>
      </c>
      <c r="H41" s="19">
        <f>(H24*0.095)</f>
        <v>3142.125</v>
      </c>
      <c r="I41" s="19">
        <f t="shared" si="16"/>
        <v>37705.5</v>
      </c>
      <c r="J41" s="19">
        <f>(J24*0.095)</f>
        <v>3299.2312499999998</v>
      </c>
      <c r="K41" s="19">
        <f t="shared" si="17"/>
        <v>39590.774999999994</v>
      </c>
      <c r="L41" s="19">
        <f>(L24*0.095)</f>
        <v>3464.1928124999999</v>
      </c>
      <c r="M41" s="19">
        <f t="shared" si="18"/>
        <v>41570.313750000001</v>
      </c>
    </row>
    <row r="42" spans="2:13" x14ac:dyDescent="0.3">
      <c r="B42" t="s">
        <v>57</v>
      </c>
      <c r="C42" s="1">
        <v>4</v>
      </c>
      <c r="D42" s="19">
        <f>(D25*0.095)</f>
        <v>4560</v>
      </c>
      <c r="E42" s="19">
        <f t="shared" si="19"/>
        <v>54720</v>
      </c>
      <c r="F42" s="19">
        <f>(F25*0.095)</f>
        <v>4788</v>
      </c>
      <c r="G42" s="19">
        <f t="shared" si="19"/>
        <v>57456</v>
      </c>
      <c r="H42" s="19">
        <f>(H25*0.095)</f>
        <v>5027.3999999999996</v>
      </c>
      <c r="I42" s="19">
        <f t="shared" si="16"/>
        <v>60328.799999999996</v>
      </c>
      <c r="J42" s="19">
        <f>(J25*0.095)</f>
        <v>5278.77</v>
      </c>
      <c r="K42" s="19">
        <f t="shared" si="17"/>
        <v>63345.240000000005</v>
      </c>
      <c r="L42" s="19">
        <f>(L25*0.095)</f>
        <v>5542.7085000000006</v>
      </c>
      <c r="M42" s="19">
        <f t="shared" si="18"/>
        <v>66512.502000000008</v>
      </c>
    </row>
    <row r="43" spans="2:13" x14ac:dyDescent="0.3">
      <c r="B43" t="s">
        <v>58</v>
      </c>
      <c r="C43" s="1">
        <v>1</v>
      </c>
      <c r="D43" s="19">
        <f>(D26*0.095)</f>
        <v>1425</v>
      </c>
      <c r="E43" s="19">
        <f t="shared" si="19"/>
        <v>17100</v>
      </c>
      <c r="F43" s="19">
        <f>(F26*0.095)</f>
        <v>1496.25</v>
      </c>
      <c r="G43" s="19">
        <f t="shared" si="19"/>
        <v>17955</v>
      </c>
      <c r="H43" s="19">
        <f>(H26*0.095)</f>
        <v>1571.0625</v>
      </c>
      <c r="I43" s="19">
        <f t="shared" si="16"/>
        <v>18852.75</v>
      </c>
      <c r="J43" s="19">
        <f>(J26*0.095)</f>
        <v>1649.6156249999999</v>
      </c>
      <c r="K43" s="19">
        <f t="shared" si="17"/>
        <v>19795.387499999997</v>
      </c>
      <c r="L43" s="19">
        <f>(L26*0.095)</f>
        <v>1732.09640625</v>
      </c>
      <c r="M43" s="19">
        <f t="shared" si="18"/>
        <v>20785.156875000001</v>
      </c>
    </row>
    <row r="44" spans="2:13" x14ac:dyDescent="0.3">
      <c r="B44" t="s">
        <v>59</v>
      </c>
      <c r="C44" s="1">
        <v>1</v>
      </c>
      <c r="D44" s="19">
        <f>(20000*0.095)</f>
        <v>1900</v>
      </c>
      <c r="E44" s="19">
        <f t="shared" si="19"/>
        <v>22800</v>
      </c>
      <c r="F44" s="19">
        <f>(20000*0.095)</f>
        <v>1900</v>
      </c>
      <c r="G44" s="19">
        <f t="shared" si="19"/>
        <v>22800</v>
      </c>
      <c r="H44" s="19">
        <f>(20000*0.095)</f>
        <v>1900</v>
      </c>
      <c r="I44" s="19">
        <f t="shared" si="16"/>
        <v>22800</v>
      </c>
      <c r="J44" s="19">
        <f>(20000*0.095)</f>
        <v>1900</v>
      </c>
      <c r="K44" s="19">
        <f t="shared" si="17"/>
        <v>22800</v>
      </c>
      <c r="L44" s="19">
        <f>(20000*0.095)</f>
        <v>1900</v>
      </c>
      <c r="M44" s="19">
        <f t="shared" si="18"/>
        <v>22800</v>
      </c>
    </row>
    <row r="45" spans="2:13" x14ac:dyDescent="0.3">
      <c r="B45" t="s">
        <v>60</v>
      </c>
      <c r="C45" s="1">
        <v>2</v>
      </c>
      <c r="D45" s="19">
        <f>(D28*0.095)</f>
        <v>3420</v>
      </c>
      <c r="E45" s="19">
        <f t="shared" si="19"/>
        <v>41040</v>
      </c>
      <c r="F45" s="19">
        <f>(F28*0.095)</f>
        <v>3591</v>
      </c>
      <c r="G45" s="19">
        <f t="shared" si="19"/>
        <v>43092</v>
      </c>
      <c r="H45" s="19">
        <f>(H28*0.095)</f>
        <v>3770.55</v>
      </c>
      <c r="I45" s="19">
        <f t="shared" si="16"/>
        <v>45246.600000000006</v>
      </c>
      <c r="J45" s="19">
        <f>(40000*0.095)</f>
        <v>3800</v>
      </c>
      <c r="K45" s="19">
        <f t="shared" si="17"/>
        <v>45600</v>
      </c>
      <c r="L45" s="19">
        <f>(40000*0.095)</f>
        <v>3800</v>
      </c>
      <c r="M45" s="19">
        <f t="shared" si="18"/>
        <v>45600</v>
      </c>
    </row>
    <row r="46" spans="2:13" x14ac:dyDescent="0.3">
      <c r="B46" t="s">
        <v>61</v>
      </c>
      <c r="C46" s="1">
        <v>4</v>
      </c>
      <c r="D46" s="19">
        <f>(D29*0.095)</f>
        <v>3800</v>
      </c>
      <c r="E46" s="19">
        <f t="shared" si="19"/>
        <v>45600</v>
      </c>
      <c r="F46" s="19">
        <f>(F29*0.095)</f>
        <v>3990</v>
      </c>
      <c r="G46" s="19">
        <f t="shared" si="19"/>
        <v>47880</v>
      </c>
      <c r="H46" s="19">
        <f>(H29*0.095)</f>
        <v>4189.5</v>
      </c>
      <c r="I46" s="19">
        <f t="shared" si="16"/>
        <v>50274</v>
      </c>
      <c r="J46" s="19">
        <f>(J29*0.095)</f>
        <v>4398.9750000000004</v>
      </c>
      <c r="K46" s="19">
        <f t="shared" si="17"/>
        <v>52787.700000000004</v>
      </c>
      <c r="L46" s="19">
        <f>(L29*0.095)</f>
        <v>4618.9237499999999</v>
      </c>
      <c r="M46" s="19">
        <f t="shared" si="18"/>
        <v>55427.084999999999</v>
      </c>
    </row>
    <row r="47" spans="2:13" x14ac:dyDescent="0.3">
      <c r="B47" t="s">
        <v>62</v>
      </c>
      <c r="C47" s="1">
        <v>2</v>
      </c>
      <c r="D47" s="19">
        <f>(D30*0.095)</f>
        <v>2850</v>
      </c>
      <c r="E47" s="19">
        <f t="shared" si="19"/>
        <v>34200</v>
      </c>
      <c r="F47" s="19">
        <f>(F30*0.095)</f>
        <v>2992.5</v>
      </c>
      <c r="G47" s="19">
        <f t="shared" si="19"/>
        <v>35910</v>
      </c>
      <c r="H47" s="19">
        <f>(H30*0.095)</f>
        <v>3142.125</v>
      </c>
      <c r="I47" s="19">
        <f t="shared" si="16"/>
        <v>37705.5</v>
      </c>
      <c r="J47" s="19">
        <f>(J30*0.095)</f>
        <v>3299.2312499999998</v>
      </c>
      <c r="K47" s="19">
        <f t="shared" si="17"/>
        <v>39590.774999999994</v>
      </c>
      <c r="L47" s="19">
        <f>(L30*0.095)</f>
        <v>3464.1928124999999</v>
      </c>
      <c r="M47" s="19">
        <f t="shared" si="18"/>
        <v>41570.313750000001</v>
      </c>
    </row>
    <row r="48" spans="2:13" x14ac:dyDescent="0.3">
      <c r="B48" t="s">
        <v>63</v>
      </c>
      <c r="C48" s="1">
        <v>2</v>
      </c>
      <c r="D48" s="19">
        <f>(D31*0.095)</f>
        <v>2280</v>
      </c>
      <c r="E48" s="19">
        <f t="shared" si="19"/>
        <v>27360</v>
      </c>
      <c r="F48" s="19">
        <f>(F31*0.095)</f>
        <v>2394</v>
      </c>
      <c r="G48" s="19">
        <f t="shared" si="19"/>
        <v>28728</v>
      </c>
      <c r="H48" s="19">
        <f>(H31*0.095)</f>
        <v>2513.6999999999998</v>
      </c>
      <c r="I48" s="19">
        <f t="shared" si="16"/>
        <v>30164.399999999998</v>
      </c>
      <c r="J48" s="19">
        <f>(J31*0.095)</f>
        <v>2639.3850000000002</v>
      </c>
      <c r="K48" s="19">
        <f t="shared" si="17"/>
        <v>31672.620000000003</v>
      </c>
      <c r="L48" s="19">
        <f>(L31*0.095)</f>
        <v>2771.3542500000003</v>
      </c>
      <c r="M48" s="19">
        <f t="shared" si="18"/>
        <v>33256.251000000004</v>
      </c>
    </row>
    <row r="49" spans="2:13" x14ac:dyDescent="0.3">
      <c r="B49" s="9" t="s">
        <v>64</v>
      </c>
      <c r="C49" s="34">
        <v>1</v>
      </c>
      <c r="D49" s="35">
        <f>(20000*0.095)</f>
        <v>1900</v>
      </c>
      <c r="E49" s="35">
        <f t="shared" si="19"/>
        <v>22800</v>
      </c>
      <c r="F49" s="35">
        <f>(20000*0.095)</f>
        <v>1900</v>
      </c>
      <c r="G49" s="35">
        <f t="shared" si="19"/>
        <v>22800</v>
      </c>
      <c r="H49" s="35">
        <f>(20000*0.095)</f>
        <v>1900</v>
      </c>
      <c r="I49" s="35">
        <f t="shared" si="16"/>
        <v>22800</v>
      </c>
      <c r="J49" s="35">
        <f>(20000*0.095)</f>
        <v>1900</v>
      </c>
      <c r="K49" s="35">
        <f t="shared" si="17"/>
        <v>22800</v>
      </c>
      <c r="L49" s="35">
        <f>(20000*0.095)</f>
        <v>1900</v>
      </c>
      <c r="M49" s="35">
        <f t="shared" si="18"/>
        <v>22800</v>
      </c>
    </row>
    <row r="50" spans="2:13" ht="15" thickBot="1" x14ac:dyDescent="0.35">
      <c r="B50" s="179" t="s">
        <v>267</v>
      </c>
      <c r="C50" s="179"/>
      <c r="D50" s="179"/>
      <c r="E50" s="108">
        <f>SUM(E39:E49)</f>
        <v>345420</v>
      </c>
      <c r="G50" s="108">
        <f>SUM(G39:G49)</f>
        <v>358131</v>
      </c>
      <c r="I50" s="108">
        <f>SUM(I39:I49)</f>
        <v>371477.55000000005</v>
      </c>
      <c r="K50" s="108">
        <f>SUM(K39:K49)</f>
        <v>383582.49750000006</v>
      </c>
      <c r="M50" s="108">
        <f>SUM(M39:M49)</f>
        <v>395921.62237499998</v>
      </c>
    </row>
    <row r="51" spans="2:13" ht="15" thickTop="1" x14ac:dyDescent="0.3">
      <c r="K51" s="30"/>
    </row>
    <row r="53" spans="2:13" x14ac:dyDescent="0.3">
      <c r="B53" s="8" t="s">
        <v>603</v>
      </c>
      <c r="D53" s="188">
        <v>2024</v>
      </c>
      <c r="E53" s="188"/>
      <c r="F53" s="188">
        <v>2025</v>
      </c>
      <c r="G53" s="188"/>
      <c r="H53" s="188">
        <v>2026</v>
      </c>
      <c r="I53" s="188"/>
      <c r="J53" s="188">
        <v>2027</v>
      </c>
      <c r="K53" s="188"/>
      <c r="L53" s="188">
        <v>2028</v>
      </c>
      <c r="M53" s="188"/>
    </row>
    <row r="54" spans="2:13" ht="28.8" x14ac:dyDescent="0.3">
      <c r="B54" s="189" t="s">
        <v>7</v>
      </c>
      <c r="C54" s="189" t="s">
        <v>8</v>
      </c>
      <c r="D54" s="191" t="s">
        <v>9</v>
      </c>
      <c r="E54" s="186" t="s">
        <v>10</v>
      </c>
      <c r="F54" s="186" t="s">
        <v>9</v>
      </c>
      <c r="G54" s="186" t="s">
        <v>10</v>
      </c>
      <c r="H54" s="186" t="s">
        <v>9</v>
      </c>
      <c r="I54" s="186" t="s">
        <v>10</v>
      </c>
      <c r="J54" s="186" t="s">
        <v>9</v>
      </c>
      <c r="K54" s="186" t="s">
        <v>10</v>
      </c>
      <c r="L54" s="186" t="s">
        <v>9</v>
      </c>
      <c r="M54" s="186" t="s">
        <v>10</v>
      </c>
    </row>
    <row r="55" spans="2:13" x14ac:dyDescent="0.3">
      <c r="B55" t="s">
        <v>16</v>
      </c>
      <c r="C55" s="1">
        <v>1</v>
      </c>
      <c r="D55" s="77">
        <f>(20000*0.045)*C55</f>
        <v>900</v>
      </c>
      <c r="E55" s="19">
        <f>D55*12</f>
        <v>10800</v>
      </c>
      <c r="F55" s="194">
        <v>900</v>
      </c>
      <c r="G55" s="19">
        <f>F55*12</f>
        <v>10800</v>
      </c>
      <c r="H55" s="194">
        <v>900</v>
      </c>
      <c r="I55" s="19">
        <f t="shared" ref="I55:I65" si="20">H55*12</f>
        <v>10800</v>
      </c>
      <c r="J55" s="194">
        <v>900</v>
      </c>
      <c r="K55" s="19">
        <f t="shared" ref="K55:K65" si="21">J55*12</f>
        <v>10800</v>
      </c>
      <c r="L55" s="194">
        <v>900</v>
      </c>
      <c r="M55" s="19">
        <f t="shared" ref="M55:M65" si="22">L55*12</f>
        <v>10800</v>
      </c>
    </row>
    <row r="56" spans="2:13" x14ac:dyDescent="0.3">
      <c r="B56" t="s">
        <v>55</v>
      </c>
      <c r="C56" s="1">
        <v>1</v>
      </c>
      <c r="D56" s="181">
        <f>(20000*0.045)*C56</f>
        <v>900</v>
      </c>
      <c r="E56" s="19">
        <f t="shared" ref="E56:E65" si="23">D56*12</f>
        <v>10800</v>
      </c>
      <c r="F56" s="194">
        <v>900</v>
      </c>
      <c r="G56" s="19">
        <f t="shared" ref="G56:G65" si="24">F56*12</f>
        <v>10800</v>
      </c>
      <c r="H56" s="194">
        <v>900</v>
      </c>
      <c r="I56" s="19">
        <f t="shared" si="20"/>
        <v>10800</v>
      </c>
      <c r="J56" s="194">
        <v>900</v>
      </c>
      <c r="K56" s="19">
        <f t="shared" si="21"/>
        <v>10800</v>
      </c>
      <c r="L56" s="194">
        <v>900</v>
      </c>
      <c r="M56" s="19">
        <f t="shared" si="22"/>
        <v>10800</v>
      </c>
    </row>
    <row r="57" spans="2:13" x14ac:dyDescent="0.3">
      <c r="B57" t="s">
        <v>56</v>
      </c>
      <c r="C57" s="1">
        <v>2</v>
      </c>
      <c r="D57" s="192">
        <f>(D6*0.045)*C57</f>
        <v>1350</v>
      </c>
      <c r="E57" s="19">
        <f t="shared" si="23"/>
        <v>16200</v>
      </c>
      <c r="F57" s="19">
        <f>(F24*0.045)</f>
        <v>1417.5</v>
      </c>
      <c r="G57" s="19">
        <f t="shared" si="24"/>
        <v>17010</v>
      </c>
      <c r="H57" s="19">
        <f>(H24*0.045)</f>
        <v>1488.375</v>
      </c>
      <c r="I57" s="19">
        <f t="shared" si="20"/>
        <v>17860.5</v>
      </c>
      <c r="J57" s="19">
        <f>(J24*0.045)</f>
        <v>1562.79375</v>
      </c>
      <c r="K57" s="19">
        <f t="shared" si="21"/>
        <v>18753.525000000001</v>
      </c>
      <c r="L57" s="19">
        <f>(L24*0.045)</f>
        <v>1640.9334374999999</v>
      </c>
      <c r="M57" s="19">
        <f t="shared" si="22"/>
        <v>19691.201249999998</v>
      </c>
    </row>
    <row r="58" spans="2:13" x14ac:dyDescent="0.3">
      <c r="B58" t="s">
        <v>57</v>
      </c>
      <c r="C58" s="1">
        <v>4</v>
      </c>
      <c r="D58" s="192">
        <f t="shared" ref="D58:D65" si="25">(D7*0.045)*C58</f>
        <v>2160</v>
      </c>
      <c r="E58" s="19">
        <f t="shared" si="23"/>
        <v>25920</v>
      </c>
      <c r="F58" s="19">
        <f t="shared" ref="F58:F59" si="26">(F25*0.045)</f>
        <v>2268</v>
      </c>
      <c r="G58" s="19">
        <f t="shared" si="24"/>
        <v>27216</v>
      </c>
      <c r="H58" s="19">
        <f t="shared" ref="H58:H64" si="27">(H25*0.045)</f>
        <v>2381.4</v>
      </c>
      <c r="I58" s="19">
        <f t="shared" si="20"/>
        <v>28576.800000000003</v>
      </c>
      <c r="J58" s="19">
        <f t="shared" ref="J58:J64" si="28">(J25*0.045)</f>
        <v>2500.4699999999998</v>
      </c>
      <c r="K58" s="19">
        <f t="shared" si="21"/>
        <v>30005.64</v>
      </c>
      <c r="L58" s="19">
        <f t="shared" ref="L58:L59" si="29">(L25*0.045)</f>
        <v>2625.4935</v>
      </c>
      <c r="M58" s="19">
        <f t="shared" si="22"/>
        <v>31505.921999999999</v>
      </c>
    </row>
    <row r="59" spans="2:13" x14ac:dyDescent="0.3">
      <c r="B59" t="s">
        <v>58</v>
      </c>
      <c r="C59" s="1">
        <v>1</v>
      </c>
      <c r="D59" s="192">
        <f t="shared" si="25"/>
        <v>675</v>
      </c>
      <c r="E59" s="19">
        <f t="shared" si="23"/>
        <v>8100</v>
      </c>
      <c r="F59" s="19">
        <f t="shared" si="26"/>
        <v>708.75</v>
      </c>
      <c r="G59" s="19">
        <f t="shared" si="24"/>
        <v>8505</v>
      </c>
      <c r="H59" s="19">
        <f t="shared" si="27"/>
        <v>744.1875</v>
      </c>
      <c r="I59" s="19">
        <f t="shared" si="20"/>
        <v>8930.25</v>
      </c>
      <c r="J59" s="19">
        <f t="shared" si="28"/>
        <v>781.39687500000002</v>
      </c>
      <c r="K59" s="19">
        <f t="shared" si="21"/>
        <v>9376.7625000000007</v>
      </c>
      <c r="L59" s="19">
        <f t="shared" si="29"/>
        <v>820.46671874999993</v>
      </c>
      <c r="M59" s="19">
        <f t="shared" si="22"/>
        <v>9845.6006249999991</v>
      </c>
    </row>
    <row r="60" spans="2:13" x14ac:dyDescent="0.3">
      <c r="B60" t="s">
        <v>59</v>
      </c>
      <c r="C60" s="1">
        <v>1</v>
      </c>
      <c r="D60" s="181">
        <f>(20000*0.045)*C60</f>
        <v>900</v>
      </c>
      <c r="E60" s="19">
        <f t="shared" si="23"/>
        <v>10800</v>
      </c>
      <c r="F60" s="194">
        <v>900</v>
      </c>
      <c r="G60" s="19">
        <f t="shared" si="24"/>
        <v>10800</v>
      </c>
      <c r="H60" s="194">
        <v>900</v>
      </c>
      <c r="I60" s="19">
        <f t="shared" si="20"/>
        <v>10800</v>
      </c>
      <c r="J60" s="194">
        <v>900</v>
      </c>
      <c r="K60" s="19">
        <f t="shared" si="21"/>
        <v>10800</v>
      </c>
      <c r="L60" s="194">
        <v>900</v>
      </c>
      <c r="M60" s="19">
        <f t="shared" si="22"/>
        <v>10800</v>
      </c>
    </row>
    <row r="61" spans="2:13" x14ac:dyDescent="0.3">
      <c r="B61" t="s">
        <v>60</v>
      </c>
      <c r="C61" s="1">
        <v>2</v>
      </c>
      <c r="D61" s="192">
        <f t="shared" si="25"/>
        <v>1620</v>
      </c>
      <c r="E61" s="19">
        <f t="shared" si="23"/>
        <v>19440</v>
      </c>
      <c r="F61" s="19">
        <f>(F28*0.045)</f>
        <v>1701</v>
      </c>
      <c r="G61" s="19">
        <f t="shared" si="24"/>
        <v>20412</v>
      </c>
      <c r="H61" s="19">
        <f t="shared" si="27"/>
        <v>1786.05</v>
      </c>
      <c r="I61" s="19">
        <f t="shared" si="20"/>
        <v>21432.6</v>
      </c>
      <c r="J61" s="194">
        <v>1800</v>
      </c>
      <c r="K61" s="19">
        <f t="shared" si="21"/>
        <v>21600</v>
      </c>
      <c r="L61" s="19">
        <v>1800</v>
      </c>
      <c r="M61" s="19">
        <f t="shared" si="22"/>
        <v>21600</v>
      </c>
    </row>
    <row r="62" spans="2:13" x14ac:dyDescent="0.3">
      <c r="B62" t="s">
        <v>61</v>
      </c>
      <c r="C62" s="1">
        <v>4</v>
      </c>
      <c r="D62" s="192">
        <f t="shared" si="25"/>
        <v>1800</v>
      </c>
      <c r="E62" s="19">
        <f t="shared" si="23"/>
        <v>21600</v>
      </c>
      <c r="F62" s="19">
        <f t="shared" ref="F62:F65" si="30">(F29*0.045)</f>
        <v>1890</v>
      </c>
      <c r="G62" s="19">
        <f t="shared" si="24"/>
        <v>22680</v>
      </c>
      <c r="H62" s="19">
        <f t="shared" si="27"/>
        <v>1984.5</v>
      </c>
      <c r="I62" s="19">
        <f t="shared" si="20"/>
        <v>23814</v>
      </c>
      <c r="J62" s="19">
        <f>(J29*0.045)</f>
        <v>2083.7249999999999</v>
      </c>
      <c r="K62" s="19">
        <f t="shared" si="21"/>
        <v>25004.699999999997</v>
      </c>
      <c r="L62" s="19">
        <f>(L29*0.045)</f>
        <v>2187.9112500000001</v>
      </c>
      <c r="M62" s="19">
        <f t="shared" si="22"/>
        <v>26254.935000000001</v>
      </c>
    </row>
    <row r="63" spans="2:13" x14ac:dyDescent="0.3">
      <c r="B63" t="s">
        <v>62</v>
      </c>
      <c r="C63" s="1">
        <v>2</v>
      </c>
      <c r="D63" s="192">
        <f t="shared" si="25"/>
        <v>1350</v>
      </c>
      <c r="E63" s="19">
        <f t="shared" si="23"/>
        <v>16200</v>
      </c>
      <c r="F63" s="19">
        <f t="shared" si="30"/>
        <v>1417.5</v>
      </c>
      <c r="G63" s="19">
        <f t="shared" si="24"/>
        <v>17010</v>
      </c>
      <c r="H63" s="19">
        <f t="shared" si="27"/>
        <v>1488.375</v>
      </c>
      <c r="I63" s="19">
        <f t="shared" si="20"/>
        <v>17860.5</v>
      </c>
      <c r="J63" s="19">
        <f t="shared" si="28"/>
        <v>1562.79375</v>
      </c>
      <c r="K63" s="19">
        <f t="shared" si="21"/>
        <v>18753.525000000001</v>
      </c>
      <c r="L63" s="19">
        <f>(L30*0.045)</f>
        <v>1640.9334374999999</v>
      </c>
      <c r="M63" s="19">
        <f t="shared" si="22"/>
        <v>19691.201249999998</v>
      </c>
    </row>
    <row r="64" spans="2:13" x14ac:dyDescent="0.3">
      <c r="B64" t="s">
        <v>63</v>
      </c>
      <c r="C64" s="1">
        <v>2</v>
      </c>
      <c r="D64" s="192">
        <f t="shared" si="25"/>
        <v>1080</v>
      </c>
      <c r="E64" s="19">
        <f t="shared" si="23"/>
        <v>12960</v>
      </c>
      <c r="F64" s="19">
        <f t="shared" si="30"/>
        <v>1134</v>
      </c>
      <c r="G64" s="19">
        <f t="shared" si="24"/>
        <v>13608</v>
      </c>
      <c r="H64" s="19">
        <f t="shared" si="27"/>
        <v>1190.7</v>
      </c>
      <c r="I64" s="19">
        <f t="shared" si="20"/>
        <v>14288.400000000001</v>
      </c>
      <c r="J64" s="19">
        <f t="shared" si="28"/>
        <v>1250.2349999999999</v>
      </c>
      <c r="K64" s="19">
        <f t="shared" si="21"/>
        <v>15002.82</v>
      </c>
      <c r="L64" s="19">
        <f>(L31*0.045)</f>
        <v>1312.74675</v>
      </c>
      <c r="M64" s="19">
        <f t="shared" si="22"/>
        <v>15752.960999999999</v>
      </c>
    </row>
    <row r="65" spans="2:13" x14ac:dyDescent="0.3">
      <c r="B65" s="9" t="s">
        <v>64</v>
      </c>
      <c r="C65" s="34">
        <v>1</v>
      </c>
      <c r="D65" s="193">
        <f t="shared" si="25"/>
        <v>900</v>
      </c>
      <c r="E65" s="35">
        <f t="shared" si="23"/>
        <v>10800</v>
      </c>
      <c r="F65" s="195">
        <v>900</v>
      </c>
      <c r="G65" s="35">
        <f t="shared" si="24"/>
        <v>10800</v>
      </c>
      <c r="H65" s="195">
        <v>900</v>
      </c>
      <c r="I65" s="35">
        <f t="shared" si="20"/>
        <v>10800</v>
      </c>
      <c r="J65" s="195">
        <v>900</v>
      </c>
      <c r="K65" s="35">
        <f t="shared" si="21"/>
        <v>10800</v>
      </c>
      <c r="L65" s="195">
        <v>900</v>
      </c>
      <c r="M65" s="35">
        <f t="shared" si="22"/>
        <v>10800</v>
      </c>
    </row>
    <row r="66" spans="2:13" ht="15" thickBot="1" x14ac:dyDescent="0.35">
      <c r="B66" s="179" t="s">
        <v>604</v>
      </c>
      <c r="C66" s="179"/>
      <c r="D66" s="179"/>
      <c r="E66" s="190">
        <f>SUM(E55:E65)</f>
        <v>163620</v>
      </c>
      <c r="G66" s="190">
        <f>SUM(G55:G65)</f>
        <v>169641</v>
      </c>
      <c r="I66" s="190">
        <f>SUM(I55:I65)</f>
        <v>175963.05</v>
      </c>
      <c r="K66" s="190">
        <f>SUM(K55:K65)</f>
        <v>181696.9725</v>
      </c>
      <c r="M66" s="190">
        <f>SUM(M55:M65)</f>
        <v>187541.82112500002</v>
      </c>
    </row>
    <row r="67" spans="2:13" ht="15" thickTop="1" x14ac:dyDescent="0.3"/>
    <row r="70" spans="2:13" x14ac:dyDescent="0.3">
      <c r="B70" s="8" t="s">
        <v>263</v>
      </c>
      <c r="D70" s="172">
        <v>2024</v>
      </c>
      <c r="E70" s="172"/>
      <c r="F70" s="172">
        <v>2025</v>
      </c>
      <c r="G70" s="172"/>
      <c r="H70" s="172">
        <v>2026</v>
      </c>
      <c r="I70" s="172"/>
      <c r="J70" s="172">
        <v>2027</v>
      </c>
      <c r="K70" s="172"/>
      <c r="L70" s="172">
        <v>2028</v>
      </c>
      <c r="M70" s="172"/>
    </row>
    <row r="71" spans="2:13" ht="28.8" x14ac:dyDescent="0.3">
      <c r="B71" s="84" t="s">
        <v>7</v>
      </c>
      <c r="C71" s="84" t="s">
        <v>8</v>
      </c>
      <c r="D71" s="95" t="s">
        <v>9</v>
      </c>
      <c r="E71" s="95" t="s">
        <v>10</v>
      </c>
      <c r="F71" s="95" t="s">
        <v>9</v>
      </c>
      <c r="G71" s="95" t="s">
        <v>10</v>
      </c>
      <c r="H71" s="95" t="s">
        <v>9</v>
      </c>
      <c r="I71" s="95" t="s">
        <v>10</v>
      </c>
      <c r="J71" s="95" t="s">
        <v>9</v>
      </c>
      <c r="K71" s="95" t="s">
        <v>10</v>
      </c>
      <c r="L71" s="95" t="s">
        <v>9</v>
      </c>
      <c r="M71" s="95" t="s">
        <v>10</v>
      </c>
    </row>
    <row r="72" spans="2:13" x14ac:dyDescent="0.3">
      <c r="B72" t="s">
        <v>16</v>
      </c>
      <c r="C72" s="1">
        <v>1</v>
      </c>
      <c r="D72" s="107">
        <f>D22*0.0225</f>
        <v>900</v>
      </c>
      <c r="E72" s="109">
        <f t="shared" ref="E72:E82" si="31">D72*12</f>
        <v>10800</v>
      </c>
      <c r="F72" s="107">
        <f>F22*0.0225</f>
        <v>945</v>
      </c>
      <c r="G72" s="109">
        <f t="shared" ref="G72:G82" si="32">F72*12</f>
        <v>11340</v>
      </c>
      <c r="H72" s="107">
        <f>H22*0.0225</f>
        <v>992.25</v>
      </c>
      <c r="I72" s="109">
        <f>H72*12</f>
        <v>11907</v>
      </c>
      <c r="J72" s="107">
        <f>J22*0.0225</f>
        <v>1041.8625</v>
      </c>
      <c r="K72" s="109">
        <f>J72*12</f>
        <v>12502.349999999999</v>
      </c>
      <c r="L72" s="107">
        <f>L22*0.0225</f>
        <v>1093.9556250000001</v>
      </c>
      <c r="M72" s="109">
        <f>L72*12</f>
        <v>13127.467500000001</v>
      </c>
    </row>
    <row r="73" spans="2:13" x14ac:dyDescent="0.3">
      <c r="B73" t="s">
        <v>55</v>
      </c>
      <c r="C73" s="1">
        <v>1</v>
      </c>
      <c r="D73" s="105">
        <f>D23*0.0225</f>
        <v>562.5</v>
      </c>
      <c r="E73" s="110">
        <f t="shared" si="31"/>
        <v>6750</v>
      </c>
      <c r="F73" s="105">
        <f>F23*0.0225</f>
        <v>590.625</v>
      </c>
      <c r="G73" s="110">
        <f t="shared" si="32"/>
        <v>7087.5</v>
      </c>
      <c r="H73" s="105">
        <f>H23*0.0225</f>
        <v>620.15625</v>
      </c>
      <c r="I73" s="110">
        <f t="shared" ref="I73:I82" si="33">H73*12</f>
        <v>7441.875</v>
      </c>
      <c r="J73" s="105">
        <f>J23*0.0225</f>
        <v>651.1640625</v>
      </c>
      <c r="K73" s="110">
        <f t="shared" ref="K73:K82" si="34">J73*12</f>
        <v>7813.96875</v>
      </c>
      <c r="L73" s="105">
        <f>L23*0.0225</f>
        <v>683.72226562499998</v>
      </c>
      <c r="M73" s="110">
        <f t="shared" ref="M73:M82" si="35">L73*12</f>
        <v>8204.6671874999993</v>
      </c>
    </row>
    <row r="74" spans="2:13" x14ac:dyDescent="0.3">
      <c r="B74" t="s">
        <v>56</v>
      </c>
      <c r="C74" s="1">
        <v>2</v>
      </c>
      <c r="D74" s="105">
        <f>D24*0.0225</f>
        <v>675</v>
      </c>
      <c r="E74" s="110">
        <f t="shared" si="31"/>
        <v>8100</v>
      </c>
      <c r="F74" s="105">
        <f>F24*0.0225</f>
        <v>708.75</v>
      </c>
      <c r="G74" s="110">
        <f t="shared" si="32"/>
        <v>8505</v>
      </c>
      <c r="H74" s="105">
        <f>H24*0.0225</f>
        <v>744.1875</v>
      </c>
      <c r="I74" s="110">
        <f t="shared" si="33"/>
        <v>8930.25</v>
      </c>
      <c r="J74" s="105">
        <f>J24*0.0225</f>
        <v>781.39687500000002</v>
      </c>
      <c r="K74" s="110">
        <f t="shared" si="34"/>
        <v>9376.7625000000007</v>
      </c>
      <c r="L74" s="105">
        <f>L24*0.0225</f>
        <v>820.46671874999993</v>
      </c>
      <c r="M74" s="110">
        <f t="shared" si="35"/>
        <v>9845.6006249999991</v>
      </c>
    </row>
    <row r="75" spans="2:13" x14ac:dyDescent="0.3">
      <c r="B75" t="s">
        <v>57</v>
      </c>
      <c r="C75" s="1">
        <v>4</v>
      </c>
      <c r="D75" s="105">
        <f>D25*0.0225</f>
        <v>1080</v>
      </c>
      <c r="E75" s="110">
        <f t="shared" si="31"/>
        <v>12960</v>
      </c>
      <c r="F75" s="105">
        <f>F25*0.0225</f>
        <v>1134</v>
      </c>
      <c r="G75" s="110">
        <f t="shared" si="32"/>
        <v>13608</v>
      </c>
      <c r="H75" s="105">
        <f>H25*0.0225</f>
        <v>1190.7</v>
      </c>
      <c r="I75" s="110">
        <f t="shared" si="33"/>
        <v>14288.400000000001</v>
      </c>
      <c r="J75" s="105">
        <f>J25*0.0225</f>
        <v>1250.2349999999999</v>
      </c>
      <c r="K75" s="110">
        <f t="shared" si="34"/>
        <v>15002.82</v>
      </c>
      <c r="L75" s="105">
        <f>L25*0.0225</f>
        <v>1312.74675</v>
      </c>
      <c r="M75" s="110">
        <f t="shared" si="35"/>
        <v>15752.960999999999</v>
      </c>
    </row>
    <row r="76" spans="2:13" x14ac:dyDescent="0.3">
      <c r="B76" t="s">
        <v>58</v>
      </c>
      <c r="C76" s="1">
        <v>1</v>
      </c>
      <c r="D76" s="105">
        <f>D26*0.0225</f>
        <v>337.5</v>
      </c>
      <c r="E76" s="110">
        <f t="shared" si="31"/>
        <v>4050</v>
      </c>
      <c r="F76" s="105">
        <f>F26*0.0225</f>
        <v>354.375</v>
      </c>
      <c r="G76" s="110">
        <f t="shared" si="32"/>
        <v>4252.5</v>
      </c>
      <c r="H76" s="105">
        <f>H26*0.0225</f>
        <v>372.09375</v>
      </c>
      <c r="I76" s="110">
        <f t="shared" si="33"/>
        <v>4465.125</v>
      </c>
      <c r="J76" s="105">
        <f>J26*0.0225</f>
        <v>390.69843750000001</v>
      </c>
      <c r="K76" s="110">
        <f t="shared" si="34"/>
        <v>4688.3812500000004</v>
      </c>
      <c r="L76" s="105">
        <f>L26*0.0225</f>
        <v>410.23335937499996</v>
      </c>
      <c r="M76" s="110">
        <f t="shared" si="35"/>
        <v>4922.8003124999996</v>
      </c>
    </row>
    <row r="77" spans="2:13" x14ac:dyDescent="0.3">
      <c r="B77" t="s">
        <v>59</v>
      </c>
      <c r="C77" s="1">
        <v>1</v>
      </c>
      <c r="D77" s="105">
        <f>D27*0.0225</f>
        <v>675</v>
      </c>
      <c r="E77" s="110">
        <f t="shared" si="31"/>
        <v>8100</v>
      </c>
      <c r="F77" s="105">
        <f>F27*0.0225</f>
        <v>708.75</v>
      </c>
      <c r="G77" s="110">
        <f t="shared" si="32"/>
        <v>8505</v>
      </c>
      <c r="H77" s="105">
        <f>H27*0.0225</f>
        <v>744.1875</v>
      </c>
      <c r="I77" s="110">
        <f t="shared" si="33"/>
        <v>8930.25</v>
      </c>
      <c r="J77" s="105">
        <f>J27*0.0225</f>
        <v>781.39687500000002</v>
      </c>
      <c r="K77" s="110">
        <f t="shared" si="34"/>
        <v>9376.7625000000007</v>
      </c>
      <c r="L77" s="105">
        <f>L27*0.0225</f>
        <v>820.46671874999993</v>
      </c>
      <c r="M77" s="110">
        <f t="shared" si="35"/>
        <v>9845.6006249999991</v>
      </c>
    </row>
    <row r="78" spans="2:13" x14ac:dyDescent="0.3">
      <c r="B78" t="s">
        <v>60</v>
      </c>
      <c r="C78" s="1">
        <v>2</v>
      </c>
      <c r="D78" s="105">
        <f>D28*0.0225</f>
        <v>810</v>
      </c>
      <c r="E78" s="110">
        <f t="shared" si="31"/>
        <v>9720</v>
      </c>
      <c r="F78" s="105">
        <f>F28*0.0225</f>
        <v>850.5</v>
      </c>
      <c r="G78" s="110">
        <f t="shared" si="32"/>
        <v>10206</v>
      </c>
      <c r="H78" s="105">
        <f>H28*0.0225</f>
        <v>893.02499999999998</v>
      </c>
      <c r="I78" s="110">
        <f t="shared" si="33"/>
        <v>10716.3</v>
      </c>
      <c r="J78" s="105">
        <f>J28*0.0225</f>
        <v>937.67624999999998</v>
      </c>
      <c r="K78" s="110">
        <f t="shared" si="34"/>
        <v>11252.115</v>
      </c>
      <c r="L78" s="105">
        <f>L28*0.0225</f>
        <v>984.56006249999996</v>
      </c>
      <c r="M78" s="110">
        <f t="shared" si="35"/>
        <v>11814.72075</v>
      </c>
    </row>
    <row r="79" spans="2:13" x14ac:dyDescent="0.3">
      <c r="B79" t="s">
        <v>61</v>
      </c>
      <c r="C79" s="1">
        <v>4</v>
      </c>
      <c r="D79" s="105">
        <f>D29*0.0225</f>
        <v>900</v>
      </c>
      <c r="E79" s="110">
        <f t="shared" si="31"/>
        <v>10800</v>
      </c>
      <c r="F79" s="105">
        <f>F29*0.0225</f>
        <v>945</v>
      </c>
      <c r="G79" s="110">
        <f t="shared" si="32"/>
        <v>11340</v>
      </c>
      <c r="H79" s="105">
        <f>H29*0.0225</f>
        <v>992.25</v>
      </c>
      <c r="I79" s="110">
        <f t="shared" si="33"/>
        <v>11907</v>
      </c>
      <c r="J79" s="105">
        <f>J29*0.0225</f>
        <v>1041.8625</v>
      </c>
      <c r="K79" s="110">
        <f t="shared" si="34"/>
        <v>12502.349999999999</v>
      </c>
      <c r="L79" s="105">
        <f>L29*0.0225</f>
        <v>1093.9556250000001</v>
      </c>
      <c r="M79" s="110">
        <f t="shared" si="35"/>
        <v>13127.467500000001</v>
      </c>
    </row>
    <row r="80" spans="2:13" x14ac:dyDescent="0.3">
      <c r="B80" t="s">
        <v>62</v>
      </c>
      <c r="C80" s="1">
        <v>2</v>
      </c>
      <c r="D80" s="105">
        <f>D30*0.0225</f>
        <v>675</v>
      </c>
      <c r="E80" s="110">
        <f t="shared" si="31"/>
        <v>8100</v>
      </c>
      <c r="F80" s="105">
        <f>F30*0.0225</f>
        <v>708.75</v>
      </c>
      <c r="G80" s="110">
        <f t="shared" si="32"/>
        <v>8505</v>
      </c>
      <c r="H80" s="105">
        <f>H30*0.0225</f>
        <v>744.1875</v>
      </c>
      <c r="I80" s="110">
        <f t="shared" si="33"/>
        <v>8930.25</v>
      </c>
      <c r="J80" s="105">
        <f>J30*0.0225</f>
        <v>781.39687500000002</v>
      </c>
      <c r="K80" s="110">
        <f t="shared" si="34"/>
        <v>9376.7625000000007</v>
      </c>
      <c r="L80" s="105">
        <f>L30*0.0225</f>
        <v>820.46671874999993</v>
      </c>
      <c r="M80" s="110">
        <f t="shared" si="35"/>
        <v>9845.6006249999991</v>
      </c>
    </row>
    <row r="81" spans="2:13" x14ac:dyDescent="0.3">
      <c r="B81" t="s">
        <v>63</v>
      </c>
      <c r="C81" s="1">
        <v>2</v>
      </c>
      <c r="D81" s="105">
        <f>D31*0.0225</f>
        <v>540</v>
      </c>
      <c r="E81" s="110">
        <f t="shared" si="31"/>
        <v>6480</v>
      </c>
      <c r="F81" s="105">
        <f>F31*0.0225</f>
        <v>567</v>
      </c>
      <c r="G81" s="110">
        <f t="shared" si="32"/>
        <v>6804</v>
      </c>
      <c r="H81" s="105">
        <f>H31*0.0225</f>
        <v>595.35</v>
      </c>
      <c r="I81" s="110">
        <f t="shared" si="33"/>
        <v>7144.2000000000007</v>
      </c>
      <c r="J81" s="105">
        <f>J31*0.0225</f>
        <v>625.11749999999995</v>
      </c>
      <c r="K81" s="110">
        <f t="shared" si="34"/>
        <v>7501.41</v>
      </c>
      <c r="L81" s="105">
        <f>L31*0.0225</f>
        <v>656.37337500000001</v>
      </c>
      <c r="M81" s="110">
        <f t="shared" si="35"/>
        <v>7876.4804999999997</v>
      </c>
    </row>
    <row r="82" spans="2:13" x14ac:dyDescent="0.3">
      <c r="B82" t="s">
        <v>64</v>
      </c>
      <c r="C82" s="34">
        <v>1</v>
      </c>
      <c r="D82" s="106">
        <f>D32*0.0225</f>
        <v>450</v>
      </c>
      <c r="E82" s="111">
        <f t="shared" si="31"/>
        <v>5400</v>
      </c>
      <c r="F82" s="106">
        <f>F32*0.0225</f>
        <v>472.5</v>
      </c>
      <c r="G82" s="111">
        <f t="shared" si="32"/>
        <v>5670</v>
      </c>
      <c r="H82" s="106">
        <f>H32*0.0225</f>
        <v>496.125</v>
      </c>
      <c r="I82" s="111">
        <f t="shared" si="33"/>
        <v>5953.5</v>
      </c>
      <c r="J82" s="106">
        <f>J32*0.0225</f>
        <v>520.93124999999998</v>
      </c>
      <c r="K82" s="111">
        <f t="shared" si="34"/>
        <v>6251.1749999999993</v>
      </c>
      <c r="L82" s="106">
        <f>L32*0.0225</f>
        <v>546.97781250000003</v>
      </c>
      <c r="M82" s="111">
        <f t="shared" si="35"/>
        <v>6563.7337500000003</v>
      </c>
    </row>
    <row r="83" spans="2:13" ht="15" thickBot="1" x14ac:dyDescent="0.35">
      <c r="B83" s="170" t="s">
        <v>266</v>
      </c>
      <c r="C83" s="170"/>
      <c r="D83" s="179"/>
      <c r="E83" s="108">
        <f>SUM(E72:E82)</f>
        <v>91260</v>
      </c>
      <c r="G83" s="108">
        <f>SUM(G72:G82)</f>
        <v>95823</v>
      </c>
      <c r="I83" s="108">
        <f>SUM(I72:I82)</f>
        <v>100614.15</v>
      </c>
      <c r="K83" s="108">
        <f>SUM(K72:K82)</f>
        <v>105644.85750000001</v>
      </c>
      <c r="M83" s="108">
        <f>SUM(M72:M82)</f>
        <v>110927.10037499999</v>
      </c>
    </row>
    <row r="84" spans="2:13" ht="15" thickTop="1" x14ac:dyDescent="0.3"/>
    <row r="87" spans="2:13" x14ac:dyDescent="0.3">
      <c r="B87" s="8" t="s">
        <v>264</v>
      </c>
      <c r="D87" s="172">
        <v>2024</v>
      </c>
      <c r="E87" s="172"/>
      <c r="F87" s="172">
        <v>2025</v>
      </c>
      <c r="G87" s="172"/>
      <c r="H87" s="172">
        <v>2026</v>
      </c>
      <c r="I87" s="172"/>
      <c r="J87" s="172">
        <v>2027</v>
      </c>
      <c r="K87" s="172"/>
      <c r="L87" s="172">
        <v>2028</v>
      </c>
      <c r="M87" s="172"/>
    </row>
    <row r="88" spans="2:13" ht="28.8" x14ac:dyDescent="0.3">
      <c r="B88" s="84" t="s">
        <v>7</v>
      </c>
      <c r="C88" s="84" t="s">
        <v>8</v>
      </c>
      <c r="D88" s="95" t="s">
        <v>9</v>
      </c>
      <c r="E88" s="95" t="s">
        <v>10</v>
      </c>
      <c r="F88" s="95" t="s">
        <v>9</v>
      </c>
      <c r="G88" s="95" t="s">
        <v>10</v>
      </c>
      <c r="H88" s="95" t="s">
        <v>9</v>
      </c>
      <c r="I88" s="95" t="s">
        <v>10</v>
      </c>
      <c r="J88" s="95" t="s">
        <v>9</v>
      </c>
      <c r="K88" s="95" t="s">
        <v>10</v>
      </c>
      <c r="L88" s="95" t="s">
        <v>9</v>
      </c>
      <c r="M88" s="95" t="s">
        <v>10</v>
      </c>
    </row>
    <row r="89" spans="2:13" x14ac:dyDescent="0.3">
      <c r="B89" t="s">
        <v>16</v>
      </c>
      <c r="C89" s="1">
        <v>1</v>
      </c>
      <c r="D89" s="107">
        <f>5000*0.02</f>
        <v>100</v>
      </c>
      <c r="E89" s="109">
        <f t="shared" ref="E89:E99" si="36">D89*12</f>
        <v>1200</v>
      </c>
      <c r="F89" s="107">
        <f>5000*0.02</f>
        <v>100</v>
      </c>
      <c r="G89" s="109">
        <f t="shared" ref="G89:G99" si="37">F89*12</f>
        <v>1200</v>
      </c>
      <c r="H89" s="107">
        <f>5000*0.02</f>
        <v>100</v>
      </c>
      <c r="I89" s="109">
        <f>H89*12</f>
        <v>1200</v>
      </c>
      <c r="J89" s="107">
        <f>5000*0.02</f>
        <v>100</v>
      </c>
      <c r="K89" s="109">
        <f>J89*12</f>
        <v>1200</v>
      </c>
      <c r="L89" s="107">
        <f>5000*0.02</f>
        <v>100</v>
      </c>
      <c r="M89" s="109">
        <f>L89*12</f>
        <v>1200</v>
      </c>
    </row>
    <row r="90" spans="2:13" x14ac:dyDescent="0.3">
      <c r="B90" t="s">
        <v>55</v>
      </c>
      <c r="C90" s="1">
        <v>1</v>
      </c>
      <c r="D90" s="105">
        <f t="shared" ref="D90:L99" si="38">5000*0.02</f>
        <v>100</v>
      </c>
      <c r="E90" s="110">
        <f t="shared" si="36"/>
        <v>1200</v>
      </c>
      <c r="F90" s="105">
        <f t="shared" si="38"/>
        <v>100</v>
      </c>
      <c r="G90" s="110">
        <f t="shared" si="37"/>
        <v>1200</v>
      </c>
      <c r="H90" s="105">
        <f t="shared" si="38"/>
        <v>100</v>
      </c>
      <c r="I90" s="110">
        <f t="shared" ref="I90:I99" si="39">H90*12</f>
        <v>1200</v>
      </c>
      <c r="J90" s="105">
        <f t="shared" si="38"/>
        <v>100</v>
      </c>
      <c r="K90" s="110">
        <f t="shared" ref="K90:K99" si="40">J90*12</f>
        <v>1200</v>
      </c>
      <c r="L90" s="105">
        <f t="shared" si="38"/>
        <v>100</v>
      </c>
      <c r="M90" s="110">
        <f t="shared" ref="M90:M99" si="41">L90*12</f>
        <v>1200</v>
      </c>
    </row>
    <row r="91" spans="2:13" x14ac:dyDescent="0.3">
      <c r="B91" t="s">
        <v>56</v>
      </c>
      <c r="C91" s="1">
        <v>2</v>
      </c>
      <c r="D91" s="105">
        <f t="shared" si="38"/>
        <v>100</v>
      </c>
      <c r="E91" s="110">
        <f t="shared" si="36"/>
        <v>1200</v>
      </c>
      <c r="F91" s="105">
        <f t="shared" si="38"/>
        <v>100</v>
      </c>
      <c r="G91" s="110">
        <f t="shared" si="37"/>
        <v>1200</v>
      </c>
      <c r="H91" s="105">
        <f t="shared" si="38"/>
        <v>100</v>
      </c>
      <c r="I91" s="110">
        <f t="shared" si="39"/>
        <v>1200</v>
      </c>
      <c r="J91" s="105">
        <f t="shared" si="38"/>
        <v>100</v>
      </c>
      <c r="K91" s="110">
        <f t="shared" si="40"/>
        <v>1200</v>
      </c>
      <c r="L91" s="105">
        <f t="shared" si="38"/>
        <v>100</v>
      </c>
      <c r="M91" s="110">
        <f t="shared" si="41"/>
        <v>1200</v>
      </c>
    </row>
    <row r="92" spans="2:13" x14ac:dyDescent="0.3">
      <c r="B92" t="s">
        <v>57</v>
      </c>
      <c r="C92" s="1">
        <v>4</v>
      </c>
      <c r="D92" s="105">
        <f t="shared" si="38"/>
        <v>100</v>
      </c>
      <c r="E92" s="110">
        <f t="shared" si="36"/>
        <v>1200</v>
      </c>
      <c r="F92" s="105">
        <f t="shared" si="38"/>
        <v>100</v>
      </c>
      <c r="G92" s="110">
        <f t="shared" si="37"/>
        <v>1200</v>
      </c>
      <c r="H92" s="105">
        <f t="shared" si="38"/>
        <v>100</v>
      </c>
      <c r="I92" s="110">
        <f t="shared" si="39"/>
        <v>1200</v>
      </c>
      <c r="J92" s="105">
        <f t="shared" si="38"/>
        <v>100</v>
      </c>
      <c r="K92" s="110">
        <f t="shared" si="40"/>
        <v>1200</v>
      </c>
      <c r="L92" s="105">
        <f t="shared" si="38"/>
        <v>100</v>
      </c>
      <c r="M92" s="110">
        <f t="shared" si="41"/>
        <v>1200</v>
      </c>
    </row>
    <row r="93" spans="2:13" x14ac:dyDescent="0.3">
      <c r="B93" t="s">
        <v>58</v>
      </c>
      <c r="C93" s="1">
        <v>1</v>
      </c>
      <c r="D93" s="105">
        <f t="shared" si="38"/>
        <v>100</v>
      </c>
      <c r="E93" s="110">
        <f t="shared" si="36"/>
        <v>1200</v>
      </c>
      <c r="F93" s="105">
        <f t="shared" si="38"/>
        <v>100</v>
      </c>
      <c r="G93" s="110">
        <f t="shared" si="37"/>
        <v>1200</v>
      </c>
      <c r="H93" s="105">
        <f t="shared" si="38"/>
        <v>100</v>
      </c>
      <c r="I93" s="110">
        <f t="shared" si="39"/>
        <v>1200</v>
      </c>
      <c r="J93" s="105">
        <f t="shared" si="38"/>
        <v>100</v>
      </c>
      <c r="K93" s="110">
        <f t="shared" si="40"/>
        <v>1200</v>
      </c>
      <c r="L93" s="105">
        <f t="shared" si="38"/>
        <v>100</v>
      </c>
      <c r="M93" s="110">
        <f t="shared" si="41"/>
        <v>1200</v>
      </c>
    </row>
    <row r="94" spans="2:13" x14ac:dyDescent="0.3">
      <c r="B94" t="s">
        <v>59</v>
      </c>
      <c r="C94" s="1">
        <v>1</v>
      </c>
      <c r="D94" s="105">
        <f t="shared" si="38"/>
        <v>100</v>
      </c>
      <c r="E94" s="110">
        <f t="shared" si="36"/>
        <v>1200</v>
      </c>
      <c r="F94" s="105">
        <f t="shared" si="38"/>
        <v>100</v>
      </c>
      <c r="G94" s="110">
        <f t="shared" si="37"/>
        <v>1200</v>
      </c>
      <c r="H94" s="105">
        <f t="shared" si="38"/>
        <v>100</v>
      </c>
      <c r="I94" s="110">
        <f t="shared" si="39"/>
        <v>1200</v>
      </c>
      <c r="J94" s="105">
        <f t="shared" si="38"/>
        <v>100</v>
      </c>
      <c r="K94" s="110">
        <f t="shared" si="40"/>
        <v>1200</v>
      </c>
      <c r="L94" s="105">
        <f t="shared" si="38"/>
        <v>100</v>
      </c>
      <c r="M94" s="110">
        <f t="shared" si="41"/>
        <v>1200</v>
      </c>
    </row>
    <row r="95" spans="2:13" x14ac:dyDescent="0.3">
      <c r="B95" t="s">
        <v>60</v>
      </c>
      <c r="C95" s="1">
        <v>2</v>
      </c>
      <c r="D95" s="105">
        <f t="shared" si="38"/>
        <v>100</v>
      </c>
      <c r="E95" s="110">
        <f t="shared" si="36"/>
        <v>1200</v>
      </c>
      <c r="F95" s="105">
        <f t="shared" si="38"/>
        <v>100</v>
      </c>
      <c r="G95" s="110">
        <f t="shared" si="37"/>
        <v>1200</v>
      </c>
      <c r="H95" s="105">
        <f t="shared" si="38"/>
        <v>100</v>
      </c>
      <c r="I95" s="110">
        <f t="shared" si="39"/>
        <v>1200</v>
      </c>
      <c r="J95" s="105">
        <f t="shared" si="38"/>
        <v>100</v>
      </c>
      <c r="K95" s="110">
        <f t="shared" si="40"/>
        <v>1200</v>
      </c>
      <c r="L95" s="105">
        <f t="shared" si="38"/>
        <v>100</v>
      </c>
      <c r="M95" s="110">
        <f t="shared" si="41"/>
        <v>1200</v>
      </c>
    </row>
    <row r="96" spans="2:13" x14ac:dyDescent="0.3">
      <c r="B96" t="s">
        <v>61</v>
      </c>
      <c r="C96" s="1">
        <v>4</v>
      </c>
      <c r="D96" s="105">
        <f t="shared" si="38"/>
        <v>100</v>
      </c>
      <c r="E96" s="110">
        <f t="shared" si="36"/>
        <v>1200</v>
      </c>
      <c r="F96" s="105">
        <f t="shared" si="38"/>
        <v>100</v>
      </c>
      <c r="G96" s="110">
        <f t="shared" si="37"/>
        <v>1200</v>
      </c>
      <c r="H96" s="105">
        <f t="shared" si="38"/>
        <v>100</v>
      </c>
      <c r="I96" s="110">
        <f t="shared" si="39"/>
        <v>1200</v>
      </c>
      <c r="J96" s="105">
        <f t="shared" si="38"/>
        <v>100</v>
      </c>
      <c r="K96" s="110">
        <f t="shared" si="40"/>
        <v>1200</v>
      </c>
      <c r="L96" s="105">
        <f t="shared" si="38"/>
        <v>100</v>
      </c>
      <c r="M96" s="110">
        <f t="shared" si="41"/>
        <v>1200</v>
      </c>
    </row>
    <row r="97" spans="2:13" x14ac:dyDescent="0.3">
      <c r="B97" t="s">
        <v>62</v>
      </c>
      <c r="C97" s="1">
        <v>2</v>
      </c>
      <c r="D97" s="105">
        <f t="shared" si="38"/>
        <v>100</v>
      </c>
      <c r="E97" s="110">
        <f t="shared" si="36"/>
        <v>1200</v>
      </c>
      <c r="F97" s="105">
        <f t="shared" si="38"/>
        <v>100</v>
      </c>
      <c r="G97" s="110">
        <f t="shared" si="37"/>
        <v>1200</v>
      </c>
      <c r="H97" s="105">
        <f t="shared" si="38"/>
        <v>100</v>
      </c>
      <c r="I97" s="110">
        <f t="shared" si="39"/>
        <v>1200</v>
      </c>
      <c r="J97" s="105">
        <f t="shared" si="38"/>
        <v>100</v>
      </c>
      <c r="K97" s="110">
        <f t="shared" si="40"/>
        <v>1200</v>
      </c>
      <c r="L97" s="105">
        <f t="shared" si="38"/>
        <v>100</v>
      </c>
      <c r="M97" s="110">
        <f t="shared" si="41"/>
        <v>1200</v>
      </c>
    </row>
    <row r="98" spans="2:13" x14ac:dyDescent="0.3">
      <c r="B98" t="s">
        <v>63</v>
      </c>
      <c r="C98" s="1">
        <v>2</v>
      </c>
      <c r="D98" s="105">
        <f t="shared" si="38"/>
        <v>100</v>
      </c>
      <c r="E98" s="110">
        <f t="shared" si="36"/>
        <v>1200</v>
      </c>
      <c r="F98" s="105">
        <f t="shared" si="38"/>
        <v>100</v>
      </c>
      <c r="G98" s="110">
        <f t="shared" si="37"/>
        <v>1200</v>
      </c>
      <c r="H98" s="105">
        <f t="shared" si="38"/>
        <v>100</v>
      </c>
      <c r="I98" s="110">
        <f t="shared" si="39"/>
        <v>1200</v>
      </c>
      <c r="J98" s="105">
        <f t="shared" si="38"/>
        <v>100</v>
      </c>
      <c r="K98" s="110">
        <f t="shared" si="40"/>
        <v>1200</v>
      </c>
      <c r="L98" s="105">
        <f t="shared" si="38"/>
        <v>100</v>
      </c>
      <c r="M98" s="110">
        <f t="shared" si="41"/>
        <v>1200</v>
      </c>
    </row>
    <row r="99" spans="2:13" x14ac:dyDescent="0.3">
      <c r="B99" t="s">
        <v>64</v>
      </c>
      <c r="C99" s="34">
        <v>1</v>
      </c>
      <c r="D99" s="105">
        <f t="shared" si="38"/>
        <v>100</v>
      </c>
      <c r="E99" s="110">
        <f t="shared" si="36"/>
        <v>1200</v>
      </c>
      <c r="F99" s="106">
        <f t="shared" si="38"/>
        <v>100</v>
      </c>
      <c r="G99" s="111">
        <f t="shared" si="37"/>
        <v>1200</v>
      </c>
      <c r="H99" s="106">
        <f t="shared" si="38"/>
        <v>100</v>
      </c>
      <c r="I99" s="111">
        <f t="shared" si="39"/>
        <v>1200</v>
      </c>
      <c r="J99" s="106">
        <f t="shared" si="38"/>
        <v>100</v>
      </c>
      <c r="K99" s="111">
        <f t="shared" si="40"/>
        <v>1200</v>
      </c>
      <c r="L99" s="106">
        <f t="shared" si="38"/>
        <v>100</v>
      </c>
      <c r="M99" s="111">
        <f t="shared" si="41"/>
        <v>1200</v>
      </c>
    </row>
    <row r="100" spans="2:13" ht="15" thickBot="1" x14ac:dyDescent="0.35">
      <c r="B100" s="170" t="s">
        <v>265</v>
      </c>
      <c r="C100" s="170"/>
      <c r="D100" s="170"/>
      <c r="E100" s="97">
        <f>SUM(E89:E99)</f>
        <v>13200</v>
      </c>
      <c r="G100" s="108">
        <f>SUM(G89:G99)</f>
        <v>13200</v>
      </c>
      <c r="I100" s="108">
        <f>SUM(I89:I99)</f>
        <v>13200</v>
      </c>
      <c r="K100" s="108">
        <f>SUM(K89:K99)</f>
        <v>13200</v>
      </c>
      <c r="M100" s="108">
        <f>SUM(M89:M99)</f>
        <v>13200</v>
      </c>
    </row>
    <row r="101" spans="2:13" ht="15" thickTop="1" x14ac:dyDescent="0.3"/>
    <row r="104" spans="2:13" x14ac:dyDescent="0.3">
      <c r="B104" s="8" t="s">
        <v>11</v>
      </c>
      <c r="D104" s="172">
        <v>2024</v>
      </c>
      <c r="E104" s="172"/>
      <c r="F104" s="172">
        <v>2025</v>
      </c>
      <c r="G104" s="172"/>
      <c r="H104" s="172">
        <v>2026</v>
      </c>
      <c r="I104" s="172"/>
      <c r="J104" s="172">
        <v>2027</v>
      </c>
      <c r="K104" s="172"/>
      <c r="L104" s="172">
        <v>2028</v>
      </c>
      <c r="M104" s="172"/>
    </row>
    <row r="105" spans="2:13" ht="28.8" x14ac:dyDescent="0.3">
      <c r="B105" s="84" t="s">
        <v>7</v>
      </c>
      <c r="C105" s="84" t="s">
        <v>8</v>
      </c>
      <c r="D105" s="95" t="s">
        <v>9</v>
      </c>
      <c r="E105" s="95" t="s">
        <v>10</v>
      </c>
      <c r="F105" s="95" t="s">
        <v>9</v>
      </c>
      <c r="G105" s="95" t="s">
        <v>10</v>
      </c>
      <c r="H105" s="95" t="s">
        <v>9</v>
      </c>
      <c r="I105" s="95" t="s">
        <v>10</v>
      </c>
      <c r="J105" s="95" t="s">
        <v>9</v>
      </c>
      <c r="K105" s="95" t="s">
        <v>10</v>
      </c>
      <c r="L105" s="95" t="s">
        <v>9</v>
      </c>
      <c r="M105" s="95" t="s">
        <v>10</v>
      </c>
    </row>
    <row r="106" spans="2:13" x14ac:dyDescent="0.3">
      <c r="B106" t="s">
        <v>16</v>
      </c>
      <c r="C106" s="1">
        <v>1</v>
      </c>
      <c r="D106" s="98">
        <f>((D4/12)*C106)</f>
        <v>3333.3333333333335</v>
      </c>
      <c r="E106" s="109">
        <f t="shared" ref="E106:E116" si="42">D106*12</f>
        <v>40000</v>
      </c>
      <c r="F106" s="98">
        <f>((F22/12))</f>
        <v>3500</v>
      </c>
      <c r="G106" s="109">
        <f t="shared" ref="G106:G116" si="43">F106*12</f>
        <v>42000</v>
      </c>
      <c r="H106" s="98">
        <f>((H22/12))</f>
        <v>3675</v>
      </c>
      <c r="I106" s="109">
        <f>H106*12</f>
        <v>44100</v>
      </c>
      <c r="J106" s="98">
        <f>((J22/12))</f>
        <v>3858.75</v>
      </c>
      <c r="K106" s="109">
        <f>J106*12</f>
        <v>46305</v>
      </c>
      <c r="L106" s="98">
        <f>((L22/12))</f>
        <v>4051.6875</v>
      </c>
      <c r="M106" s="109">
        <f>L106*12</f>
        <v>48620.25</v>
      </c>
    </row>
    <row r="107" spans="2:13" x14ac:dyDescent="0.3">
      <c r="B107" t="s">
        <v>55</v>
      </c>
      <c r="C107" s="1">
        <v>1</v>
      </c>
      <c r="D107" s="101">
        <f>((D5/12)*C107)</f>
        <v>2083.3333333333335</v>
      </c>
      <c r="E107" s="110">
        <f t="shared" si="42"/>
        <v>25000</v>
      </c>
      <c r="F107" s="101">
        <f>((F23/12))</f>
        <v>2187.5</v>
      </c>
      <c r="G107" s="110">
        <f t="shared" si="43"/>
        <v>26250</v>
      </c>
      <c r="H107" s="101">
        <f>((H23/12))</f>
        <v>2296.875</v>
      </c>
      <c r="I107" s="110">
        <f t="shared" ref="I107:I116" si="44">H107*12</f>
        <v>27562.5</v>
      </c>
      <c r="J107" s="101">
        <f>((J23/12))</f>
        <v>2411.71875</v>
      </c>
      <c r="K107" s="110">
        <f t="shared" ref="K107:K116" si="45">J107*12</f>
        <v>28940.625</v>
      </c>
      <c r="L107" s="101">
        <f>((L23/12))</f>
        <v>2532.3046875</v>
      </c>
      <c r="M107" s="110">
        <f t="shared" ref="M107:M116" si="46">L107*12</f>
        <v>30387.65625</v>
      </c>
    </row>
    <row r="108" spans="2:13" x14ac:dyDescent="0.3">
      <c r="B108" t="s">
        <v>56</v>
      </c>
      <c r="C108" s="1">
        <v>2</v>
      </c>
      <c r="D108" s="101">
        <f>((D6/12)*C108)</f>
        <v>2500</v>
      </c>
      <c r="E108" s="110">
        <f t="shared" si="42"/>
        <v>30000</v>
      </c>
      <c r="F108" s="101">
        <f>((F24/12))</f>
        <v>2625</v>
      </c>
      <c r="G108" s="110">
        <f t="shared" si="43"/>
        <v>31500</v>
      </c>
      <c r="H108" s="101">
        <f>((H24/12))</f>
        <v>2756.25</v>
      </c>
      <c r="I108" s="110">
        <f t="shared" si="44"/>
        <v>33075</v>
      </c>
      <c r="J108" s="101">
        <f>((J24/12))</f>
        <v>2894.0625</v>
      </c>
      <c r="K108" s="110">
        <f t="shared" si="45"/>
        <v>34728.75</v>
      </c>
      <c r="L108" s="101">
        <f>((L24/12))</f>
        <v>3038.765625</v>
      </c>
      <c r="M108" s="110">
        <f t="shared" si="46"/>
        <v>36465.1875</v>
      </c>
    </row>
    <row r="109" spans="2:13" x14ac:dyDescent="0.3">
      <c r="B109" t="s">
        <v>57</v>
      </c>
      <c r="C109" s="1">
        <v>4</v>
      </c>
      <c r="D109" s="101">
        <f>((D7/12)*C109)</f>
        <v>4000</v>
      </c>
      <c r="E109" s="110">
        <f t="shared" si="42"/>
        <v>48000</v>
      </c>
      <c r="F109" s="101">
        <f>((F25/12))</f>
        <v>4200</v>
      </c>
      <c r="G109" s="110">
        <f t="shared" si="43"/>
        <v>50400</v>
      </c>
      <c r="H109" s="101">
        <f>((H25/12))</f>
        <v>4410</v>
      </c>
      <c r="I109" s="110">
        <f t="shared" si="44"/>
        <v>52920</v>
      </c>
      <c r="J109" s="101">
        <f>((J25/12))</f>
        <v>4630.5</v>
      </c>
      <c r="K109" s="110">
        <f t="shared" si="45"/>
        <v>55566</v>
      </c>
      <c r="L109" s="101">
        <f>((L25/12))</f>
        <v>4862.0250000000005</v>
      </c>
      <c r="M109" s="110">
        <f t="shared" si="46"/>
        <v>58344.3</v>
      </c>
    </row>
    <row r="110" spans="2:13" x14ac:dyDescent="0.3">
      <c r="B110" t="s">
        <v>58</v>
      </c>
      <c r="C110" s="1">
        <v>1</v>
      </c>
      <c r="D110" s="101">
        <f>((D8/12)*C110)</f>
        <v>1250</v>
      </c>
      <c r="E110" s="110">
        <f t="shared" si="42"/>
        <v>15000</v>
      </c>
      <c r="F110" s="101">
        <f>((F26/12))</f>
        <v>1312.5</v>
      </c>
      <c r="G110" s="110">
        <f t="shared" si="43"/>
        <v>15750</v>
      </c>
      <c r="H110" s="101">
        <f>((H26/12))</f>
        <v>1378.125</v>
      </c>
      <c r="I110" s="110">
        <f t="shared" si="44"/>
        <v>16537.5</v>
      </c>
      <c r="J110" s="101">
        <f>((J26/12))</f>
        <v>1447.03125</v>
      </c>
      <c r="K110" s="110">
        <f t="shared" si="45"/>
        <v>17364.375</v>
      </c>
      <c r="L110" s="101">
        <f>((L26/12))</f>
        <v>1519.3828125</v>
      </c>
      <c r="M110" s="110">
        <f t="shared" si="46"/>
        <v>18232.59375</v>
      </c>
    </row>
    <row r="111" spans="2:13" x14ac:dyDescent="0.3">
      <c r="B111" t="s">
        <v>59</v>
      </c>
      <c r="C111" s="1">
        <v>1</v>
      </c>
      <c r="D111" s="101">
        <f>((D9/12)*C111)</f>
        <v>2500</v>
      </c>
      <c r="E111" s="110">
        <f t="shared" si="42"/>
        <v>30000</v>
      </c>
      <c r="F111" s="101">
        <f>((F27/12))</f>
        <v>2625</v>
      </c>
      <c r="G111" s="110">
        <f t="shared" si="43"/>
        <v>31500</v>
      </c>
      <c r="H111" s="101">
        <f>((H27/12))</f>
        <v>2756.25</v>
      </c>
      <c r="I111" s="110">
        <f t="shared" si="44"/>
        <v>33075</v>
      </c>
      <c r="J111" s="101">
        <f>((J27/12))</f>
        <v>2894.0625</v>
      </c>
      <c r="K111" s="110">
        <f t="shared" si="45"/>
        <v>34728.75</v>
      </c>
      <c r="L111" s="101">
        <f>((L27/12))</f>
        <v>3038.765625</v>
      </c>
      <c r="M111" s="110">
        <f t="shared" si="46"/>
        <v>36465.1875</v>
      </c>
    </row>
    <row r="112" spans="2:13" x14ac:dyDescent="0.3">
      <c r="B112" t="s">
        <v>60</v>
      </c>
      <c r="C112" s="1">
        <v>2</v>
      </c>
      <c r="D112" s="101">
        <f>((D10/12)*C112)</f>
        <v>3000</v>
      </c>
      <c r="E112" s="110">
        <f t="shared" si="42"/>
        <v>36000</v>
      </c>
      <c r="F112" s="101">
        <f>((F28/12))</f>
        <v>3150</v>
      </c>
      <c r="G112" s="110">
        <f t="shared" si="43"/>
        <v>37800</v>
      </c>
      <c r="H112" s="101">
        <f>((H28/12))</f>
        <v>3307.5</v>
      </c>
      <c r="I112" s="110">
        <f t="shared" si="44"/>
        <v>39690</v>
      </c>
      <c r="J112" s="101">
        <f>((J28/12))</f>
        <v>3472.875</v>
      </c>
      <c r="K112" s="110">
        <f t="shared" si="45"/>
        <v>41674.5</v>
      </c>
      <c r="L112" s="101">
        <f>((L28/12))</f>
        <v>3646.5187499999997</v>
      </c>
      <c r="M112" s="110">
        <f t="shared" si="46"/>
        <v>43758.224999999999</v>
      </c>
    </row>
    <row r="113" spans="2:13" x14ac:dyDescent="0.3">
      <c r="B113" t="s">
        <v>61</v>
      </c>
      <c r="C113" s="1">
        <v>4</v>
      </c>
      <c r="D113" s="101">
        <f>((D11/12)*C113)</f>
        <v>3333.3333333333335</v>
      </c>
      <c r="E113" s="110">
        <f t="shared" si="42"/>
        <v>40000</v>
      </c>
      <c r="F113" s="101">
        <f>((F29/12))</f>
        <v>3500</v>
      </c>
      <c r="G113" s="110">
        <f t="shared" si="43"/>
        <v>42000</v>
      </c>
      <c r="H113" s="101">
        <f>((H29/12))</f>
        <v>3675</v>
      </c>
      <c r="I113" s="110">
        <f t="shared" si="44"/>
        <v>44100</v>
      </c>
      <c r="J113" s="101">
        <f>((J29/12))</f>
        <v>3858.75</v>
      </c>
      <c r="K113" s="110">
        <f t="shared" si="45"/>
        <v>46305</v>
      </c>
      <c r="L113" s="101">
        <f>((L29/12))</f>
        <v>4051.6875</v>
      </c>
      <c r="M113" s="110">
        <f t="shared" si="46"/>
        <v>48620.25</v>
      </c>
    </row>
    <row r="114" spans="2:13" x14ac:dyDescent="0.3">
      <c r="B114" t="s">
        <v>62</v>
      </c>
      <c r="C114" s="1">
        <v>2</v>
      </c>
      <c r="D114" s="101">
        <f>((D12/12)*C114)</f>
        <v>2500</v>
      </c>
      <c r="E114" s="110">
        <f t="shared" si="42"/>
        <v>30000</v>
      </c>
      <c r="F114" s="101">
        <f>((F30/12))</f>
        <v>2625</v>
      </c>
      <c r="G114" s="110">
        <f t="shared" si="43"/>
        <v>31500</v>
      </c>
      <c r="H114" s="101">
        <f>((H30/12))</f>
        <v>2756.25</v>
      </c>
      <c r="I114" s="110">
        <f t="shared" si="44"/>
        <v>33075</v>
      </c>
      <c r="J114" s="101">
        <f>((J30/12))</f>
        <v>2894.0625</v>
      </c>
      <c r="K114" s="110">
        <f t="shared" si="45"/>
        <v>34728.75</v>
      </c>
      <c r="L114" s="101">
        <f>((L30/12))</f>
        <v>3038.765625</v>
      </c>
      <c r="M114" s="110">
        <f t="shared" si="46"/>
        <v>36465.1875</v>
      </c>
    </row>
    <row r="115" spans="2:13" x14ac:dyDescent="0.3">
      <c r="B115" t="s">
        <v>63</v>
      </c>
      <c r="C115" s="1">
        <v>2</v>
      </c>
      <c r="D115" s="101">
        <f>((D13/12)*C115)</f>
        <v>2000</v>
      </c>
      <c r="E115" s="110">
        <f t="shared" si="42"/>
        <v>24000</v>
      </c>
      <c r="F115" s="101">
        <f>((F31/12))</f>
        <v>2100</v>
      </c>
      <c r="G115" s="110">
        <f t="shared" si="43"/>
        <v>25200</v>
      </c>
      <c r="H115" s="101">
        <f>((H31/12))</f>
        <v>2205</v>
      </c>
      <c r="I115" s="110">
        <f t="shared" si="44"/>
        <v>26460</v>
      </c>
      <c r="J115" s="101">
        <f>((J31/12))</f>
        <v>2315.25</v>
      </c>
      <c r="K115" s="110">
        <f t="shared" si="45"/>
        <v>27783</v>
      </c>
      <c r="L115" s="101">
        <f>((L31/12))</f>
        <v>2431.0125000000003</v>
      </c>
      <c r="M115" s="110">
        <f t="shared" si="46"/>
        <v>29172.15</v>
      </c>
    </row>
    <row r="116" spans="2:13" x14ac:dyDescent="0.3">
      <c r="B116" t="s">
        <v>64</v>
      </c>
      <c r="C116" s="34">
        <v>1</v>
      </c>
      <c r="D116" s="103">
        <f>((D14/12)*C116)</f>
        <v>1666.6666666666667</v>
      </c>
      <c r="E116" s="111">
        <f t="shared" si="42"/>
        <v>20000</v>
      </c>
      <c r="F116" s="103">
        <f>((F32/12))</f>
        <v>1750</v>
      </c>
      <c r="G116" s="111">
        <f t="shared" si="43"/>
        <v>21000</v>
      </c>
      <c r="H116" s="103">
        <f>((H32/12))</f>
        <v>1837.5</v>
      </c>
      <c r="I116" s="111">
        <f t="shared" si="44"/>
        <v>22050</v>
      </c>
      <c r="J116" s="103">
        <f>((J32/12))</f>
        <v>1929.375</v>
      </c>
      <c r="K116" s="111">
        <f t="shared" si="45"/>
        <v>23152.5</v>
      </c>
      <c r="L116" s="103">
        <f>((L32/12))</f>
        <v>2025.84375</v>
      </c>
      <c r="M116" s="111">
        <f t="shared" si="46"/>
        <v>24310.125</v>
      </c>
    </row>
    <row r="117" spans="2:13" ht="15" thickBot="1" x14ac:dyDescent="0.35">
      <c r="B117" s="169" t="s">
        <v>268</v>
      </c>
      <c r="C117" s="169"/>
      <c r="D117" s="180"/>
      <c r="E117" s="108">
        <f>SUM(E106:E116)</f>
        <v>338000</v>
      </c>
      <c r="G117" s="108">
        <f>SUM(G106:G116)</f>
        <v>354900</v>
      </c>
      <c r="I117" s="108">
        <f>SUM(I106:I116)</f>
        <v>372645</v>
      </c>
      <c r="K117" s="108">
        <f>SUM(K106:K116)</f>
        <v>391277.25</v>
      </c>
      <c r="M117" s="108">
        <f>SUM(M106:M116)</f>
        <v>410841.11249999999</v>
      </c>
    </row>
    <row r="118" spans="2:13" ht="15" thickTop="1" x14ac:dyDescent="0.3"/>
  </sheetData>
  <mergeCells count="40">
    <mergeCell ref="B66:D66"/>
    <mergeCell ref="B15:E15"/>
    <mergeCell ref="G2:J2"/>
    <mergeCell ref="G15:J15"/>
    <mergeCell ref="J20:K20"/>
    <mergeCell ref="B19:G19"/>
    <mergeCell ref="L20:M20"/>
    <mergeCell ref="B33:D33"/>
    <mergeCell ref="D20:E20"/>
    <mergeCell ref="F20:G20"/>
    <mergeCell ref="H20:I20"/>
    <mergeCell ref="L70:M70"/>
    <mergeCell ref="D37:E37"/>
    <mergeCell ref="F37:G37"/>
    <mergeCell ref="H37:I37"/>
    <mergeCell ref="J37:K37"/>
    <mergeCell ref="L37:M37"/>
    <mergeCell ref="B50:D50"/>
    <mergeCell ref="D70:E70"/>
    <mergeCell ref="F70:G70"/>
    <mergeCell ref="H70:I70"/>
    <mergeCell ref="J70:K70"/>
    <mergeCell ref="D53:E53"/>
    <mergeCell ref="F53:G53"/>
    <mergeCell ref="H53:I53"/>
    <mergeCell ref="J53:K53"/>
    <mergeCell ref="L53:M53"/>
    <mergeCell ref="J104:K104"/>
    <mergeCell ref="L104:M104"/>
    <mergeCell ref="B83:D83"/>
    <mergeCell ref="D87:E87"/>
    <mergeCell ref="F87:G87"/>
    <mergeCell ref="H87:I87"/>
    <mergeCell ref="J87:K87"/>
    <mergeCell ref="L87:M87"/>
    <mergeCell ref="B117:D117"/>
    <mergeCell ref="B100:D100"/>
    <mergeCell ref="D104:E104"/>
    <mergeCell ref="F104:G104"/>
    <mergeCell ref="H104:I10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89C2-0512-498D-A13B-5C684C94349C}">
  <sheetPr>
    <tabColor theme="8" tint="-0.499984740745262"/>
  </sheetPr>
  <dimension ref="A1:J136"/>
  <sheetViews>
    <sheetView topLeftCell="A110" zoomScale="85" zoomScaleNormal="85" workbookViewId="0">
      <selection activeCell="H64" sqref="H64"/>
    </sheetView>
  </sheetViews>
  <sheetFormatPr defaultRowHeight="14.4" x14ac:dyDescent="0.3"/>
  <cols>
    <col min="2" max="2" width="29.5546875" customWidth="1"/>
    <col min="3" max="3" width="18.33203125" customWidth="1"/>
    <col min="4" max="4" width="15.44140625" customWidth="1"/>
    <col min="5" max="5" width="13.33203125" customWidth="1"/>
    <col min="6" max="6" width="12.5546875" customWidth="1"/>
    <col min="7" max="7" width="12.88671875" customWidth="1"/>
    <col min="8" max="8" width="11.21875" customWidth="1"/>
    <col min="10" max="10" width="10.44140625" bestFit="1" customWidth="1"/>
  </cols>
  <sheetData>
    <row r="1" spans="2:5" x14ac:dyDescent="0.3">
      <c r="B1" s="8" t="s">
        <v>65</v>
      </c>
      <c r="C1" s="8"/>
    </row>
    <row r="3" spans="2:5" x14ac:dyDescent="0.3">
      <c r="B3" s="81" t="s">
        <v>54</v>
      </c>
      <c r="C3" s="81" t="s">
        <v>21</v>
      </c>
      <c r="D3" s="81" t="s">
        <v>22</v>
      </c>
      <c r="E3" s="81" t="s">
        <v>23</v>
      </c>
    </row>
    <row r="4" spans="2:5" x14ac:dyDescent="0.3">
      <c r="B4" s="8" t="s">
        <v>82</v>
      </c>
    </row>
    <row r="5" spans="2:5" x14ac:dyDescent="0.3">
      <c r="B5" s="138" t="s">
        <v>491</v>
      </c>
      <c r="C5" s="1">
        <v>500</v>
      </c>
      <c r="D5" s="19">
        <v>329</v>
      </c>
      <c r="E5" s="30">
        <f t="shared" ref="E5:E9" si="0">C5*D5</f>
        <v>164500</v>
      </c>
    </row>
    <row r="6" spans="2:5" x14ac:dyDescent="0.3">
      <c r="B6" s="138" t="s">
        <v>492</v>
      </c>
      <c r="C6" s="1">
        <v>500</v>
      </c>
      <c r="D6" s="19">
        <v>399</v>
      </c>
      <c r="E6" s="30">
        <f t="shared" si="0"/>
        <v>199500</v>
      </c>
    </row>
    <row r="7" spans="2:5" x14ac:dyDescent="0.3">
      <c r="B7" s="21" t="s">
        <v>83</v>
      </c>
      <c r="C7" s="1">
        <v>300</v>
      </c>
      <c r="D7" s="19">
        <v>699</v>
      </c>
      <c r="E7" s="30">
        <f t="shared" si="0"/>
        <v>209700</v>
      </c>
    </row>
    <row r="8" spans="2:5" x14ac:dyDescent="0.3">
      <c r="B8" s="21" t="s">
        <v>493</v>
      </c>
      <c r="C8" s="1">
        <v>30</v>
      </c>
      <c r="D8" s="19">
        <v>56.33</v>
      </c>
      <c r="E8" s="30">
        <f t="shared" si="0"/>
        <v>1689.8999999999999</v>
      </c>
    </row>
    <row r="9" spans="2:5" x14ac:dyDescent="0.3">
      <c r="B9" s="21" t="s">
        <v>469</v>
      </c>
      <c r="C9" s="1">
        <v>30</v>
      </c>
      <c r="D9" s="19">
        <f>350*4</f>
        <v>1400</v>
      </c>
      <c r="E9" s="30">
        <f t="shared" si="0"/>
        <v>42000</v>
      </c>
    </row>
    <row r="10" spans="2:5" x14ac:dyDescent="0.3">
      <c r="B10" s="21" t="s">
        <v>494</v>
      </c>
      <c r="C10" s="1">
        <v>50</v>
      </c>
      <c r="D10" s="19">
        <v>400</v>
      </c>
      <c r="E10" s="30">
        <f>C10*D10</f>
        <v>20000</v>
      </c>
    </row>
    <row r="11" spans="2:5" x14ac:dyDescent="0.3">
      <c r="B11" s="21" t="s">
        <v>495</v>
      </c>
      <c r="C11" s="1">
        <v>50</v>
      </c>
      <c r="D11" s="19">
        <v>224</v>
      </c>
      <c r="E11" s="30">
        <f>C11*D11</f>
        <v>11200</v>
      </c>
    </row>
    <row r="12" spans="2:5" x14ac:dyDescent="0.3">
      <c r="B12" s="21" t="s">
        <v>496</v>
      </c>
      <c r="C12" s="1">
        <v>200</v>
      </c>
      <c r="D12" s="19">
        <v>16</v>
      </c>
      <c r="E12" s="30">
        <f>C12*D12</f>
        <v>3200</v>
      </c>
    </row>
    <row r="13" spans="2:5" x14ac:dyDescent="0.3">
      <c r="B13" s="21" t="s">
        <v>470</v>
      </c>
      <c r="C13" s="1">
        <v>20</v>
      </c>
      <c r="D13" s="19">
        <v>990</v>
      </c>
      <c r="E13" s="30">
        <f>D13*5</f>
        <v>4950</v>
      </c>
    </row>
    <row r="14" spans="2:5" x14ac:dyDescent="0.3">
      <c r="B14" s="21" t="s">
        <v>497</v>
      </c>
      <c r="C14" s="1">
        <v>30</v>
      </c>
      <c r="D14" s="19">
        <v>149</v>
      </c>
      <c r="E14" s="30">
        <f>D14*C14</f>
        <v>4470</v>
      </c>
    </row>
    <row r="15" spans="2:5" x14ac:dyDescent="0.3">
      <c r="B15" s="21" t="s">
        <v>498</v>
      </c>
      <c r="C15" s="1">
        <v>50</v>
      </c>
      <c r="D15" s="19">
        <v>403.01</v>
      </c>
      <c r="E15" s="30">
        <f>D15*C15</f>
        <v>20150.5</v>
      </c>
    </row>
    <row r="16" spans="2:5" x14ac:dyDescent="0.3">
      <c r="B16" s="21" t="s">
        <v>499</v>
      </c>
      <c r="C16" s="1">
        <v>600</v>
      </c>
      <c r="D16" s="19">
        <v>10</v>
      </c>
      <c r="E16" s="30">
        <f>D16*C16</f>
        <v>6000</v>
      </c>
    </row>
    <row r="17" spans="2:5" x14ac:dyDescent="0.3">
      <c r="B17" s="21" t="s">
        <v>500</v>
      </c>
      <c r="C17" s="1">
        <v>500</v>
      </c>
      <c r="D17" s="19">
        <v>375.19</v>
      </c>
      <c r="E17" s="30">
        <f>D17*C17</f>
        <v>187595</v>
      </c>
    </row>
    <row r="18" spans="2:5" x14ac:dyDescent="0.3">
      <c r="B18" s="21" t="s">
        <v>501</v>
      </c>
      <c r="C18" s="140">
        <v>1200</v>
      </c>
      <c r="D18" s="19">
        <f>265/12</f>
        <v>22.083333333333332</v>
      </c>
      <c r="E18" s="30">
        <f>D18*C18</f>
        <v>26500</v>
      </c>
    </row>
    <row r="19" spans="2:5" x14ac:dyDescent="0.3">
      <c r="B19" s="8" t="s">
        <v>92</v>
      </c>
    </row>
    <row r="20" spans="2:5" x14ac:dyDescent="0.3">
      <c r="B20" s="21" t="s">
        <v>471</v>
      </c>
      <c r="C20" s="1">
        <v>2</v>
      </c>
      <c r="D20" s="19">
        <v>1990</v>
      </c>
      <c r="E20" s="30">
        <f t="shared" ref="E20:E24" si="1">C20*D20</f>
        <v>3980</v>
      </c>
    </row>
    <row r="21" spans="2:5" x14ac:dyDescent="0.3">
      <c r="B21" s="21" t="s">
        <v>478</v>
      </c>
      <c r="C21" s="1">
        <v>12</v>
      </c>
      <c r="D21" s="19">
        <v>6898.2</v>
      </c>
      <c r="E21" s="30">
        <f t="shared" si="1"/>
        <v>82778.399999999994</v>
      </c>
    </row>
    <row r="22" spans="2:5" ht="28.8" x14ac:dyDescent="0.3">
      <c r="B22" s="39" t="s">
        <v>472</v>
      </c>
      <c r="C22" s="1">
        <v>12</v>
      </c>
      <c r="D22" s="19">
        <f>1799</f>
        <v>1799</v>
      </c>
      <c r="E22" s="30">
        <f>2*D22</f>
        <v>3598</v>
      </c>
    </row>
    <row r="23" spans="2:5" ht="28.8" x14ac:dyDescent="0.3">
      <c r="B23" s="138" t="s">
        <v>473</v>
      </c>
      <c r="C23" s="1">
        <v>12</v>
      </c>
      <c r="D23" s="19">
        <f>1500</f>
        <v>1500</v>
      </c>
      <c r="E23" s="30">
        <f>2*D23</f>
        <v>3000</v>
      </c>
    </row>
    <row r="24" spans="2:5" x14ac:dyDescent="0.3">
      <c r="B24" s="21" t="s">
        <v>474</v>
      </c>
      <c r="C24" s="1">
        <v>2</v>
      </c>
      <c r="D24" s="19">
        <v>400</v>
      </c>
      <c r="E24" s="30">
        <f t="shared" si="1"/>
        <v>800</v>
      </c>
    </row>
    <row r="25" spans="2:5" ht="28.8" x14ac:dyDescent="0.3">
      <c r="B25" s="138" t="s">
        <v>475</v>
      </c>
      <c r="C25" s="1">
        <v>8</v>
      </c>
      <c r="D25" s="19">
        <v>800</v>
      </c>
      <c r="E25" s="30">
        <f>D25*2</f>
        <v>1600</v>
      </c>
    </row>
    <row r="26" spans="2:5" x14ac:dyDescent="0.3">
      <c r="B26" s="138" t="s">
        <v>476</v>
      </c>
      <c r="C26" s="1">
        <v>2</v>
      </c>
      <c r="D26" s="19">
        <f>400+350</f>
        <v>750</v>
      </c>
      <c r="E26" s="30">
        <f>D26*2</f>
        <v>1500</v>
      </c>
    </row>
    <row r="27" spans="2:5" ht="28.8" x14ac:dyDescent="0.3">
      <c r="B27" s="138" t="s">
        <v>477</v>
      </c>
      <c r="C27" s="1">
        <v>2</v>
      </c>
      <c r="D27" s="19">
        <v>700</v>
      </c>
      <c r="E27" s="30">
        <f>D27*2</f>
        <v>1400</v>
      </c>
    </row>
    <row r="28" spans="2:5" x14ac:dyDescent="0.3">
      <c r="B28" s="21" t="s">
        <v>479</v>
      </c>
      <c r="C28" s="1">
        <v>3</v>
      </c>
      <c r="D28" s="12">
        <v>2078.34</v>
      </c>
      <c r="E28" s="30">
        <f>D28*C28</f>
        <v>6235.02</v>
      </c>
    </row>
    <row r="29" spans="2:5" x14ac:dyDescent="0.3">
      <c r="B29" s="21" t="s">
        <v>480</v>
      </c>
      <c r="C29" s="1">
        <v>3</v>
      </c>
      <c r="D29" s="19">
        <v>7798.56</v>
      </c>
      <c r="E29" s="30">
        <f>C29*D29</f>
        <v>23395.68</v>
      </c>
    </row>
    <row r="30" spans="2:5" x14ac:dyDescent="0.3">
      <c r="B30" s="21" t="s">
        <v>481</v>
      </c>
      <c r="C30" s="1">
        <v>3</v>
      </c>
      <c r="D30" s="19">
        <v>3985.08</v>
      </c>
      <c r="E30" s="30">
        <f>C30*D30</f>
        <v>11955.24</v>
      </c>
    </row>
    <row r="31" spans="2:5" x14ac:dyDescent="0.3">
      <c r="B31" s="21" t="s">
        <v>482</v>
      </c>
      <c r="C31" s="1">
        <v>3</v>
      </c>
      <c r="D31" s="19">
        <v>2078.34</v>
      </c>
      <c r="E31" s="30">
        <f>C31*D31</f>
        <v>6235.02</v>
      </c>
    </row>
    <row r="32" spans="2:5" x14ac:dyDescent="0.3">
      <c r="B32" s="21" t="s">
        <v>483</v>
      </c>
      <c r="C32" s="1">
        <v>5</v>
      </c>
      <c r="D32" s="19">
        <v>4824.6499999999996</v>
      </c>
      <c r="E32" s="30">
        <f>'SUPPLIES EXPENSE'!C32*D32</f>
        <v>24123.25</v>
      </c>
    </row>
    <row r="33" spans="2:5" x14ac:dyDescent="0.3">
      <c r="B33" s="21" t="s">
        <v>484</v>
      </c>
      <c r="C33" s="1">
        <v>3</v>
      </c>
      <c r="D33" s="19">
        <v>2370</v>
      </c>
      <c r="E33" s="30">
        <f>'SUPPLIES EXPENSE'!C33*D33</f>
        <v>7110</v>
      </c>
    </row>
    <row r="34" spans="2:5" x14ac:dyDescent="0.3">
      <c r="B34" s="21" t="s">
        <v>485</v>
      </c>
      <c r="C34" s="1">
        <v>3</v>
      </c>
      <c r="D34" s="19">
        <v>510</v>
      </c>
      <c r="E34" s="30">
        <f>'SUPPLIES EXPENSE'!C34*D34</f>
        <v>1530</v>
      </c>
    </row>
    <row r="35" spans="2:5" x14ac:dyDescent="0.3">
      <c r="B35" s="21" t="s">
        <v>486</v>
      </c>
      <c r="C35" s="1">
        <v>3</v>
      </c>
      <c r="D35" s="19">
        <v>5371.17</v>
      </c>
      <c r="E35" s="30">
        <f>'SUPPLIES EXPENSE'!C35*D35</f>
        <v>16113.51</v>
      </c>
    </row>
    <row r="36" spans="2:5" x14ac:dyDescent="0.3">
      <c r="B36" s="21" t="s">
        <v>487</v>
      </c>
      <c r="C36" s="1">
        <v>2</v>
      </c>
      <c r="D36" s="19">
        <v>400</v>
      </c>
      <c r="E36" s="30">
        <f>'SUPPLIES EXPENSE'!C36*D36</f>
        <v>800</v>
      </c>
    </row>
    <row r="37" spans="2:5" x14ac:dyDescent="0.3">
      <c r="B37" s="21" t="s">
        <v>488</v>
      </c>
      <c r="C37" s="1">
        <v>3</v>
      </c>
      <c r="D37" s="19">
        <v>1905.84</v>
      </c>
      <c r="E37" s="30">
        <f>'SUPPLIES EXPENSE'!C37*D37</f>
        <v>5717.5199999999995</v>
      </c>
    </row>
    <row r="38" spans="2:5" x14ac:dyDescent="0.3">
      <c r="B38" s="21" t="s">
        <v>489</v>
      </c>
      <c r="C38" s="1">
        <v>3</v>
      </c>
      <c r="D38" s="19">
        <v>420</v>
      </c>
      <c r="E38" s="30">
        <f>'SUPPLIES EXPENSE'!C38*D38</f>
        <v>1260</v>
      </c>
    </row>
    <row r="39" spans="2:5" x14ac:dyDescent="0.3">
      <c r="B39" s="21" t="s">
        <v>511</v>
      </c>
      <c r="C39" s="1">
        <v>10</v>
      </c>
      <c r="D39" s="19">
        <f>E39/C39</f>
        <v>346.78000000000003</v>
      </c>
      <c r="E39" s="30">
        <v>3467.8</v>
      </c>
    </row>
    <row r="40" spans="2:5" x14ac:dyDescent="0.3">
      <c r="B40" s="21" t="s">
        <v>490</v>
      </c>
      <c r="C40" s="1">
        <v>3</v>
      </c>
      <c r="D40" s="141">
        <v>189</v>
      </c>
      <c r="E40" s="30">
        <f>'SUPPLIES EXPENSE'!C40*D40</f>
        <v>567</v>
      </c>
    </row>
    <row r="41" spans="2:5" x14ac:dyDescent="0.3">
      <c r="B41" s="8" t="s">
        <v>519</v>
      </c>
    </row>
    <row r="42" spans="2:5" x14ac:dyDescent="0.3">
      <c r="B42" s="21" t="s">
        <v>514</v>
      </c>
      <c r="C42" s="1">
        <v>4</v>
      </c>
      <c r="D42" s="19">
        <v>2064</v>
      </c>
      <c r="E42" s="30">
        <f>C42*D42</f>
        <v>8256</v>
      </c>
    </row>
    <row r="43" spans="2:5" x14ac:dyDescent="0.3">
      <c r="B43" s="21" t="s">
        <v>515</v>
      </c>
      <c r="C43" s="1">
        <v>2</v>
      </c>
      <c r="D43" s="19">
        <v>3698</v>
      </c>
      <c r="E43" s="30">
        <f>D43*C43</f>
        <v>7396</v>
      </c>
    </row>
    <row r="44" spans="2:5" x14ac:dyDescent="0.3">
      <c r="B44" s="21" t="s">
        <v>516</v>
      </c>
      <c r="C44" s="1">
        <v>3</v>
      </c>
      <c r="D44" s="19">
        <v>1248</v>
      </c>
      <c r="E44" s="30">
        <f>D44*C44</f>
        <v>3744</v>
      </c>
    </row>
    <row r="45" spans="2:5" x14ac:dyDescent="0.3">
      <c r="B45" s="21" t="s">
        <v>517</v>
      </c>
      <c r="C45" s="1">
        <v>1</v>
      </c>
      <c r="D45" s="19">
        <v>4680</v>
      </c>
      <c r="E45" s="30">
        <f>D45*C45</f>
        <v>4680</v>
      </c>
    </row>
    <row r="46" spans="2:5" x14ac:dyDescent="0.3">
      <c r="B46" s="21" t="s">
        <v>518</v>
      </c>
      <c r="C46" s="1">
        <v>3</v>
      </c>
      <c r="D46" s="19">
        <f>E46/C46</f>
        <v>575.13</v>
      </c>
      <c r="E46" s="30">
        <v>1725.39</v>
      </c>
    </row>
    <row r="47" spans="2:5" x14ac:dyDescent="0.3">
      <c r="B47" s="21" t="s">
        <v>520</v>
      </c>
      <c r="C47" s="1">
        <v>3</v>
      </c>
      <c r="D47" s="19">
        <f>E47/C47</f>
        <v>397</v>
      </c>
      <c r="E47" s="30">
        <v>1191</v>
      </c>
    </row>
    <row r="48" spans="2:5" x14ac:dyDescent="0.3">
      <c r="B48" s="21" t="s">
        <v>521</v>
      </c>
      <c r="C48" s="1">
        <v>3</v>
      </c>
      <c r="D48" s="141">
        <v>567</v>
      </c>
      <c r="E48" s="30">
        <f>D48*C48</f>
        <v>1701</v>
      </c>
    </row>
    <row r="49" spans="2:5" x14ac:dyDescent="0.3">
      <c r="B49" s="25" t="s">
        <v>522</v>
      </c>
      <c r="C49" s="1"/>
      <c r="D49" s="141"/>
      <c r="E49" s="30"/>
    </row>
    <row r="50" spans="2:5" x14ac:dyDescent="0.3">
      <c r="B50" s="21" t="s">
        <v>523</v>
      </c>
      <c r="C50" s="1">
        <v>300</v>
      </c>
      <c r="D50" s="141">
        <f>E50/C50</f>
        <v>44</v>
      </c>
      <c r="E50" s="30">
        <v>13200</v>
      </c>
    </row>
    <row r="51" spans="2:5" x14ac:dyDescent="0.3">
      <c r="B51" s="21" t="s">
        <v>524</v>
      </c>
      <c r="C51" s="1">
        <v>500</v>
      </c>
      <c r="D51" s="141">
        <f>E51/C51</f>
        <v>4.66</v>
      </c>
      <c r="E51" s="30">
        <v>2330</v>
      </c>
    </row>
    <row r="52" spans="2:5" x14ac:dyDescent="0.3">
      <c r="B52" s="21" t="s">
        <v>525</v>
      </c>
      <c r="C52" s="1">
        <v>300</v>
      </c>
      <c r="D52" s="141">
        <f>E52/C52</f>
        <v>7.4</v>
      </c>
      <c r="E52" s="30">
        <v>2220</v>
      </c>
    </row>
    <row r="53" spans="2:5" x14ac:dyDescent="0.3">
      <c r="B53" s="21" t="s">
        <v>526</v>
      </c>
      <c r="C53" s="1">
        <v>500</v>
      </c>
      <c r="D53" s="141">
        <f>E53/C53</f>
        <v>3.2250000000000001</v>
      </c>
      <c r="E53" s="30">
        <v>1612.5</v>
      </c>
    </row>
    <row r="54" spans="2:5" x14ac:dyDescent="0.3">
      <c r="B54" s="21" t="s">
        <v>527</v>
      </c>
      <c r="C54" s="1">
        <v>500</v>
      </c>
      <c r="D54" s="141">
        <f>E54/C54</f>
        <v>89.5</v>
      </c>
      <c r="E54" s="30">
        <v>44750</v>
      </c>
    </row>
    <row r="55" spans="2:5" x14ac:dyDescent="0.3">
      <c r="B55" s="21" t="s">
        <v>528</v>
      </c>
      <c r="C55" s="1">
        <v>10</v>
      </c>
      <c r="D55" s="141">
        <v>385</v>
      </c>
      <c r="E55" s="30">
        <f>D55*C55</f>
        <v>3850</v>
      </c>
    </row>
    <row r="56" spans="2:5" x14ac:dyDescent="0.3">
      <c r="B56" s="21" t="s">
        <v>530</v>
      </c>
      <c r="C56" s="1">
        <v>500</v>
      </c>
      <c r="D56" s="141">
        <f t="shared" ref="D56:D64" si="2">E56/C56</f>
        <v>0.94</v>
      </c>
      <c r="E56" s="30">
        <v>470</v>
      </c>
    </row>
    <row r="57" spans="2:5" x14ac:dyDescent="0.3">
      <c r="B57" s="21" t="s">
        <v>529</v>
      </c>
      <c r="C57" s="1">
        <v>20</v>
      </c>
      <c r="D57" s="141">
        <f t="shared" si="2"/>
        <v>63</v>
      </c>
      <c r="E57" s="30">
        <v>1260</v>
      </c>
    </row>
    <row r="58" spans="2:5" x14ac:dyDescent="0.3">
      <c r="B58" s="21" t="s">
        <v>531</v>
      </c>
      <c r="C58" s="1">
        <v>10</v>
      </c>
      <c r="D58" s="141">
        <f t="shared" si="2"/>
        <v>315</v>
      </c>
      <c r="E58" s="30">
        <v>3150</v>
      </c>
    </row>
    <row r="59" spans="2:5" x14ac:dyDescent="0.3">
      <c r="B59" s="21" t="s">
        <v>532</v>
      </c>
      <c r="C59" s="1">
        <v>1000</v>
      </c>
      <c r="D59" s="141">
        <f t="shared" si="2"/>
        <v>0.74</v>
      </c>
      <c r="E59" s="30">
        <v>740</v>
      </c>
    </row>
    <row r="60" spans="2:5" x14ac:dyDescent="0.3">
      <c r="B60" s="21" t="s">
        <v>533</v>
      </c>
      <c r="C60" s="1">
        <v>500</v>
      </c>
      <c r="D60" s="141">
        <f t="shared" si="2"/>
        <v>10</v>
      </c>
      <c r="E60" s="30">
        <v>5000</v>
      </c>
    </row>
    <row r="61" spans="2:5" x14ac:dyDescent="0.3">
      <c r="B61" s="21" t="s">
        <v>534</v>
      </c>
      <c r="C61" s="1">
        <v>500</v>
      </c>
      <c r="D61" s="141">
        <f t="shared" si="2"/>
        <v>7.74</v>
      </c>
      <c r="E61" s="30">
        <v>3870</v>
      </c>
    </row>
    <row r="62" spans="2:5" x14ac:dyDescent="0.3">
      <c r="B62" s="21" t="s">
        <v>535</v>
      </c>
      <c r="C62" s="1">
        <v>1000</v>
      </c>
      <c r="D62" s="141">
        <f t="shared" si="2"/>
        <v>2.9</v>
      </c>
      <c r="E62" s="30">
        <v>2900</v>
      </c>
    </row>
    <row r="63" spans="2:5" x14ac:dyDescent="0.3">
      <c r="B63" s="21" t="s">
        <v>536</v>
      </c>
      <c r="C63" s="1">
        <v>1</v>
      </c>
      <c r="D63" s="147">
        <f t="shared" si="2"/>
        <v>0</v>
      </c>
      <c r="E63" s="148"/>
    </row>
    <row r="64" spans="2:5" x14ac:dyDescent="0.3">
      <c r="B64" s="21" t="s">
        <v>537</v>
      </c>
      <c r="C64" s="1">
        <v>1</v>
      </c>
      <c r="D64" s="147">
        <f t="shared" si="2"/>
        <v>0</v>
      </c>
      <c r="E64" s="149"/>
    </row>
    <row r="65" spans="1:9" ht="15" thickBot="1" x14ac:dyDescent="0.35">
      <c r="B65" s="169" t="s">
        <v>435</v>
      </c>
      <c r="C65" s="169"/>
      <c r="D65" s="169"/>
      <c r="E65" s="82">
        <f>SUM(E4:E64)</f>
        <v>1222667.7300000002</v>
      </c>
    </row>
    <row r="66" spans="1:9" ht="15" thickTop="1" x14ac:dyDescent="0.3">
      <c r="E66" s="30"/>
    </row>
    <row r="70" spans="1:9" x14ac:dyDescent="0.3">
      <c r="B70" s="8" t="s">
        <v>270</v>
      </c>
      <c r="C70" s="14"/>
    </row>
    <row r="71" spans="1:9" x14ac:dyDescent="0.3">
      <c r="B71" s="81" t="s">
        <v>274</v>
      </c>
      <c r="C71" s="96" t="s">
        <v>271</v>
      </c>
      <c r="D71" s="81" t="s">
        <v>272</v>
      </c>
      <c r="E71" s="81">
        <v>2024</v>
      </c>
      <c r="F71" s="81">
        <v>2025</v>
      </c>
      <c r="G71" s="81">
        <v>2026</v>
      </c>
      <c r="H71" s="81">
        <v>2027</v>
      </c>
      <c r="I71" s="81">
        <v>2028</v>
      </c>
    </row>
    <row r="72" spans="1:9" x14ac:dyDescent="0.3">
      <c r="B72" s="18" t="s">
        <v>157</v>
      </c>
      <c r="C72" s="19">
        <v>10000</v>
      </c>
      <c r="D72" s="1">
        <v>12</v>
      </c>
      <c r="E72" s="48">
        <f t="shared" ref="E72:E77" si="3">C72*D72</f>
        <v>120000</v>
      </c>
      <c r="F72" s="48">
        <f>E72*1.03</f>
        <v>123600</v>
      </c>
      <c r="G72" s="48">
        <f>F72*1.03</f>
        <v>127308</v>
      </c>
      <c r="H72" s="48">
        <f>G72*1.03</f>
        <v>131127.24</v>
      </c>
      <c r="I72" s="48">
        <f>H72*1.03</f>
        <v>135061.05719999998</v>
      </c>
    </row>
    <row r="73" spans="1:9" x14ac:dyDescent="0.3">
      <c r="A73" s="8" t="s">
        <v>432</v>
      </c>
      <c r="B73" s="18" t="s">
        <v>158</v>
      </c>
      <c r="C73" s="19">
        <v>1000</v>
      </c>
      <c r="D73" s="1">
        <v>12</v>
      </c>
      <c r="E73" s="48">
        <f t="shared" si="3"/>
        <v>12000</v>
      </c>
      <c r="F73" s="48">
        <f t="shared" ref="F73:I77" si="4">E73*1.03</f>
        <v>12360</v>
      </c>
      <c r="G73" s="48">
        <f t="shared" si="4"/>
        <v>12730.800000000001</v>
      </c>
      <c r="H73" s="48">
        <f t="shared" si="4"/>
        <v>13112.724000000002</v>
      </c>
      <c r="I73" s="48">
        <f t="shared" si="4"/>
        <v>13506.105720000003</v>
      </c>
    </row>
    <row r="74" spans="1:9" x14ac:dyDescent="0.3">
      <c r="B74" s="18" t="s">
        <v>159</v>
      </c>
      <c r="C74" s="19">
        <v>4000</v>
      </c>
      <c r="D74" s="1">
        <v>12</v>
      </c>
      <c r="E74" s="48">
        <f t="shared" si="3"/>
        <v>48000</v>
      </c>
      <c r="F74" s="48">
        <f t="shared" si="4"/>
        <v>49440</v>
      </c>
      <c r="G74" s="48">
        <f t="shared" si="4"/>
        <v>50923.200000000004</v>
      </c>
      <c r="H74" s="48">
        <f t="shared" si="4"/>
        <v>52450.896000000008</v>
      </c>
      <c r="I74" s="48">
        <f t="shared" si="4"/>
        <v>54024.422880000013</v>
      </c>
    </row>
    <row r="75" spans="1:9" x14ac:dyDescent="0.3">
      <c r="B75" s="18" t="s">
        <v>269</v>
      </c>
      <c r="C75" s="19">
        <v>4000</v>
      </c>
      <c r="D75" s="1">
        <v>12</v>
      </c>
      <c r="E75" s="48">
        <f t="shared" si="3"/>
        <v>48000</v>
      </c>
      <c r="F75" s="48">
        <f t="shared" si="4"/>
        <v>49440</v>
      </c>
      <c r="G75" s="48">
        <f t="shared" si="4"/>
        <v>50923.200000000004</v>
      </c>
      <c r="H75" s="48">
        <f t="shared" si="4"/>
        <v>52450.896000000008</v>
      </c>
      <c r="I75" s="48">
        <f t="shared" si="4"/>
        <v>54024.422880000013</v>
      </c>
    </row>
    <row r="76" spans="1:9" x14ac:dyDescent="0.3">
      <c r="B76" s="18" t="s">
        <v>160</v>
      </c>
      <c r="C76" s="19">
        <v>2000</v>
      </c>
      <c r="D76" s="1">
        <v>12</v>
      </c>
      <c r="E76" s="48">
        <f t="shared" si="3"/>
        <v>24000</v>
      </c>
      <c r="F76" s="48">
        <f t="shared" si="4"/>
        <v>24720</v>
      </c>
      <c r="G76" s="48">
        <f t="shared" si="4"/>
        <v>25461.600000000002</v>
      </c>
      <c r="H76" s="48">
        <f t="shared" si="4"/>
        <v>26225.448000000004</v>
      </c>
      <c r="I76" s="48">
        <f t="shared" si="4"/>
        <v>27012.211440000006</v>
      </c>
    </row>
    <row r="77" spans="1:9" x14ac:dyDescent="0.3">
      <c r="B77" s="28" t="s">
        <v>161</v>
      </c>
      <c r="C77" s="35">
        <v>1500</v>
      </c>
      <c r="D77" s="34">
        <v>12</v>
      </c>
      <c r="E77" s="50">
        <f t="shared" si="3"/>
        <v>18000</v>
      </c>
      <c r="F77" s="50">
        <f t="shared" si="4"/>
        <v>18540</v>
      </c>
      <c r="G77" s="50">
        <f t="shared" si="4"/>
        <v>19096.2</v>
      </c>
      <c r="H77" s="50">
        <f t="shared" si="4"/>
        <v>19669.086000000003</v>
      </c>
      <c r="I77" s="50">
        <f t="shared" si="4"/>
        <v>20259.158580000003</v>
      </c>
    </row>
    <row r="78" spans="1:9" ht="15" thickBot="1" x14ac:dyDescent="0.35">
      <c r="B78" s="164" t="s">
        <v>5</v>
      </c>
      <c r="C78" s="164"/>
      <c r="D78" s="164"/>
      <c r="E78" s="82">
        <f>SUM(E72:E77)</f>
        <v>270000</v>
      </c>
      <c r="F78" s="82">
        <f>SUM(F72:F77)</f>
        <v>278100</v>
      </c>
      <c r="G78" s="82">
        <f>SUM(G72:G77)</f>
        <v>286443</v>
      </c>
      <c r="H78" s="82">
        <f>SUM(H72:H77)</f>
        <v>295036.29000000004</v>
      </c>
      <c r="I78" s="82">
        <f>SUM(I72:I77)</f>
        <v>303887.3787</v>
      </c>
    </row>
    <row r="79" spans="1:9" ht="15" thickTop="1" x14ac:dyDescent="0.3">
      <c r="B79" s="49" t="s">
        <v>273</v>
      </c>
    </row>
    <row r="81" spans="1:9" x14ac:dyDescent="0.3">
      <c r="B81" s="8" t="s">
        <v>275</v>
      </c>
      <c r="C81" s="14"/>
    </row>
    <row r="82" spans="1:9" x14ac:dyDescent="0.3">
      <c r="B82" s="81" t="s">
        <v>276</v>
      </c>
      <c r="C82" s="96" t="s">
        <v>271</v>
      </c>
      <c r="D82" s="81" t="s">
        <v>272</v>
      </c>
      <c r="E82" s="81">
        <v>2024</v>
      </c>
      <c r="F82" s="81">
        <v>2025</v>
      </c>
      <c r="G82" s="81">
        <v>2026</v>
      </c>
      <c r="H82" s="81">
        <v>2027</v>
      </c>
      <c r="I82" s="81">
        <v>2028</v>
      </c>
    </row>
    <row r="83" spans="1:9" x14ac:dyDescent="0.3">
      <c r="A83" s="8" t="s">
        <v>426</v>
      </c>
      <c r="B83" s="51" t="s">
        <v>277</v>
      </c>
      <c r="C83" s="52">
        <v>1500</v>
      </c>
      <c r="D83" s="53">
        <v>12</v>
      </c>
      <c r="E83" s="54">
        <f>C83*D83</f>
        <v>18000</v>
      </c>
      <c r="F83" s="48">
        <f>E83*1.03</f>
        <v>18540</v>
      </c>
      <c r="G83" s="48">
        <f>F83*1.03</f>
        <v>19096.2</v>
      </c>
      <c r="H83" s="48">
        <f>G83*1.03</f>
        <v>19669.086000000003</v>
      </c>
      <c r="I83" s="48">
        <f>H83*1.03</f>
        <v>20259.158580000003</v>
      </c>
    </row>
    <row r="84" spans="1:9" ht="15" thickBot="1" x14ac:dyDescent="0.35">
      <c r="B84" s="170" t="s">
        <v>5</v>
      </c>
      <c r="C84" s="170"/>
      <c r="D84" s="170"/>
      <c r="E84" s="113">
        <f>SUM(E83)</f>
        <v>18000</v>
      </c>
      <c r="F84" s="82">
        <f>SUM(F83)</f>
        <v>18540</v>
      </c>
      <c r="G84" s="82">
        <f>SUM(G83)</f>
        <v>19096.2</v>
      </c>
      <c r="H84" s="82">
        <f>SUM(H83)</f>
        <v>19669.086000000003</v>
      </c>
      <c r="I84" s="82">
        <f>SUM(I83)</f>
        <v>20259.158580000003</v>
      </c>
    </row>
    <row r="85" spans="1:9" ht="15" thickTop="1" x14ac:dyDescent="0.3">
      <c r="B85" s="49" t="s">
        <v>273</v>
      </c>
    </row>
    <row r="88" spans="1:9" x14ac:dyDescent="0.3">
      <c r="B88" s="8" t="s">
        <v>283</v>
      </c>
    </row>
    <row r="89" spans="1:9" x14ac:dyDescent="0.3">
      <c r="B89" s="81" t="s">
        <v>284</v>
      </c>
      <c r="C89" s="81">
        <v>2024</v>
      </c>
      <c r="D89" s="81">
        <v>2025</v>
      </c>
      <c r="E89" s="81">
        <v>2026</v>
      </c>
      <c r="F89" s="81">
        <v>2027</v>
      </c>
      <c r="G89" s="81">
        <v>2028</v>
      </c>
    </row>
    <row r="90" spans="1:9" x14ac:dyDescent="0.3">
      <c r="A90" s="8" t="s">
        <v>433</v>
      </c>
      <c r="B90" s="28" t="s">
        <v>558</v>
      </c>
      <c r="C90" s="15">
        <v>6000</v>
      </c>
      <c r="D90" s="15">
        <f>C90*1.05</f>
        <v>6300</v>
      </c>
      <c r="E90" s="15">
        <f>D90*1.05</f>
        <v>6615</v>
      </c>
      <c r="F90" s="15">
        <f>E90*1.05</f>
        <v>6945.75</v>
      </c>
      <c r="G90" s="15">
        <f>F90*1.05</f>
        <v>7293.0375000000004</v>
      </c>
    </row>
    <row r="91" spans="1:9" ht="15" thickBot="1" x14ac:dyDescent="0.35">
      <c r="B91" s="32" t="s">
        <v>5</v>
      </c>
      <c r="C91" s="113">
        <f>SUM(C90)</f>
        <v>6000</v>
      </c>
      <c r="D91" s="113">
        <f t="shared" ref="D91:G91" si="5">SUM(D90)</f>
        <v>6300</v>
      </c>
      <c r="E91" s="113">
        <f t="shared" si="5"/>
        <v>6615</v>
      </c>
      <c r="F91" s="113">
        <f t="shared" si="5"/>
        <v>6945.75</v>
      </c>
      <c r="G91" s="113">
        <f t="shared" si="5"/>
        <v>7293.0375000000004</v>
      </c>
    </row>
    <row r="92" spans="1:9" ht="15" thickTop="1" x14ac:dyDescent="0.3">
      <c r="B92" s="49" t="s">
        <v>280</v>
      </c>
    </row>
    <row r="96" spans="1:9" x14ac:dyDescent="0.3">
      <c r="B96" s="8" t="s">
        <v>286</v>
      </c>
    </row>
    <row r="97" spans="1:7" x14ac:dyDescent="0.3">
      <c r="B97" s="114"/>
      <c r="C97" s="81">
        <v>2024</v>
      </c>
      <c r="D97" s="81">
        <v>2025</v>
      </c>
      <c r="E97" s="81">
        <v>2026</v>
      </c>
      <c r="F97" s="81">
        <v>2027</v>
      </c>
      <c r="G97" s="81">
        <v>2028</v>
      </c>
    </row>
    <row r="98" spans="1:7" x14ac:dyDescent="0.3">
      <c r="A98" s="8" t="s">
        <v>429</v>
      </c>
      <c r="B98" s="28" t="s">
        <v>373</v>
      </c>
      <c r="C98" s="55">
        <f>SUM('PRE OPERATING EXPENSE'!C5:C7)</f>
        <v>20000</v>
      </c>
      <c r="D98" s="56">
        <f>C98*1.03</f>
        <v>20600</v>
      </c>
      <c r="E98" s="56">
        <f>D98*1.03</f>
        <v>21218</v>
      </c>
      <c r="F98" s="56">
        <f>E98*1.03</f>
        <v>21854.54</v>
      </c>
      <c r="G98" s="56">
        <f>F98*1.03</f>
        <v>22510.176200000002</v>
      </c>
    </row>
    <row r="99" spans="1:7" ht="15" thickBot="1" x14ac:dyDescent="0.35">
      <c r="B99" s="32" t="s">
        <v>5</v>
      </c>
      <c r="C99" s="113">
        <f>SUM(C98)</f>
        <v>20000</v>
      </c>
      <c r="D99" s="113">
        <f>SUM(D98)</f>
        <v>20600</v>
      </c>
      <c r="E99" s="113">
        <f>SUM(E98)</f>
        <v>21218</v>
      </c>
      <c r="F99" s="113">
        <f>SUM(F98)</f>
        <v>21854.54</v>
      </c>
      <c r="G99" s="113">
        <f>SUM(G98)</f>
        <v>22510.176200000002</v>
      </c>
    </row>
    <row r="100" spans="1:7" ht="15" thickTop="1" x14ac:dyDescent="0.3">
      <c r="B100" s="49" t="s">
        <v>273</v>
      </c>
    </row>
    <row r="103" spans="1:7" x14ac:dyDescent="0.3">
      <c r="B103" s="8" t="s">
        <v>287</v>
      </c>
    </row>
    <row r="104" spans="1:7" x14ac:dyDescent="0.3">
      <c r="B104" s="8" t="s">
        <v>288</v>
      </c>
    </row>
    <row r="105" spans="1:7" x14ac:dyDescent="0.3">
      <c r="A105" s="8" t="s">
        <v>430</v>
      </c>
      <c r="B105" t="s">
        <v>289</v>
      </c>
    </row>
    <row r="107" spans="1:7" x14ac:dyDescent="0.3">
      <c r="B107" t="s">
        <v>15</v>
      </c>
      <c r="C107" s="14">
        <v>70000</v>
      </c>
    </row>
    <row r="108" spans="1:7" x14ac:dyDescent="0.3">
      <c r="B108" t="s">
        <v>272</v>
      </c>
      <c r="C108" s="15">
        <v>12</v>
      </c>
    </row>
    <row r="109" spans="1:7" ht="15" thickBot="1" x14ac:dyDescent="0.35">
      <c r="B109" t="s">
        <v>290</v>
      </c>
      <c r="C109" s="112">
        <f>C107*C108</f>
        <v>840000</v>
      </c>
    </row>
    <row r="110" spans="1:7" ht="15" thickTop="1" x14ac:dyDescent="0.3"/>
    <row r="111" spans="1:7" x14ac:dyDescent="0.3">
      <c r="B111" s="4"/>
      <c r="C111" s="81">
        <v>2024</v>
      </c>
      <c r="D111" s="81">
        <v>2025</v>
      </c>
      <c r="E111" s="81">
        <v>2026</v>
      </c>
      <c r="F111" s="81">
        <v>2027</v>
      </c>
      <c r="G111" s="81">
        <v>2028</v>
      </c>
    </row>
    <row r="112" spans="1:7" x14ac:dyDescent="0.3">
      <c r="B112" s="28" t="s">
        <v>369</v>
      </c>
      <c r="C112" s="55">
        <f>C109</f>
        <v>840000</v>
      </c>
      <c r="D112" s="56">
        <f>C112*1.02</f>
        <v>856800</v>
      </c>
      <c r="E112" s="56">
        <f t="shared" ref="E112:G112" si="6">D112*1.02</f>
        <v>873936</v>
      </c>
      <c r="F112" s="56">
        <f t="shared" si="6"/>
        <v>891414.72</v>
      </c>
      <c r="G112" s="56">
        <f t="shared" si="6"/>
        <v>909243.01439999999</v>
      </c>
    </row>
    <row r="113" spans="1:10" ht="15" thickBot="1" x14ac:dyDescent="0.35">
      <c r="B113" s="32" t="s">
        <v>5</v>
      </c>
      <c r="C113" s="113">
        <f>SUM(C112)</f>
        <v>840000</v>
      </c>
      <c r="D113" s="113">
        <f>SUM(D112)</f>
        <v>856800</v>
      </c>
      <c r="E113" s="113">
        <f>SUM(E112)</f>
        <v>873936</v>
      </c>
      <c r="F113" s="113">
        <f>SUM(F112)</f>
        <v>891414.72</v>
      </c>
      <c r="G113" s="113">
        <f>SUM(G112)</f>
        <v>909243.01439999999</v>
      </c>
    </row>
    <row r="114" spans="1:10" ht="15" thickTop="1" x14ac:dyDescent="0.3">
      <c r="B114" s="49" t="s">
        <v>372</v>
      </c>
    </row>
    <row r="119" spans="1:10" x14ac:dyDescent="0.3">
      <c r="B119" s="8" t="s">
        <v>291</v>
      </c>
    </row>
    <row r="120" spans="1:10" x14ac:dyDescent="0.3">
      <c r="B120" t="s">
        <v>292</v>
      </c>
    </row>
    <row r="121" spans="1:10" x14ac:dyDescent="0.3">
      <c r="A121" s="8" t="s">
        <v>428</v>
      </c>
    </row>
    <row r="122" spans="1:10" x14ac:dyDescent="0.3">
      <c r="B122" t="s">
        <v>15</v>
      </c>
      <c r="C122" s="14">
        <v>1000</v>
      </c>
    </row>
    <row r="123" spans="1:10" x14ac:dyDescent="0.3">
      <c r="B123" t="s">
        <v>272</v>
      </c>
      <c r="C123" s="15">
        <v>12</v>
      </c>
    </row>
    <row r="124" spans="1:10" ht="15" thickBot="1" x14ac:dyDescent="0.35">
      <c r="B124" t="s">
        <v>293</v>
      </c>
      <c r="C124" s="112">
        <f>C122*C123</f>
        <v>12000</v>
      </c>
    </row>
    <row r="125" spans="1:10" ht="15" thickTop="1" x14ac:dyDescent="0.3"/>
    <row r="126" spans="1:10" x14ac:dyDescent="0.3">
      <c r="B126" s="114"/>
      <c r="C126" s="81">
        <v>2024</v>
      </c>
      <c r="D126" s="81">
        <v>2025</v>
      </c>
      <c r="E126" s="81">
        <v>2026</v>
      </c>
      <c r="F126" s="81">
        <v>2027</v>
      </c>
      <c r="G126" s="81">
        <v>2028</v>
      </c>
    </row>
    <row r="127" spans="1:10" x14ac:dyDescent="0.3">
      <c r="B127" s="28" t="s">
        <v>374</v>
      </c>
      <c r="C127" s="55">
        <f>C124</f>
        <v>12000</v>
      </c>
      <c r="D127" s="56">
        <f>C127*1.03</f>
        <v>12360</v>
      </c>
      <c r="E127" s="56">
        <f t="shared" ref="E127:G127" si="7">D127*1.03</f>
        <v>12730.800000000001</v>
      </c>
      <c r="F127" s="56">
        <f t="shared" si="7"/>
        <v>13112.724000000002</v>
      </c>
      <c r="G127" s="56">
        <f t="shared" si="7"/>
        <v>13506.105720000003</v>
      </c>
    </row>
    <row r="128" spans="1:10" ht="15" thickBot="1" x14ac:dyDescent="0.35">
      <c r="B128" s="32" t="s">
        <v>5</v>
      </c>
      <c r="C128" s="113">
        <f>SUM(C127)</f>
        <v>12000</v>
      </c>
      <c r="D128" s="113">
        <f>SUM(D127)</f>
        <v>12360</v>
      </c>
      <c r="E128" s="113">
        <f>SUM(E127)</f>
        <v>12730.800000000001</v>
      </c>
      <c r="F128" s="113">
        <f>SUM(F127)</f>
        <v>13112.724000000002</v>
      </c>
      <c r="G128" s="113">
        <f>SUM(G127)</f>
        <v>13506.105720000003</v>
      </c>
      <c r="J128" s="30"/>
    </row>
    <row r="129" spans="1:7" ht="15" thickTop="1" x14ac:dyDescent="0.3">
      <c r="B129" s="49" t="s">
        <v>273</v>
      </c>
    </row>
    <row r="132" spans="1:7" x14ac:dyDescent="0.3">
      <c r="B132" s="8" t="s">
        <v>392</v>
      </c>
    </row>
    <row r="133" spans="1:7" x14ac:dyDescent="0.3">
      <c r="B133" s="114"/>
      <c r="C133" s="81">
        <v>2024</v>
      </c>
      <c r="D133" s="81">
        <v>2025</v>
      </c>
      <c r="E133" s="81">
        <v>2026</v>
      </c>
      <c r="F133" s="81">
        <v>2027</v>
      </c>
      <c r="G133" s="81">
        <v>2028</v>
      </c>
    </row>
    <row r="134" spans="1:7" x14ac:dyDescent="0.3">
      <c r="A134" s="8" t="s">
        <v>436</v>
      </c>
      <c r="B134" s="28" t="s">
        <v>390</v>
      </c>
      <c r="C134" s="55">
        <f>(IS!D8)*0.12</f>
        <v>4594547.6692082202</v>
      </c>
      <c r="D134" s="55">
        <f>(IS!E8)*0.12</f>
        <v>5054002.4361290438</v>
      </c>
      <c r="E134" s="55">
        <f>(IS!F8)*0.12</f>
        <v>5559402.6797419488</v>
      </c>
      <c r="F134" s="55">
        <f>(IS!G8)*0.12</f>
        <v>6115342.9477161411</v>
      </c>
      <c r="G134" s="55">
        <f>(IS!H8)*0.12</f>
        <v>6726877.2424877556</v>
      </c>
    </row>
    <row r="135" spans="1:7" ht="15" thickBot="1" x14ac:dyDescent="0.35">
      <c r="B135" s="32" t="s">
        <v>5</v>
      </c>
      <c r="C135" s="113">
        <f>SUM(C134)</f>
        <v>4594547.6692082202</v>
      </c>
      <c r="D135" s="113">
        <f t="shared" ref="D135:G135" si="8">SUM(D134)</f>
        <v>5054002.4361290438</v>
      </c>
      <c r="E135" s="113">
        <f t="shared" si="8"/>
        <v>5559402.6797419488</v>
      </c>
      <c r="F135" s="113">
        <f t="shared" si="8"/>
        <v>6115342.9477161411</v>
      </c>
      <c r="G135" s="113">
        <f t="shared" si="8"/>
        <v>6726877.2424877556</v>
      </c>
    </row>
    <row r="136" spans="1:7" ht="15" thickTop="1" x14ac:dyDescent="0.3">
      <c r="B136" s="49" t="s">
        <v>391</v>
      </c>
    </row>
  </sheetData>
  <mergeCells count="3">
    <mergeCell ref="B65:D65"/>
    <mergeCell ref="B78:D78"/>
    <mergeCell ref="B84:D8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EA63-FBDD-4F21-807F-B0347F2ACCB9}">
  <sheetPr>
    <tabColor theme="8" tint="-0.499984740745262"/>
  </sheetPr>
  <dimension ref="B1:L97"/>
  <sheetViews>
    <sheetView topLeftCell="B1" zoomScaleNormal="100" workbookViewId="0">
      <selection activeCell="E18" sqref="E18"/>
    </sheetView>
  </sheetViews>
  <sheetFormatPr defaultRowHeight="14.4" x14ac:dyDescent="0.3"/>
  <cols>
    <col min="2" max="2" width="38.33203125" customWidth="1"/>
    <col min="3" max="3" width="20.44140625" style="1" customWidth="1"/>
    <col min="4" max="4" width="19" style="19" customWidth="1"/>
    <col min="5" max="5" width="12.6640625" customWidth="1"/>
    <col min="6" max="6" width="23" style="1" customWidth="1"/>
    <col min="7" max="7" width="20.77734375" customWidth="1"/>
    <col min="8" max="12" width="17.77734375" customWidth="1"/>
  </cols>
  <sheetData>
    <row r="1" spans="2:12" x14ac:dyDescent="0.3">
      <c r="B1" s="8" t="s">
        <v>66</v>
      </c>
    </row>
    <row r="2" spans="2:12" x14ac:dyDescent="0.3">
      <c r="B2" s="8" t="s">
        <v>427</v>
      </c>
      <c r="H2" s="171" t="s">
        <v>382</v>
      </c>
      <c r="I2" s="171"/>
      <c r="J2" s="171"/>
      <c r="K2" s="171"/>
      <c r="L2" s="171"/>
    </row>
    <row r="3" spans="2:12" x14ac:dyDescent="0.3">
      <c r="B3" s="81" t="s">
        <v>133</v>
      </c>
      <c r="C3" s="81" t="s">
        <v>21</v>
      </c>
      <c r="D3" s="96" t="s">
        <v>86</v>
      </c>
      <c r="E3" s="96" t="s">
        <v>23</v>
      </c>
      <c r="F3" s="81" t="s">
        <v>67</v>
      </c>
      <c r="G3" s="115" t="s">
        <v>85</v>
      </c>
      <c r="H3" s="116">
        <v>2024</v>
      </c>
      <c r="I3" s="116">
        <v>2025</v>
      </c>
      <c r="J3" s="116">
        <v>2026</v>
      </c>
      <c r="K3" s="116">
        <v>2027</v>
      </c>
      <c r="L3" s="116">
        <v>2028</v>
      </c>
    </row>
    <row r="4" spans="2:12" x14ac:dyDescent="0.3">
      <c r="B4" s="20" t="s">
        <v>599</v>
      </c>
      <c r="H4" s="76"/>
      <c r="I4" s="77"/>
      <c r="J4" s="77"/>
      <c r="K4" s="77"/>
      <c r="L4" s="78"/>
    </row>
    <row r="5" spans="2:12" x14ac:dyDescent="0.3">
      <c r="B5" s="27" t="s">
        <v>84</v>
      </c>
      <c r="H5" s="71"/>
      <c r="L5" s="72"/>
    </row>
    <row r="6" spans="2:12" x14ac:dyDescent="0.3">
      <c r="B6" s="22" t="s">
        <v>608</v>
      </c>
      <c r="E6" s="14">
        <v>200000</v>
      </c>
      <c r="F6" s="1">
        <v>10</v>
      </c>
      <c r="G6" s="30">
        <f t="shared" ref="G6" si="0">E6/F6</f>
        <v>20000</v>
      </c>
      <c r="H6" s="73">
        <f>E6-G6</f>
        <v>180000</v>
      </c>
      <c r="I6" s="30">
        <f>H6-G6</f>
        <v>160000</v>
      </c>
      <c r="J6" s="30">
        <f>I6-G6</f>
        <v>140000</v>
      </c>
      <c r="K6" s="30">
        <f>J6-G6</f>
        <v>120000</v>
      </c>
      <c r="L6" s="74">
        <f>K6-G6</f>
        <v>100000</v>
      </c>
    </row>
    <row r="7" spans="2:12" x14ac:dyDescent="0.3">
      <c r="B7" s="137" t="s">
        <v>598</v>
      </c>
      <c r="C7" s="1">
        <v>3</v>
      </c>
      <c r="D7" s="19">
        <v>3000</v>
      </c>
      <c r="E7" s="19">
        <f>C7*D7</f>
        <v>9000</v>
      </c>
      <c r="F7" s="1">
        <v>10</v>
      </c>
      <c r="G7" s="30">
        <f t="shared" ref="G7:G8" si="1">E7/F7</f>
        <v>900</v>
      </c>
      <c r="H7" s="73">
        <f>E7-G7</f>
        <v>8100</v>
      </c>
      <c r="I7" s="30">
        <f>H7-G7</f>
        <v>7200</v>
      </c>
      <c r="J7" s="30">
        <f>I7-G7</f>
        <v>6300</v>
      </c>
      <c r="K7" s="30">
        <f>J7-G7</f>
        <v>5400</v>
      </c>
      <c r="L7" s="74">
        <f>K7-G7</f>
        <v>4500</v>
      </c>
    </row>
    <row r="8" spans="2:12" x14ac:dyDescent="0.3">
      <c r="B8" s="22" t="s">
        <v>449</v>
      </c>
      <c r="C8" s="1">
        <v>1</v>
      </c>
      <c r="D8" s="19">
        <v>3000</v>
      </c>
      <c r="E8" s="19">
        <f>D8*C8</f>
        <v>3000</v>
      </c>
      <c r="F8" s="1">
        <v>10</v>
      </c>
      <c r="G8" s="30">
        <f t="shared" si="1"/>
        <v>300</v>
      </c>
      <c r="H8" s="73">
        <f t="shared" ref="H8" si="2">E8-G8</f>
        <v>2700</v>
      </c>
      <c r="I8" s="30">
        <f t="shared" ref="I8" si="3">H8-G8</f>
        <v>2400</v>
      </c>
      <c r="J8" s="30">
        <f t="shared" ref="J8" si="4">I8-G8</f>
        <v>2100</v>
      </c>
      <c r="K8" s="30">
        <f t="shared" ref="K8" si="5">J8-G8</f>
        <v>1800</v>
      </c>
      <c r="L8" s="74">
        <f t="shared" ref="L8" si="6">K8-G8</f>
        <v>1500</v>
      </c>
    </row>
    <row r="9" spans="2:12" x14ac:dyDescent="0.3">
      <c r="B9" s="137" t="s">
        <v>450</v>
      </c>
      <c r="C9" s="1">
        <v>3</v>
      </c>
      <c r="D9" s="19">
        <v>4000</v>
      </c>
      <c r="E9" s="19">
        <f>D9*C9</f>
        <v>12000</v>
      </c>
      <c r="F9" s="1">
        <v>10</v>
      </c>
      <c r="G9" s="30">
        <f>E9/F9</f>
        <v>1200</v>
      </c>
      <c r="H9" s="73">
        <f>E9-G9</f>
        <v>10800</v>
      </c>
      <c r="I9" s="30">
        <f>H9-G9</f>
        <v>9600</v>
      </c>
      <c r="J9" s="30">
        <f>I9-G9</f>
        <v>8400</v>
      </c>
      <c r="K9" s="30">
        <f>J9-G9</f>
        <v>7200</v>
      </c>
      <c r="L9" s="74">
        <f>K9-G9</f>
        <v>6000</v>
      </c>
    </row>
    <row r="10" spans="2:12" x14ac:dyDescent="0.3">
      <c r="B10" s="22" t="s">
        <v>451</v>
      </c>
      <c r="C10" s="1">
        <v>3</v>
      </c>
      <c r="D10" s="19">
        <v>1000</v>
      </c>
      <c r="E10" s="30">
        <f>C10*D10</f>
        <v>3000</v>
      </c>
      <c r="F10" s="1">
        <v>10</v>
      </c>
      <c r="G10" s="30">
        <f>E10/F10</f>
        <v>300</v>
      </c>
      <c r="H10" s="73">
        <f>E10-G10</f>
        <v>2700</v>
      </c>
      <c r="I10" s="30">
        <f>H10-G10</f>
        <v>2400</v>
      </c>
      <c r="J10" s="30">
        <f>I10-G10</f>
        <v>2100</v>
      </c>
      <c r="K10" s="30">
        <f>J10-G10</f>
        <v>1800</v>
      </c>
      <c r="L10" s="74">
        <f>K10-G10</f>
        <v>1500</v>
      </c>
    </row>
    <row r="11" spans="2:12" x14ac:dyDescent="0.3">
      <c r="B11" s="22" t="s">
        <v>452</v>
      </c>
      <c r="C11" s="1">
        <v>3</v>
      </c>
      <c r="D11" s="19">
        <v>1000</v>
      </c>
      <c r="E11" s="30">
        <f>C11*D11</f>
        <v>3000</v>
      </c>
      <c r="F11" s="1">
        <v>5</v>
      </c>
      <c r="G11" s="30">
        <f>E11/F11</f>
        <v>600</v>
      </c>
      <c r="H11" s="73">
        <f>E11-G11</f>
        <v>2400</v>
      </c>
      <c r="I11" s="30">
        <f>H11-G11</f>
        <v>1800</v>
      </c>
      <c r="J11" s="30">
        <f>I11-G11</f>
        <v>1200</v>
      </c>
      <c r="K11" s="30">
        <f>J11-G11</f>
        <v>600</v>
      </c>
      <c r="L11" s="74">
        <f>K11-G11</f>
        <v>0</v>
      </c>
    </row>
    <row r="12" spans="2:12" x14ac:dyDescent="0.3">
      <c r="B12" s="27" t="s">
        <v>68</v>
      </c>
      <c r="H12" s="71"/>
      <c r="L12" s="72"/>
    </row>
    <row r="13" spans="2:12" x14ac:dyDescent="0.3">
      <c r="B13" s="22" t="s">
        <v>608</v>
      </c>
      <c r="E13" s="14">
        <v>600000</v>
      </c>
      <c r="F13" s="1">
        <v>10</v>
      </c>
      <c r="G13" s="30">
        <f t="shared" ref="G13" si="7">E13/F13</f>
        <v>60000</v>
      </c>
      <c r="H13" s="73">
        <f>E13-G13</f>
        <v>540000</v>
      </c>
      <c r="I13" s="30">
        <f>H13-G13</f>
        <v>480000</v>
      </c>
      <c r="J13" s="30">
        <f>I13-G13</f>
        <v>420000</v>
      </c>
      <c r="K13" s="30">
        <f>J13-G13</f>
        <v>360000</v>
      </c>
      <c r="L13" s="74">
        <f>K13-G13</f>
        <v>300000</v>
      </c>
    </row>
    <row r="14" spans="2:12" x14ac:dyDescent="0.3">
      <c r="B14" s="22" t="s">
        <v>466</v>
      </c>
      <c r="C14" s="1">
        <v>250</v>
      </c>
      <c r="D14" s="19">
        <v>900</v>
      </c>
      <c r="E14" s="19">
        <f>D14*C14</f>
        <v>225000</v>
      </c>
      <c r="F14" s="1">
        <v>10</v>
      </c>
      <c r="G14" s="30">
        <f>E14/F14</f>
        <v>22500</v>
      </c>
      <c r="H14" s="73">
        <f>E14-G14</f>
        <v>202500</v>
      </c>
      <c r="I14" s="30">
        <f>H14-G14</f>
        <v>180000</v>
      </c>
      <c r="J14" s="30">
        <f>I14-G14</f>
        <v>157500</v>
      </c>
      <c r="K14" s="30">
        <f>J14-G14</f>
        <v>135000</v>
      </c>
      <c r="L14" s="74">
        <f>K14-G14</f>
        <v>112500</v>
      </c>
    </row>
    <row r="15" spans="2:12" x14ac:dyDescent="0.3">
      <c r="B15" s="22" t="s">
        <v>467</v>
      </c>
      <c r="C15" s="1">
        <v>250</v>
      </c>
      <c r="D15" s="19">
        <v>700</v>
      </c>
      <c r="E15" s="19">
        <f>D15*C15</f>
        <v>175000</v>
      </c>
      <c r="F15" s="1">
        <v>10</v>
      </c>
      <c r="G15" s="30">
        <f>E15/F15</f>
        <v>17500</v>
      </c>
      <c r="H15" s="73">
        <f>E15-G15</f>
        <v>157500</v>
      </c>
      <c r="I15" s="30">
        <f>H15-G15</f>
        <v>140000</v>
      </c>
      <c r="J15" s="30">
        <f>I15-G15</f>
        <v>122500</v>
      </c>
      <c r="K15" s="30">
        <f>J15-G15</f>
        <v>105000</v>
      </c>
      <c r="L15" s="74">
        <f>K15-G15</f>
        <v>87500</v>
      </c>
    </row>
    <row r="16" spans="2:12" x14ac:dyDescent="0.3">
      <c r="B16" s="22" t="s">
        <v>468</v>
      </c>
      <c r="C16" s="1">
        <v>1</v>
      </c>
      <c r="D16" s="19">
        <v>6000</v>
      </c>
      <c r="E16" s="30">
        <f>C16*D16</f>
        <v>6000</v>
      </c>
      <c r="F16" s="1">
        <v>10</v>
      </c>
      <c r="G16" s="30">
        <f>E16/F16</f>
        <v>600</v>
      </c>
      <c r="H16" s="73">
        <f>E16-G16</f>
        <v>5400</v>
      </c>
      <c r="I16" s="30">
        <f>H16-G16</f>
        <v>4800</v>
      </c>
      <c r="J16" s="30">
        <f>I16-G16</f>
        <v>4200</v>
      </c>
      <c r="K16" s="30">
        <f>J16-G16</f>
        <v>3600</v>
      </c>
      <c r="L16" s="74">
        <f>K16-G16</f>
        <v>3000</v>
      </c>
    </row>
    <row r="17" spans="2:12" x14ac:dyDescent="0.3">
      <c r="B17" s="22" t="s">
        <v>453</v>
      </c>
      <c r="C17" s="1">
        <v>1</v>
      </c>
      <c r="D17" s="19">
        <v>10000</v>
      </c>
      <c r="E17" s="30">
        <f>C17*D17</f>
        <v>10000</v>
      </c>
      <c r="F17" s="1">
        <v>10</v>
      </c>
      <c r="G17" s="30">
        <f>E17/F17</f>
        <v>1000</v>
      </c>
      <c r="H17" s="73">
        <f>E17-G17</f>
        <v>9000</v>
      </c>
      <c r="I17" s="30">
        <f>H17-G17</f>
        <v>8000</v>
      </c>
      <c r="J17" s="30">
        <f>I17-G17</f>
        <v>7000</v>
      </c>
      <c r="K17" s="30">
        <f>J17-G17</f>
        <v>6000</v>
      </c>
      <c r="L17" s="74">
        <f>K17-G17</f>
        <v>5000</v>
      </c>
    </row>
    <row r="18" spans="2:12" x14ac:dyDescent="0.3">
      <c r="B18" s="20" t="s">
        <v>36</v>
      </c>
      <c r="E18" s="33"/>
      <c r="G18" s="30"/>
      <c r="H18" s="73">
        <f>SUM(H6:H17)</f>
        <v>1121100</v>
      </c>
      <c r="I18" s="30"/>
      <c r="J18" s="30"/>
      <c r="K18" s="30"/>
      <c r="L18" s="74"/>
    </row>
    <row r="19" spans="2:12" x14ac:dyDescent="0.3">
      <c r="B19" s="27" t="s">
        <v>77</v>
      </c>
      <c r="G19" s="30"/>
      <c r="H19" s="71"/>
      <c r="L19" s="72"/>
    </row>
    <row r="20" spans="2:12" x14ac:dyDescent="0.3">
      <c r="B20" s="22" t="s">
        <v>441</v>
      </c>
      <c r="C20" s="1">
        <v>1</v>
      </c>
      <c r="D20" s="19">
        <v>12000</v>
      </c>
      <c r="E20" s="30">
        <f t="shared" ref="E20:E30" si="8">C20*D20</f>
        <v>12000</v>
      </c>
      <c r="F20" s="1">
        <v>10</v>
      </c>
      <c r="G20" s="30">
        <f t="shared" ref="G20:G30" si="9">E20/F20</f>
        <v>1200</v>
      </c>
      <c r="H20" s="73">
        <f t="shared" ref="H20:H85" si="10">E20-G20</f>
        <v>10800</v>
      </c>
      <c r="I20" s="30">
        <f t="shared" ref="I20:I85" si="11">H20-G20</f>
        <v>9600</v>
      </c>
      <c r="J20" s="30">
        <f>I20-G20</f>
        <v>8400</v>
      </c>
      <c r="K20" s="30">
        <f t="shared" ref="K20:K85" si="12">J20-G20</f>
        <v>7200</v>
      </c>
      <c r="L20" s="74">
        <f t="shared" ref="L20:L85" si="13">K20-G20</f>
        <v>6000</v>
      </c>
    </row>
    <row r="21" spans="2:12" ht="28.8" x14ac:dyDescent="0.3">
      <c r="B21" s="137" t="s">
        <v>440</v>
      </c>
      <c r="C21" s="1">
        <v>1</v>
      </c>
      <c r="D21" s="19">
        <v>40000</v>
      </c>
      <c r="E21" s="30">
        <f t="shared" si="8"/>
        <v>40000</v>
      </c>
      <c r="F21" s="1">
        <v>10</v>
      </c>
      <c r="G21" s="30">
        <f t="shared" si="9"/>
        <v>4000</v>
      </c>
      <c r="H21" s="73">
        <f t="shared" si="10"/>
        <v>36000</v>
      </c>
      <c r="I21" s="30">
        <f t="shared" si="11"/>
        <v>32000</v>
      </c>
      <c r="J21" s="30">
        <f t="shared" ref="J21:J85" si="14">I21-G21</f>
        <v>28000</v>
      </c>
      <c r="K21" s="30">
        <f t="shared" si="12"/>
        <v>24000</v>
      </c>
      <c r="L21" s="74">
        <f t="shared" si="13"/>
        <v>20000</v>
      </c>
    </row>
    <row r="22" spans="2:12" x14ac:dyDescent="0.3">
      <c r="B22" s="137" t="s">
        <v>502</v>
      </c>
      <c r="C22" s="1">
        <v>1</v>
      </c>
      <c r="D22" s="19">
        <v>9000</v>
      </c>
      <c r="E22" s="30">
        <f t="shared" si="8"/>
        <v>9000</v>
      </c>
      <c r="F22" s="1">
        <v>5</v>
      </c>
      <c r="G22" s="30">
        <f t="shared" si="9"/>
        <v>1800</v>
      </c>
      <c r="H22" s="73">
        <f t="shared" ref="H22" si="15">E22-G22</f>
        <v>7200</v>
      </c>
      <c r="I22" s="30">
        <f t="shared" ref="I22" si="16">H22-G22</f>
        <v>5400</v>
      </c>
      <c r="J22" s="30">
        <f t="shared" ref="J22" si="17">I22-G22</f>
        <v>3600</v>
      </c>
      <c r="K22" s="30">
        <f t="shared" ref="K22" si="18">J22-G22</f>
        <v>1800</v>
      </c>
      <c r="L22" s="74">
        <f t="shared" ref="L22" si="19">K22-G22</f>
        <v>0</v>
      </c>
    </row>
    <row r="23" spans="2:12" x14ac:dyDescent="0.3">
      <c r="B23" s="137" t="s">
        <v>503</v>
      </c>
      <c r="C23" s="1">
        <v>1</v>
      </c>
      <c r="D23" s="19">
        <v>56153</v>
      </c>
      <c r="E23" s="30">
        <f t="shared" si="8"/>
        <v>56153</v>
      </c>
      <c r="F23" s="1">
        <v>5</v>
      </c>
      <c r="G23" s="30">
        <f t="shared" si="9"/>
        <v>11230.6</v>
      </c>
      <c r="H23" s="73">
        <f t="shared" ref="H23:H25" si="20">E23-G23</f>
        <v>44922.400000000001</v>
      </c>
      <c r="I23" s="30">
        <f t="shared" ref="I23:I25" si="21">H23-G23</f>
        <v>33691.800000000003</v>
      </c>
      <c r="J23" s="30">
        <f t="shared" ref="J23:J25" si="22">I23-G23</f>
        <v>22461.200000000004</v>
      </c>
      <c r="K23" s="30">
        <f t="shared" ref="K23:K25" si="23">J23-G23</f>
        <v>11230.600000000004</v>
      </c>
      <c r="L23" s="74">
        <f t="shared" ref="L23:L25" si="24">K23-G23</f>
        <v>0</v>
      </c>
    </row>
    <row r="24" spans="2:12" x14ac:dyDescent="0.3">
      <c r="B24" s="137" t="s">
        <v>504</v>
      </c>
      <c r="C24" s="1">
        <v>1</v>
      </c>
      <c r="D24" s="19">
        <v>5055</v>
      </c>
      <c r="E24" s="30">
        <f t="shared" si="8"/>
        <v>5055</v>
      </c>
      <c r="F24" s="1">
        <v>5</v>
      </c>
      <c r="G24" s="30">
        <f t="shared" si="9"/>
        <v>1011</v>
      </c>
      <c r="H24" s="73">
        <f t="shared" si="20"/>
        <v>4044</v>
      </c>
      <c r="I24" s="30">
        <f t="shared" si="21"/>
        <v>3033</v>
      </c>
      <c r="J24" s="30">
        <f t="shared" si="22"/>
        <v>2022</v>
      </c>
      <c r="K24" s="30">
        <f t="shared" si="23"/>
        <v>1011</v>
      </c>
      <c r="L24" s="74">
        <f t="shared" si="24"/>
        <v>0</v>
      </c>
    </row>
    <row r="25" spans="2:12" x14ac:dyDescent="0.3">
      <c r="B25" s="137" t="s">
        <v>505</v>
      </c>
      <c r="C25" s="1">
        <v>1</v>
      </c>
      <c r="D25" s="19">
        <v>87275</v>
      </c>
      <c r="E25" s="30">
        <f t="shared" si="8"/>
        <v>87275</v>
      </c>
      <c r="F25" s="1">
        <v>10</v>
      </c>
      <c r="G25" s="30">
        <f t="shared" si="9"/>
        <v>8727.5</v>
      </c>
      <c r="H25" s="73">
        <f t="shared" si="20"/>
        <v>78547.5</v>
      </c>
      <c r="I25" s="30">
        <f t="shared" si="21"/>
        <v>69820</v>
      </c>
      <c r="J25" s="30">
        <f t="shared" si="22"/>
        <v>61092.5</v>
      </c>
      <c r="K25" s="30">
        <f t="shared" si="23"/>
        <v>52365</v>
      </c>
      <c r="L25" s="74">
        <f t="shared" si="24"/>
        <v>43637.5</v>
      </c>
    </row>
    <row r="26" spans="2:12" x14ac:dyDescent="0.3">
      <c r="B26" s="22" t="s">
        <v>445</v>
      </c>
      <c r="C26" s="1">
        <v>1</v>
      </c>
      <c r="D26" s="19">
        <v>6000</v>
      </c>
      <c r="E26" s="30">
        <f t="shared" si="8"/>
        <v>6000</v>
      </c>
      <c r="F26" s="1">
        <v>10</v>
      </c>
      <c r="G26" s="30">
        <f t="shared" si="9"/>
        <v>600</v>
      </c>
      <c r="H26" s="73">
        <f t="shared" si="10"/>
        <v>5400</v>
      </c>
      <c r="I26" s="30">
        <f t="shared" si="11"/>
        <v>4800</v>
      </c>
      <c r="J26" s="30">
        <f t="shared" si="14"/>
        <v>4200</v>
      </c>
      <c r="K26" s="30">
        <f t="shared" si="12"/>
        <v>3600</v>
      </c>
      <c r="L26" s="74">
        <f t="shared" si="13"/>
        <v>3000</v>
      </c>
    </row>
    <row r="27" spans="2:12" x14ac:dyDescent="0.3">
      <c r="B27" s="22" t="s">
        <v>506</v>
      </c>
      <c r="C27" s="1">
        <v>1</v>
      </c>
      <c r="D27" s="19">
        <v>3798</v>
      </c>
      <c r="E27" s="30">
        <f t="shared" si="8"/>
        <v>3798</v>
      </c>
      <c r="F27" s="1">
        <v>5</v>
      </c>
      <c r="G27" s="30">
        <f t="shared" si="9"/>
        <v>759.6</v>
      </c>
      <c r="H27" s="73">
        <f t="shared" si="10"/>
        <v>3038.4</v>
      </c>
      <c r="I27" s="30">
        <f t="shared" si="11"/>
        <v>2278.8000000000002</v>
      </c>
      <c r="J27" s="30">
        <f t="shared" si="14"/>
        <v>1519.2000000000003</v>
      </c>
      <c r="K27" s="30">
        <f t="shared" si="12"/>
        <v>759.60000000000025</v>
      </c>
      <c r="L27" s="74">
        <f t="shared" si="13"/>
        <v>0</v>
      </c>
    </row>
    <row r="28" spans="2:12" x14ac:dyDescent="0.3">
      <c r="B28" s="22" t="s">
        <v>507</v>
      </c>
      <c r="C28" s="1">
        <v>2</v>
      </c>
      <c r="D28" s="19">
        <v>8551</v>
      </c>
      <c r="E28" s="30">
        <f t="shared" si="8"/>
        <v>17102</v>
      </c>
      <c r="F28" s="1">
        <v>5</v>
      </c>
      <c r="G28" s="30">
        <f t="shared" si="9"/>
        <v>3420.4</v>
      </c>
      <c r="H28" s="73">
        <f t="shared" si="10"/>
        <v>13681.6</v>
      </c>
      <c r="I28" s="30">
        <f t="shared" si="11"/>
        <v>10261.200000000001</v>
      </c>
      <c r="J28" s="30">
        <f t="shared" si="14"/>
        <v>6840.8000000000011</v>
      </c>
      <c r="K28" s="30">
        <f t="shared" si="12"/>
        <v>3420.400000000001</v>
      </c>
      <c r="L28" s="74">
        <f t="shared" si="13"/>
        <v>0</v>
      </c>
    </row>
    <row r="29" spans="2:12" x14ac:dyDescent="0.3">
      <c r="B29" s="22" t="s">
        <v>508</v>
      </c>
      <c r="C29" s="1">
        <v>1</v>
      </c>
      <c r="D29" s="19">
        <v>700</v>
      </c>
      <c r="E29" s="30">
        <f t="shared" si="8"/>
        <v>700</v>
      </c>
      <c r="F29" s="1">
        <v>5</v>
      </c>
      <c r="G29" s="30">
        <f t="shared" si="9"/>
        <v>140</v>
      </c>
      <c r="H29" s="73">
        <f t="shared" si="10"/>
        <v>560</v>
      </c>
      <c r="I29" s="30">
        <f t="shared" si="11"/>
        <v>420</v>
      </c>
      <c r="J29" s="30">
        <f t="shared" si="14"/>
        <v>280</v>
      </c>
      <c r="K29" s="30">
        <f t="shared" si="12"/>
        <v>140</v>
      </c>
      <c r="L29" s="74">
        <f t="shared" si="13"/>
        <v>0</v>
      </c>
    </row>
    <row r="30" spans="2:12" x14ac:dyDescent="0.3">
      <c r="B30" s="22" t="s">
        <v>538</v>
      </c>
      <c r="C30" s="1">
        <v>1</v>
      </c>
      <c r="D30" s="19">
        <v>150000</v>
      </c>
      <c r="E30" s="30">
        <f t="shared" si="8"/>
        <v>150000</v>
      </c>
      <c r="F30" s="1">
        <v>10</v>
      </c>
      <c r="G30" s="30">
        <f t="shared" si="9"/>
        <v>15000</v>
      </c>
      <c r="H30" s="73">
        <f t="shared" si="10"/>
        <v>135000</v>
      </c>
      <c r="I30" s="30">
        <f t="shared" si="11"/>
        <v>120000</v>
      </c>
      <c r="J30" s="30">
        <f t="shared" si="14"/>
        <v>105000</v>
      </c>
      <c r="K30" s="30">
        <f t="shared" si="12"/>
        <v>90000</v>
      </c>
      <c r="L30" s="74">
        <f t="shared" si="13"/>
        <v>75000</v>
      </c>
    </row>
    <row r="31" spans="2:12" x14ac:dyDescent="0.3">
      <c r="B31" s="27" t="s">
        <v>78</v>
      </c>
      <c r="G31" s="30"/>
      <c r="H31" s="73"/>
      <c r="I31" s="30"/>
      <c r="J31" s="30"/>
      <c r="K31" s="30"/>
      <c r="L31" s="74"/>
    </row>
    <row r="32" spans="2:12" x14ac:dyDescent="0.3">
      <c r="B32" s="22" t="s">
        <v>439</v>
      </c>
      <c r="C32" s="1">
        <v>1</v>
      </c>
      <c r="D32" s="19">
        <v>68000</v>
      </c>
      <c r="E32" s="30">
        <f t="shared" ref="E32:E37" si="25">C32*D32</f>
        <v>68000</v>
      </c>
      <c r="F32" s="1">
        <v>10</v>
      </c>
      <c r="G32" s="30">
        <f t="shared" ref="G32:G37" si="26">E32/F32</f>
        <v>6800</v>
      </c>
      <c r="H32" s="73">
        <f>E32-G32</f>
        <v>61200</v>
      </c>
      <c r="I32" s="30">
        <f>H32-G32</f>
        <v>54400</v>
      </c>
      <c r="J32" s="30">
        <f>I32-G32</f>
        <v>47600</v>
      </c>
      <c r="K32" s="30">
        <f>J32-G32</f>
        <v>40800</v>
      </c>
      <c r="L32" s="74">
        <f>K32-G32</f>
        <v>34000</v>
      </c>
    </row>
    <row r="33" spans="2:12" x14ac:dyDescent="0.3">
      <c r="B33" s="22" t="s">
        <v>438</v>
      </c>
      <c r="C33" s="1">
        <v>1</v>
      </c>
      <c r="D33" s="19">
        <v>60000</v>
      </c>
      <c r="E33" s="30">
        <f t="shared" si="25"/>
        <v>60000</v>
      </c>
      <c r="F33" s="1">
        <v>10</v>
      </c>
      <c r="G33" s="30">
        <f t="shared" si="26"/>
        <v>6000</v>
      </c>
      <c r="H33" s="73">
        <f>E33-G33</f>
        <v>54000</v>
      </c>
      <c r="I33" s="30">
        <f>H33-G33</f>
        <v>48000</v>
      </c>
      <c r="J33" s="30">
        <f>I33-G33</f>
        <v>42000</v>
      </c>
      <c r="K33" s="30">
        <f>J33-G33</f>
        <v>36000</v>
      </c>
      <c r="L33" s="74">
        <f>K33-G33</f>
        <v>30000</v>
      </c>
    </row>
    <row r="34" spans="2:12" x14ac:dyDescent="0.3">
      <c r="B34" s="22" t="s">
        <v>438</v>
      </c>
      <c r="C34" s="1">
        <v>1</v>
      </c>
      <c r="D34" s="19">
        <v>68000</v>
      </c>
      <c r="E34" s="30">
        <f t="shared" si="25"/>
        <v>68000</v>
      </c>
      <c r="F34" s="1">
        <v>10</v>
      </c>
      <c r="G34" s="30">
        <f t="shared" si="26"/>
        <v>6800</v>
      </c>
      <c r="H34" s="73">
        <f t="shared" ref="H34" si="27">E34-G34</f>
        <v>61200</v>
      </c>
      <c r="I34" s="30">
        <f t="shared" ref="I34" si="28">H34-G34</f>
        <v>54400</v>
      </c>
      <c r="J34" s="30">
        <f t="shared" ref="J34" si="29">I34-G34</f>
        <v>47600</v>
      </c>
      <c r="K34" s="30">
        <f t="shared" ref="K34" si="30">J34-G34</f>
        <v>40800</v>
      </c>
      <c r="L34" s="74">
        <f t="shared" ref="L34" si="31">K34-G34</f>
        <v>34000</v>
      </c>
    </row>
    <row r="35" spans="2:12" x14ac:dyDescent="0.3">
      <c r="B35" s="22" t="s">
        <v>443</v>
      </c>
      <c r="C35" s="1">
        <v>2</v>
      </c>
      <c r="D35" s="19">
        <v>8000</v>
      </c>
      <c r="E35" s="30">
        <f t="shared" si="25"/>
        <v>16000</v>
      </c>
      <c r="F35" s="1">
        <v>5</v>
      </c>
      <c r="G35" s="30">
        <f t="shared" si="26"/>
        <v>3200</v>
      </c>
      <c r="H35" s="73">
        <f>E35-G35</f>
        <v>12800</v>
      </c>
      <c r="I35" s="30">
        <f>H35-G35</f>
        <v>9600</v>
      </c>
      <c r="J35" s="30">
        <f>I35-G35</f>
        <v>6400</v>
      </c>
      <c r="K35" s="30">
        <f>J35-G35</f>
        <v>3200</v>
      </c>
      <c r="L35" s="74">
        <f>K35-G35</f>
        <v>0</v>
      </c>
    </row>
    <row r="36" spans="2:12" x14ac:dyDescent="0.3">
      <c r="B36" s="22" t="s">
        <v>444</v>
      </c>
      <c r="C36" s="1">
        <v>4</v>
      </c>
      <c r="D36" s="19">
        <v>900</v>
      </c>
      <c r="E36" s="30">
        <f t="shared" si="25"/>
        <v>3600</v>
      </c>
      <c r="F36" s="1">
        <v>5</v>
      </c>
      <c r="G36" s="30">
        <f t="shared" si="26"/>
        <v>720</v>
      </c>
      <c r="H36" s="73">
        <f>E36-G36</f>
        <v>2880</v>
      </c>
      <c r="I36" s="30">
        <f>H36-G36</f>
        <v>2160</v>
      </c>
      <c r="J36" s="30">
        <f>I36-G36</f>
        <v>1440</v>
      </c>
      <c r="K36" s="30">
        <f>J36-G36</f>
        <v>720</v>
      </c>
      <c r="L36" s="74">
        <f>K36-G36</f>
        <v>0</v>
      </c>
    </row>
    <row r="37" spans="2:12" x14ac:dyDescent="0.3">
      <c r="B37" s="22" t="s">
        <v>465</v>
      </c>
      <c r="C37" s="1">
        <v>2</v>
      </c>
      <c r="D37" s="19">
        <v>3000</v>
      </c>
      <c r="E37" s="30">
        <f t="shared" si="25"/>
        <v>6000</v>
      </c>
      <c r="F37" s="1">
        <v>10</v>
      </c>
      <c r="G37" s="30">
        <f t="shared" si="26"/>
        <v>600</v>
      </c>
      <c r="H37" s="73">
        <f t="shared" ref="H37" si="32">E37-G37</f>
        <v>5400</v>
      </c>
      <c r="I37" s="30">
        <f t="shared" ref="I37" si="33">H37-G37</f>
        <v>4800</v>
      </c>
      <c r="J37" s="30">
        <f t="shared" ref="J37" si="34">I37-G37</f>
        <v>4200</v>
      </c>
      <c r="K37" s="30">
        <f t="shared" ref="K37" si="35">J37-G37</f>
        <v>3600</v>
      </c>
      <c r="L37" s="74">
        <f t="shared" ref="L37" si="36">K37-G37</f>
        <v>3000</v>
      </c>
    </row>
    <row r="38" spans="2:12" x14ac:dyDescent="0.3">
      <c r="B38" s="27" t="s">
        <v>512</v>
      </c>
      <c r="G38" s="30"/>
      <c r="H38" s="73">
        <f t="shared" ref="H38:H56" si="37">E38-G38</f>
        <v>0</v>
      </c>
      <c r="I38" s="30">
        <f t="shared" ref="I38:I56" si="38">H38-G38</f>
        <v>0</v>
      </c>
      <c r="J38" s="30">
        <f t="shared" ref="J38:J56" si="39">I38-G38</f>
        <v>0</v>
      </c>
      <c r="K38" s="30">
        <f t="shared" ref="K38:K56" si="40">J38-G38</f>
        <v>0</v>
      </c>
      <c r="L38" s="74">
        <f t="shared" ref="L38:L56" si="41">K38-G38</f>
        <v>0</v>
      </c>
    </row>
    <row r="39" spans="2:12" ht="28.8" x14ac:dyDescent="0.3">
      <c r="B39" s="137" t="s">
        <v>446</v>
      </c>
      <c r="C39" s="1">
        <v>10</v>
      </c>
      <c r="D39" s="19">
        <v>3000</v>
      </c>
      <c r="E39" s="30">
        <f>C39*D39</f>
        <v>30000</v>
      </c>
      <c r="F39" s="1">
        <v>10</v>
      </c>
      <c r="G39" s="30">
        <f>E39/F39</f>
        <v>3000</v>
      </c>
      <c r="H39" s="73">
        <f t="shared" si="37"/>
        <v>27000</v>
      </c>
      <c r="I39" s="30">
        <f t="shared" si="38"/>
        <v>24000</v>
      </c>
      <c r="J39" s="30">
        <f t="shared" si="39"/>
        <v>21000</v>
      </c>
      <c r="K39" s="30">
        <f t="shared" si="40"/>
        <v>18000</v>
      </c>
      <c r="L39" s="74">
        <f t="shared" si="41"/>
        <v>15000</v>
      </c>
    </row>
    <row r="40" spans="2:12" x14ac:dyDescent="0.3">
      <c r="B40" s="137" t="s">
        <v>513</v>
      </c>
      <c r="C40" s="1">
        <v>1</v>
      </c>
      <c r="D40" s="19">
        <v>67794.69</v>
      </c>
      <c r="E40" s="30">
        <f>C40*D40</f>
        <v>67794.69</v>
      </c>
      <c r="F40" s="1">
        <v>10</v>
      </c>
      <c r="G40" s="30">
        <f>E40/F40</f>
        <v>6779.4690000000001</v>
      </c>
      <c r="H40" s="73">
        <f t="shared" si="37"/>
        <v>61015.221000000005</v>
      </c>
      <c r="I40" s="30">
        <f t="shared" si="38"/>
        <v>54235.752000000008</v>
      </c>
      <c r="J40" s="30">
        <f t="shared" si="39"/>
        <v>47456.28300000001</v>
      </c>
      <c r="K40" s="30">
        <f t="shared" si="40"/>
        <v>40676.814000000013</v>
      </c>
      <c r="L40" s="74">
        <f t="shared" si="41"/>
        <v>33897.345000000016</v>
      </c>
    </row>
    <row r="41" spans="2:12" x14ac:dyDescent="0.3">
      <c r="B41" s="22" t="s">
        <v>448</v>
      </c>
      <c r="C41" s="1">
        <v>16</v>
      </c>
      <c r="D41" s="19">
        <v>900</v>
      </c>
      <c r="E41" s="30">
        <f>C41*D41</f>
        <v>14400</v>
      </c>
      <c r="F41" s="1">
        <v>5</v>
      </c>
      <c r="G41" s="30">
        <f>E41/F41</f>
        <v>2880</v>
      </c>
      <c r="H41" s="73">
        <f t="shared" si="37"/>
        <v>11520</v>
      </c>
      <c r="I41" s="30">
        <f t="shared" si="38"/>
        <v>8640</v>
      </c>
      <c r="J41" s="30">
        <f t="shared" si="39"/>
        <v>5760</v>
      </c>
      <c r="K41" s="30">
        <f t="shared" si="40"/>
        <v>2880</v>
      </c>
      <c r="L41" s="74">
        <f t="shared" si="41"/>
        <v>0</v>
      </c>
    </row>
    <row r="42" spans="2:12" x14ac:dyDescent="0.3">
      <c r="B42" s="22" t="s">
        <v>447</v>
      </c>
      <c r="C42" s="1">
        <v>6</v>
      </c>
      <c r="D42" s="19">
        <v>3000</v>
      </c>
      <c r="E42" s="30">
        <f>C42*D42</f>
        <v>18000</v>
      </c>
      <c r="F42" s="1">
        <v>10</v>
      </c>
      <c r="G42" s="30">
        <f>E42/F42</f>
        <v>1800</v>
      </c>
      <c r="H42" s="73">
        <f t="shared" si="37"/>
        <v>16200</v>
      </c>
      <c r="I42" s="30">
        <f t="shared" si="38"/>
        <v>14400</v>
      </c>
      <c r="J42" s="30">
        <f t="shared" si="39"/>
        <v>12600</v>
      </c>
      <c r="K42" s="30">
        <f t="shared" si="40"/>
        <v>10800</v>
      </c>
      <c r="L42" s="74">
        <f t="shared" si="41"/>
        <v>9000</v>
      </c>
    </row>
    <row r="43" spans="2:12" x14ac:dyDescent="0.3">
      <c r="B43" s="22" t="s">
        <v>539</v>
      </c>
      <c r="C43" s="1">
        <v>2</v>
      </c>
      <c r="D43" s="19">
        <v>10000</v>
      </c>
      <c r="E43" s="30">
        <f>C43*D43</f>
        <v>20000</v>
      </c>
      <c r="F43" s="1">
        <v>10</v>
      </c>
      <c r="G43" s="30">
        <f>E43/F43</f>
        <v>2000</v>
      </c>
      <c r="H43" s="73">
        <f t="shared" si="37"/>
        <v>18000</v>
      </c>
      <c r="I43" s="30">
        <f t="shared" si="38"/>
        <v>16000</v>
      </c>
      <c r="J43" s="30">
        <f t="shared" si="39"/>
        <v>14000</v>
      </c>
      <c r="K43" s="30">
        <f t="shared" si="40"/>
        <v>12000</v>
      </c>
      <c r="L43" s="74">
        <f t="shared" si="41"/>
        <v>10000</v>
      </c>
    </row>
    <row r="44" spans="2:12" x14ac:dyDescent="0.3">
      <c r="B44" s="27" t="s">
        <v>79</v>
      </c>
      <c r="G44" s="30"/>
      <c r="H44" s="73">
        <f t="shared" si="37"/>
        <v>0</v>
      </c>
      <c r="I44" s="30">
        <f t="shared" si="38"/>
        <v>0</v>
      </c>
      <c r="J44" s="30">
        <f t="shared" si="39"/>
        <v>0</v>
      </c>
      <c r="K44" s="30">
        <f t="shared" si="40"/>
        <v>0</v>
      </c>
      <c r="L44" s="74">
        <f t="shared" si="41"/>
        <v>0</v>
      </c>
    </row>
    <row r="45" spans="2:12" x14ac:dyDescent="0.3">
      <c r="B45" s="22" t="s">
        <v>509</v>
      </c>
      <c r="C45" s="1">
        <v>1</v>
      </c>
      <c r="D45" s="19">
        <v>24499</v>
      </c>
      <c r="E45" s="30">
        <f>C45*D45</f>
        <v>24499</v>
      </c>
      <c r="F45" s="1">
        <v>5</v>
      </c>
      <c r="G45" s="30">
        <f>E45/F45</f>
        <v>4899.8</v>
      </c>
      <c r="H45" s="73">
        <f t="shared" si="37"/>
        <v>19599.2</v>
      </c>
      <c r="I45" s="30">
        <f t="shared" si="38"/>
        <v>14699.400000000001</v>
      </c>
      <c r="J45" s="30">
        <f t="shared" si="39"/>
        <v>9799.6000000000022</v>
      </c>
      <c r="K45" s="30">
        <f t="shared" si="40"/>
        <v>4899.800000000002</v>
      </c>
      <c r="L45" s="74">
        <f t="shared" si="41"/>
        <v>0</v>
      </c>
    </row>
    <row r="46" spans="2:12" x14ac:dyDescent="0.3">
      <c r="B46" s="22" t="s">
        <v>510</v>
      </c>
      <c r="C46" s="1">
        <v>1</v>
      </c>
      <c r="D46" s="19">
        <v>7140</v>
      </c>
      <c r="E46" s="30">
        <f>C46*D46</f>
        <v>7140</v>
      </c>
      <c r="F46" s="1">
        <v>5</v>
      </c>
      <c r="G46" s="30">
        <f>E46/F46</f>
        <v>1428</v>
      </c>
      <c r="H46" s="73">
        <f t="shared" si="37"/>
        <v>5712</v>
      </c>
      <c r="I46" s="30">
        <f t="shared" si="38"/>
        <v>4284</v>
      </c>
      <c r="J46" s="30">
        <f t="shared" si="39"/>
        <v>2856</v>
      </c>
      <c r="K46" s="30">
        <f t="shared" si="40"/>
        <v>1428</v>
      </c>
      <c r="L46" s="74">
        <f t="shared" si="41"/>
        <v>0</v>
      </c>
    </row>
    <row r="47" spans="2:12" ht="28.8" x14ac:dyDescent="0.3">
      <c r="B47" s="137" t="s">
        <v>462</v>
      </c>
      <c r="C47" s="1">
        <v>1</v>
      </c>
      <c r="D47" s="19">
        <v>20000</v>
      </c>
      <c r="E47" s="30">
        <f>C47*D47</f>
        <v>20000</v>
      </c>
      <c r="F47" s="1">
        <v>5</v>
      </c>
      <c r="G47" s="30">
        <f>E47/F47</f>
        <v>4000</v>
      </c>
      <c r="H47" s="73">
        <f t="shared" si="37"/>
        <v>16000</v>
      </c>
      <c r="I47" s="30">
        <f t="shared" si="38"/>
        <v>12000</v>
      </c>
      <c r="J47" s="30">
        <f t="shared" si="39"/>
        <v>8000</v>
      </c>
      <c r="K47" s="30">
        <f t="shared" si="40"/>
        <v>4000</v>
      </c>
      <c r="L47" s="74">
        <f t="shared" si="41"/>
        <v>0</v>
      </c>
    </row>
    <row r="48" spans="2:12" x14ac:dyDescent="0.3">
      <c r="B48" s="20" t="s">
        <v>37</v>
      </c>
      <c r="E48" s="33"/>
      <c r="G48" s="30"/>
      <c r="H48" s="73">
        <f t="shared" si="37"/>
        <v>0</v>
      </c>
      <c r="I48" s="30">
        <f t="shared" si="38"/>
        <v>0</v>
      </c>
      <c r="J48" s="30">
        <f t="shared" si="39"/>
        <v>0</v>
      </c>
      <c r="K48" s="30">
        <f t="shared" si="40"/>
        <v>0</v>
      </c>
      <c r="L48" s="74">
        <f t="shared" si="41"/>
        <v>0</v>
      </c>
    </row>
    <row r="49" spans="2:12" x14ac:dyDescent="0.3">
      <c r="B49" s="27" t="s">
        <v>80</v>
      </c>
      <c r="G49" s="30"/>
      <c r="H49" s="73">
        <f t="shared" si="37"/>
        <v>0</v>
      </c>
      <c r="I49" s="30">
        <f t="shared" si="38"/>
        <v>0</v>
      </c>
      <c r="J49" s="30">
        <f t="shared" si="39"/>
        <v>0</v>
      </c>
      <c r="K49" s="30">
        <f t="shared" si="40"/>
        <v>0</v>
      </c>
      <c r="L49" s="74">
        <f t="shared" si="41"/>
        <v>0</v>
      </c>
    </row>
    <row r="50" spans="2:12" x14ac:dyDescent="0.3">
      <c r="B50" s="22" t="s">
        <v>459</v>
      </c>
      <c r="C50" s="1">
        <v>75</v>
      </c>
      <c r="D50" s="19">
        <v>4990</v>
      </c>
      <c r="E50" s="30">
        <f t="shared" ref="E50:E56" si="42">C50*D50</f>
        <v>374250</v>
      </c>
      <c r="F50" s="1">
        <v>10</v>
      </c>
      <c r="G50" s="30">
        <f t="shared" ref="G50:G56" si="43">E50/F50</f>
        <v>37425</v>
      </c>
      <c r="H50" s="73">
        <f t="shared" si="37"/>
        <v>336825</v>
      </c>
      <c r="I50" s="30">
        <f t="shared" si="38"/>
        <v>299400</v>
      </c>
      <c r="J50" s="30">
        <f t="shared" si="39"/>
        <v>261975</v>
      </c>
      <c r="K50" s="30">
        <f t="shared" si="40"/>
        <v>224550</v>
      </c>
      <c r="L50" s="74">
        <f t="shared" si="41"/>
        <v>187125</v>
      </c>
    </row>
    <row r="51" spans="2:12" x14ac:dyDescent="0.3">
      <c r="B51" s="22" t="s">
        <v>544</v>
      </c>
      <c r="C51" s="1">
        <v>2</v>
      </c>
      <c r="D51" s="19">
        <v>8990</v>
      </c>
      <c r="E51" s="30">
        <f t="shared" si="42"/>
        <v>17980</v>
      </c>
      <c r="F51" s="1">
        <v>10</v>
      </c>
      <c r="G51" s="30">
        <f t="shared" si="43"/>
        <v>1798</v>
      </c>
      <c r="H51" s="73">
        <f t="shared" si="37"/>
        <v>16182</v>
      </c>
      <c r="I51" s="30">
        <f t="shared" si="38"/>
        <v>14384</v>
      </c>
      <c r="J51" s="30">
        <f t="shared" si="39"/>
        <v>12586</v>
      </c>
      <c r="K51" s="30">
        <f t="shared" si="40"/>
        <v>10788</v>
      </c>
      <c r="L51" s="74">
        <f t="shared" si="41"/>
        <v>8990</v>
      </c>
    </row>
    <row r="52" spans="2:12" x14ac:dyDescent="0.3">
      <c r="B52" s="22" t="s">
        <v>546</v>
      </c>
      <c r="C52" s="1">
        <v>20</v>
      </c>
      <c r="D52" s="19">
        <v>2000</v>
      </c>
      <c r="E52" s="30">
        <f t="shared" si="42"/>
        <v>40000</v>
      </c>
      <c r="F52" s="1">
        <v>10</v>
      </c>
      <c r="G52" s="30">
        <f t="shared" si="43"/>
        <v>4000</v>
      </c>
      <c r="H52" s="73">
        <f t="shared" si="37"/>
        <v>36000</v>
      </c>
      <c r="I52" s="30">
        <f t="shared" si="38"/>
        <v>32000</v>
      </c>
      <c r="J52" s="30">
        <f t="shared" si="39"/>
        <v>28000</v>
      </c>
      <c r="K52" s="30">
        <f t="shared" si="40"/>
        <v>24000</v>
      </c>
      <c r="L52" s="74">
        <f t="shared" si="41"/>
        <v>20000</v>
      </c>
    </row>
    <row r="53" spans="2:12" ht="13.8" customHeight="1" x14ac:dyDescent="0.3">
      <c r="B53" s="22" t="s">
        <v>540</v>
      </c>
      <c r="C53" s="1">
        <v>4</v>
      </c>
      <c r="D53" s="19">
        <v>1000</v>
      </c>
      <c r="E53" s="30">
        <f t="shared" si="42"/>
        <v>4000</v>
      </c>
      <c r="F53" s="1">
        <v>10</v>
      </c>
      <c r="G53" s="30">
        <f t="shared" si="43"/>
        <v>400</v>
      </c>
      <c r="H53" s="73">
        <f t="shared" si="37"/>
        <v>3600</v>
      </c>
      <c r="I53" s="30">
        <f t="shared" si="38"/>
        <v>3200</v>
      </c>
      <c r="J53" s="30">
        <f t="shared" si="39"/>
        <v>2800</v>
      </c>
      <c r="K53" s="30">
        <f t="shared" si="40"/>
        <v>2400</v>
      </c>
      <c r="L53" s="74">
        <f t="shared" si="41"/>
        <v>2000</v>
      </c>
    </row>
    <row r="54" spans="2:12" x14ac:dyDescent="0.3">
      <c r="B54" s="22" t="s">
        <v>542</v>
      </c>
      <c r="C54" s="1">
        <v>1</v>
      </c>
      <c r="D54" s="19">
        <v>19914</v>
      </c>
      <c r="E54" s="30">
        <f t="shared" si="42"/>
        <v>19914</v>
      </c>
      <c r="F54" s="1">
        <v>5</v>
      </c>
      <c r="G54" s="30">
        <f t="shared" si="43"/>
        <v>3982.8</v>
      </c>
      <c r="H54" s="73">
        <f t="shared" si="37"/>
        <v>15931.2</v>
      </c>
      <c r="I54" s="30">
        <f t="shared" si="38"/>
        <v>11948.400000000001</v>
      </c>
      <c r="J54" s="30">
        <f t="shared" si="39"/>
        <v>7965.6000000000013</v>
      </c>
      <c r="K54" s="30">
        <f t="shared" si="40"/>
        <v>3982.8000000000011</v>
      </c>
      <c r="L54" s="74">
        <f t="shared" si="41"/>
        <v>0</v>
      </c>
    </row>
    <row r="55" spans="2:12" x14ac:dyDescent="0.3">
      <c r="B55" s="137" t="s">
        <v>543</v>
      </c>
      <c r="C55" s="1">
        <v>1</v>
      </c>
      <c r="D55" s="19">
        <v>6304.95</v>
      </c>
      <c r="E55" s="30">
        <f t="shared" si="42"/>
        <v>6304.95</v>
      </c>
      <c r="F55" s="1">
        <v>5</v>
      </c>
      <c r="G55" s="30">
        <f t="shared" si="43"/>
        <v>1260.99</v>
      </c>
      <c r="H55" s="73">
        <f t="shared" si="37"/>
        <v>5043.96</v>
      </c>
      <c r="I55" s="30">
        <f t="shared" si="38"/>
        <v>3782.9700000000003</v>
      </c>
      <c r="J55" s="30">
        <f t="shared" si="39"/>
        <v>2521.9800000000005</v>
      </c>
      <c r="K55" s="30">
        <f t="shared" si="40"/>
        <v>1260.9900000000005</v>
      </c>
      <c r="L55" s="74">
        <f t="shared" si="41"/>
        <v>0</v>
      </c>
    </row>
    <row r="56" spans="2:12" x14ac:dyDescent="0.3">
      <c r="B56" s="22" t="s">
        <v>460</v>
      </c>
      <c r="C56" s="1">
        <v>100</v>
      </c>
      <c r="D56" s="19">
        <v>150</v>
      </c>
      <c r="E56" s="30">
        <f t="shared" si="42"/>
        <v>15000</v>
      </c>
      <c r="F56" s="1">
        <v>10</v>
      </c>
      <c r="G56" s="30">
        <f t="shared" si="43"/>
        <v>1500</v>
      </c>
      <c r="H56" s="73">
        <f t="shared" si="37"/>
        <v>13500</v>
      </c>
      <c r="I56" s="30">
        <f t="shared" si="38"/>
        <v>12000</v>
      </c>
      <c r="J56" s="30">
        <f t="shared" si="39"/>
        <v>10500</v>
      </c>
      <c r="K56" s="30">
        <f t="shared" si="40"/>
        <v>9000</v>
      </c>
      <c r="L56" s="74">
        <f t="shared" si="41"/>
        <v>7500</v>
      </c>
    </row>
    <row r="57" spans="2:12" x14ac:dyDescent="0.3">
      <c r="B57" s="27" t="s">
        <v>541</v>
      </c>
      <c r="E57" s="30"/>
      <c r="G57" s="30"/>
      <c r="H57" s="73"/>
      <c r="I57" s="30"/>
      <c r="J57" s="30"/>
      <c r="K57" s="30"/>
      <c r="L57" s="74"/>
    </row>
    <row r="58" spans="2:12" x14ac:dyDescent="0.3">
      <c r="B58" s="22" t="s">
        <v>463</v>
      </c>
      <c r="C58" s="1">
        <v>1</v>
      </c>
      <c r="D58" s="19">
        <v>30000</v>
      </c>
      <c r="E58" s="30">
        <f>C58*D58</f>
        <v>30000</v>
      </c>
      <c r="F58" s="1">
        <v>10</v>
      </c>
      <c r="G58" s="30">
        <f>E58/F58</f>
        <v>3000</v>
      </c>
      <c r="H58" s="73">
        <f t="shared" ref="H58:H63" si="44">E58-G58</f>
        <v>27000</v>
      </c>
      <c r="I58" s="30">
        <f t="shared" ref="I58:I63" si="45">H58-G58</f>
        <v>24000</v>
      </c>
      <c r="J58" s="30">
        <f t="shared" ref="J58:J63" si="46">I58-G58</f>
        <v>21000</v>
      </c>
      <c r="K58" s="30">
        <f t="shared" ref="K58:K63" si="47">J58-G58</f>
        <v>18000</v>
      </c>
      <c r="L58" s="74">
        <f t="shared" ref="L58:L63" si="48">K58-G58</f>
        <v>15000</v>
      </c>
    </row>
    <row r="59" spans="2:12" ht="28.8" x14ac:dyDescent="0.3">
      <c r="B59" s="137" t="s">
        <v>464</v>
      </c>
      <c r="C59" s="1">
        <v>2</v>
      </c>
      <c r="D59" s="19">
        <v>70000</v>
      </c>
      <c r="E59" s="30">
        <f>C59*D59</f>
        <v>140000</v>
      </c>
      <c r="F59" s="1">
        <v>5</v>
      </c>
      <c r="G59" s="30">
        <f>E59/F59</f>
        <v>28000</v>
      </c>
      <c r="H59" s="73">
        <f t="shared" si="44"/>
        <v>112000</v>
      </c>
      <c r="I59" s="30">
        <f t="shared" si="45"/>
        <v>84000</v>
      </c>
      <c r="J59" s="30">
        <f t="shared" si="46"/>
        <v>56000</v>
      </c>
      <c r="K59" s="30">
        <f t="shared" si="47"/>
        <v>28000</v>
      </c>
      <c r="L59" s="74">
        <f t="shared" si="48"/>
        <v>0</v>
      </c>
    </row>
    <row r="60" spans="2:12" x14ac:dyDescent="0.3">
      <c r="B60" s="27" t="s">
        <v>545</v>
      </c>
      <c r="G60" s="30"/>
      <c r="H60" s="73">
        <f t="shared" si="44"/>
        <v>0</v>
      </c>
      <c r="I60" s="30">
        <f t="shared" si="45"/>
        <v>0</v>
      </c>
      <c r="J60" s="30">
        <f t="shared" si="46"/>
        <v>0</v>
      </c>
      <c r="K60" s="30">
        <f t="shared" si="47"/>
        <v>0</v>
      </c>
      <c r="L60" s="74">
        <f t="shared" si="48"/>
        <v>0</v>
      </c>
    </row>
    <row r="61" spans="2:12" ht="28.8" x14ac:dyDescent="0.3">
      <c r="B61" s="137" t="s">
        <v>461</v>
      </c>
      <c r="C61" s="1">
        <v>7</v>
      </c>
      <c r="D61" s="19">
        <v>2000</v>
      </c>
      <c r="E61" s="30">
        <f>C61*D61</f>
        <v>14000</v>
      </c>
      <c r="F61" s="1">
        <v>10</v>
      </c>
      <c r="G61" s="30">
        <f>E61/F61</f>
        <v>1400</v>
      </c>
      <c r="H61" s="73">
        <f t="shared" si="44"/>
        <v>12600</v>
      </c>
      <c r="I61" s="30">
        <f t="shared" si="45"/>
        <v>11200</v>
      </c>
      <c r="J61" s="30">
        <f t="shared" si="46"/>
        <v>9800</v>
      </c>
      <c r="K61" s="30">
        <f t="shared" si="47"/>
        <v>8400</v>
      </c>
      <c r="L61" s="74">
        <f t="shared" si="48"/>
        <v>7000</v>
      </c>
    </row>
    <row r="62" spans="2:12" x14ac:dyDescent="0.3">
      <c r="B62" s="27" t="s">
        <v>81</v>
      </c>
      <c r="G62" s="30"/>
      <c r="H62" s="73">
        <f t="shared" si="44"/>
        <v>0</v>
      </c>
      <c r="I62" s="30">
        <f t="shared" si="45"/>
        <v>0</v>
      </c>
      <c r="J62" s="30">
        <f t="shared" si="46"/>
        <v>0</v>
      </c>
      <c r="K62" s="30">
        <f t="shared" si="47"/>
        <v>0</v>
      </c>
      <c r="L62" s="74">
        <f t="shared" si="48"/>
        <v>0</v>
      </c>
    </row>
    <row r="63" spans="2:12" x14ac:dyDescent="0.3">
      <c r="B63" s="22" t="s">
        <v>547</v>
      </c>
      <c r="C63" s="1">
        <v>3</v>
      </c>
      <c r="D63" s="19">
        <v>2000</v>
      </c>
      <c r="E63" s="30">
        <f>C63*D63</f>
        <v>6000</v>
      </c>
      <c r="F63" s="1">
        <v>10</v>
      </c>
      <c r="G63" s="30">
        <f>E63/F63</f>
        <v>600</v>
      </c>
      <c r="H63" s="73">
        <f t="shared" si="44"/>
        <v>5400</v>
      </c>
      <c r="I63" s="30">
        <f t="shared" si="45"/>
        <v>4800</v>
      </c>
      <c r="J63" s="30">
        <f t="shared" si="46"/>
        <v>4200</v>
      </c>
      <c r="K63" s="30">
        <f t="shared" si="47"/>
        <v>3600</v>
      </c>
      <c r="L63" s="74">
        <f t="shared" si="48"/>
        <v>3000</v>
      </c>
    </row>
    <row r="64" spans="2:12" x14ac:dyDescent="0.3">
      <c r="B64" s="27" t="s">
        <v>548</v>
      </c>
      <c r="E64" s="30"/>
      <c r="G64" s="30"/>
      <c r="H64" s="73"/>
      <c r="I64" s="30"/>
      <c r="J64" s="30"/>
      <c r="K64" s="30"/>
      <c r="L64" s="74"/>
    </row>
    <row r="65" spans="2:12" ht="28.8" x14ac:dyDescent="0.3">
      <c r="B65" s="137" t="s">
        <v>551</v>
      </c>
      <c r="C65" s="1">
        <v>3</v>
      </c>
      <c r="D65" s="19">
        <v>2000</v>
      </c>
      <c r="E65" s="30">
        <f t="shared" ref="E65:E71" si="49">C65*D65</f>
        <v>6000</v>
      </c>
      <c r="F65" s="1">
        <v>5</v>
      </c>
      <c r="G65" s="30">
        <f t="shared" ref="G65:G71" si="50">E65/F65</f>
        <v>1200</v>
      </c>
      <c r="H65" s="73">
        <f t="shared" ref="H65:H71" si="51">E65-G65</f>
        <v>4800</v>
      </c>
      <c r="I65" s="30">
        <f t="shared" ref="I65:I71" si="52">H65-G65</f>
        <v>3600</v>
      </c>
      <c r="J65" s="30">
        <f t="shared" ref="J65:J71" si="53">I65-G65</f>
        <v>2400</v>
      </c>
      <c r="K65" s="30">
        <f t="shared" ref="K65:K71" si="54">J65-G65</f>
        <v>1200</v>
      </c>
      <c r="L65" s="74">
        <f t="shared" ref="L65:L71" si="55">K65-G65</f>
        <v>0</v>
      </c>
    </row>
    <row r="66" spans="2:12" x14ac:dyDescent="0.3">
      <c r="B66" s="22" t="s">
        <v>552</v>
      </c>
      <c r="C66" s="1">
        <v>5</v>
      </c>
      <c r="D66" s="19">
        <v>500</v>
      </c>
      <c r="E66" s="30">
        <f t="shared" si="49"/>
        <v>2500</v>
      </c>
      <c r="F66" s="1">
        <v>5</v>
      </c>
      <c r="G66" s="30">
        <f t="shared" si="50"/>
        <v>500</v>
      </c>
      <c r="H66" s="73">
        <f t="shared" si="51"/>
        <v>2000</v>
      </c>
      <c r="I66" s="30">
        <f t="shared" si="52"/>
        <v>1500</v>
      </c>
      <c r="J66" s="30">
        <f t="shared" si="53"/>
        <v>1000</v>
      </c>
      <c r="K66" s="30">
        <f t="shared" si="54"/>
        <v>500</v>
      </c>
      <c r="L66" s="74">
        <f t="shared" si="55"/>
        <v>0</v>
      </c>
    </row>
    <row r="67" spans="2:12" x14ac:dyDescent="0.3">
      <c r="B67" s="22" t="s">
        <v>553</v>
      </c>
      <c r="C67" s="1">
        <v>7</v>
      </c>
      <c r="D67" s="19">
        <v>1700</v>
      </c>
      <c r="E67" s="30">
        <f t="shared" si="49"/>
        <v>11900</v>
      </c>
      <c r="F67" s="1">
        <v>5</v>
      </c>
      <c r="G67" s="30">
        <f t="shared" si="50"/>
        <v>2380</v>
      </c>
      <c r="H67" s="73">
        <f t="shared" si="51"/>
        <v>9520</v>
      </c>
      <c r="I67" s="30">
        <f t="shared" si="52"/>
        <v>7140</v>
      </c>
      <c r="J67" s="30">
        <f t="shared" si="53"/>
        <v>4760</v>
      </c>
      <c r="K67" s="30">
        <f t="shared" si="54"/>
        <v>2380</v>
      </c>
      <c r="L67" s="74">
        <f t="shared" si="55"/>
        <v>0</v>
      </c>
    </row>
    <row r="68" spans="2:12" x14ac:dyDescent="0.3">
      <c r="B68" s="22" t="s">
        <v>554</v>
      </c>
      <c r="C68" s="1">
        <v>20</v>
      </c>
      <c r="D68" s="19">
        <v>200</v>
      </c>
      <c r="E68" s="30">
        <f t="shared" si="49"/>
        <v>4000</v>
      </c>
      <c r="F68" s="1">
        <v>5</v>
      </c>
      <c r="G68" s="30">
        <f t="shared" si="50"/>
        <v>800</v>
      </c>
      <c r="H68" s="73">
        <f t="shared" si="51"/>
        <v>3200</v>
      </c>
      <c r="I68" s="30">
        <f t="shared" si="52"/>
        <v>2400</v>
      </c>
      <c r="J68" s="30">
        <f t="shared" si="53"/>
        <v>1600</v>
      </c>
      <c r="K68" s="30">
        <f t="shared" si="54"/>
        <v>800</v>
      </c>
      <c r="L68" s="74">
        <f t="shared" si="55"/>
        <v>0</v>
      </c>
    </row>
    <row r="69" spans="2:12" x14ac:dyDescent="0.3">
      <c r="B69" s="22" t="s">
        <v>555</v>
      </c>
      <c r="C69" s="1">
        <v>20</v>
      </c>
      <c r="D69" s="19">
        <v>400</v>
      </c>
      <c r="E69" s="30">
        <f t="shared" si="49"/>
        <v>8000</v>
      </c>
      <c r="F69" s="1">
        <v>5</v>
      </c>
      <c r="G69" s="30">
        <f t="shared" si="50"/>
        <v>1600</v>
      </c>
      <c r="H69" s="73">
        <f t="shared" si="51"/>
        <v>6400</v>
      </c>
      <c r="I69" s="30">
        <f t="shared" si="52"/>
        <v>4800</v>
      </c>
      <c r="J69" s="30">
        <f t="shared" si="53"/>
        <v>3200</v>
      </c>
      <c r="K69" s="30">
        <f t="shared" si="54"/>
        <v>1600</v>
      </c>
      <c r="L69" s="74">
        <f t="shared" si="55"/>
        <v>0</v>
      </c>
    </row>
    <row r="70" spans="2:12" x14ac:dyDescent="0.3">
      <c r="B70" s="22" t="s">
        <v>556</v>
      </c>
      <c r="C70" s="1">
        <v>4</v>
      </c>
      <c r="D70" s="19">
        <v>4500</v>
      </c>
      <c r="E70" s="30">
        <f t="shared" si="49"/>
        <v>18000</v>
      </c>
      <c r="F70" s="1">
        <v>5</v>
      </c>
      <c r="G70" s="30">
        <f t="shared" si="50"/>
        <v>3600</v>
      </c>
      <c r="H70" s="73">
        <f t="shared" si="51"/>
        <v>14400</v>
      </c>
      <c r="I70" s="30">
        <f t="shared" si="52"/>
        <v>10800</v>
      </c>
      <c r="J70" s="30">
        <f t="shared" si="53"/>
        <v>7200</v>
      </c>
      <c r="K70" s="30">
        <f t="shared" si="54"/>
        <v>3600</v>
      </c>
      <c r="L70" s="74">
        <f t="shared" si="55"/>
        <v>0</v>
      </c>
    </row>
    <row r="71" spans="2:12" ht="28.8" x14ac:dyDescent="0.3">
      <c r="B71" s="137" t="s">
        <v>557</v>
      </c>
      <c r="C71" s="1">
        <v>3</v>
      </c>
      <c r="D71" s="19">
        <v>1500</v>
      </c>
      <c r="E71" s="30">
        <f t="shared" si="49"/>
        <v>4500</v>
      </c>
      <c r="F71" s="1">
        <v>5</v>
      </c>
      <c r="G71" s="30">
        <f t="shared" si="50"/>
        <v>900</v>
      </c>
      <c r="H71" s="73">
        <f t="shared" si="51"/>
        <v>3600</v>
      </c>
      <c r="I71" s="30">
        <f t="shared" si="52"/>
        <v>2700</v>
      </c>
      <c r="J71" s="30">
        <f t="shared" si="53"/>
        <v>1800</v>
      </c>
      <c r="K71" s="30">
        <f t="shared" si="54"/>
        <v>900</v>
      </c>
      <c r="L71" s="74">
        <f t="shared" si="55"/>
        <v>0</v>
      </c>
    </row>
    <row r="72" spans="2:12" x14ac:dyDescent="0.3">
      <c r="B72" s="20" t="s">
        <v>38</v>
      </c>
      <c r="E72" s="30"/>
      <c r="G72" s="30"/>
      <c r="H72" s="73"/>
      <c r="I72" s="30"/>
      <c r="J72" s="30"/>
      <c r="K72" s="30"/>
      <c r="L72" s="74"/>
    </row>
    <row r="73" spans="2:12" x14ac:dyDescent="0.3">
      <c r="B73" s="27" t="s">
        <v>69</v>
      </c>
      <c r="G73" s="30"/>
      <c r="H73" s="73"/>
      <c r="I73" s="30"/>
      <c r="J73" s="30"/>
      <c r="K73" s="30"/>
      <c r="L73" s="74"/>
    </row>
    <row r="74" spans="2:12" x14ac:dyDescent="0.3">
      <c r="B74" s="23" t="s">
        <v>71</v>
      </c>
      <c r="C74" s="1">
        <v>2</v>
      </c>
      <c r="D74" s="19">
        <v>10000</v>
      </c>
      <c r="E74" s="30">
        <f>C74*D74</f>
        <v>20000</v>
      </c>
      <c r="F74" s="1">
        <v>5</v>
      </c>
      <c r="G74" s="30">
        <f>E74/F74</f>
        <v>4000</v>
      </c>
      <c r="H74" s="73">
        <f t="shared" si="10"/>
        <v>16000</v>
      </c>
      <c r="I74" s="30">
        <f t="shared" si="11"/>
        <v>12000</v>
      </c>
      <c r="J74" s="30">
        <f t="shared" si="14"/>
        <v>8000</v>
      </c>
      <c r="K74" s="30">
        <f t="shared" si="12"/>
        <v>4000</v>
      </c>
      <c r="L74" s="74">
        <f t="shared" si="13"/>
        <v>0</v>
      </c>
    </row>
    <row r="75" spans="2:12" x14ac:dyDescent="0.3">
      <c r="B75" s="23" t="s">
        <v>437</v>
      </c>
      <c r="C75" s="1">
        <v>1</v>
      </c>
      <c r="D75" s="19">
        <v>15000</v>
      </c>
      <c r="E75" s="30">
        <f>C75*D75</f>
        <v>15000</v>
      </c>
      <c r="F75" s="1">
        <v>5</v>
      </c>
      <c r="G75" s="30">
        <f>E75/F75</f>
        <v>3000</v>
      </c>
      <c r="H75" s="73">
        <f t="shared" si="10"/>
        <v>12000</v>
      </c>
      <c r="I75" s="30">
        <f t="shared" si="11"/>
        <v>9000</v>
      </c>
      <c r="J75" s="30">
        <f t="shared" si="14"/>
        <v>6000</v>
      </c>
      <c r="K75" s="30">
        <f t="shared" si="12"/>
        <v>3000</v>
      </c>
      <c r="L75" s="74">
        <f t="shared" si="13"/>
        <v>0</v>
      </c>
    </row>
    <row r="76" spans="2:12" x14ac:dyDescent="0.3">
      <c r="B76" s="23" t="s">
        <v>72</v>
      </c>
      <c r="C76" s="1">
        <v>2</v>
      </c>
      <c r="D76" s="19">
        <v>5000</v>
      </c>
      <c r="E76" s="30">
        <f>C76*D76</f>
        <v>10000</v>
      </c>
      <c r="F76" s="1">
        <v>5</v>
      </c>
      <c r="G76" s="30">
        <f>E76/F76</f>
        <v>2000</v>
      </c>
      <c r="H76" s="73">
        <f t="shared" si="10"/>
        <v>8000</v>
      </c>
      <c r="I76" s="30">
        <f t="shared" si="11"/>
        <v>6000</v>
      </c>
      <c r="J76" s="30">
        <f t="shared" si="14"/>
        <v>4000</v>
      </c>
      <c r="K76" s="30">
        <f t="shared" si="12"/>
        <v>2000</v>
      </c>
      <c r="L76" s="74">
        <f t="shared" si="13"/>
        <v>0</v>
      </c>
    </row>
    <row r="77" spans="2:12" x14ac:dyDescent="0.3">
      <c r="B77" s="27" t="s">
        <v>70</v>
      </c>
      <c r="G77" s="30"/>
      <c r="H77" s="73">
        <f t="shared" si="10"/>
        <v>0</v>
      </c>
      <c r="I77" s="30">
        <f t="shared" si="11"/>
        <v>0</v>
      </c>
      <c r="J77" s="30">
        <f t="shared" si="14"/>
        <v>0</v>
      </c>
      <c r="K77" s="30">
        <f t="shared" si="12"/>
        <v>0</v>
      </c>
      <c r="L77" s="74">
        <f t="shared" si="13"/>
        <v>0</v>
      </c>
    </row>
    <row r="78" spans="2:12" x14ac:dyDescent="0.3">
      <c r="B78" s="23" t="s">
        <v>73</v>
      </c>
      <c r="C78" s="1">
        <v>2</v>
      </c>
      <c r="D78" s="19">
        <v>5000</v>
      </c>
      <c r="E78" s="30">
        <f>C78*D78</f>
        <v>10000</v>
      </c>
      <c r="F78" s="1">
        <v>5</v>
      </c>
      <c r="G78" s="30">
        <f>E78/F78</f>
        <v>2000</v>
      </c>
      <c r="H78" s="73">
        <f t="shared" si="10"/>
        <v>8000</v>
      </c>
      <c r="I78" s="30">
        <f t="shared" si="11"/>
        <v>6000</v>
      </c>
      <c r="J78" s="30">
        <f t="shared" si="14"/>
        <v>4000</v>
      </c>
      <c r="K78" s="30">
        <f t="shared" si="12"/>
        <v>2000</v>
      </c>
      <c r="L78" s="74">
        <f t="shared" si="13"/>
        <v>0</v>
      </c>
    </row>
    <row r="79" spans="2:12" x14ac:dyDescent="0.3">
      <c r="B79" s="23" t="s">
        <v>74</v>
      </c>
      <c r="C79" s="1">
        <v>2</v>
      </c>
      <c r="D79" s="19">
        <v>5000</v>
      </c>
      <c r="E79" s="30">
        <f>C79*D79</f>
        <v>10000</v>
      </c>
      <c r="F79" s="1">
        <v>5</v>
      </c>
      <c r="G79" s="30">
        <f>E79/F79</f>
        <v>2000</v>
      </c>
      <c r="H79" s="73">
        <f t="shared" si="10"/>
        <v>8000</v>
      </c>
      <c r="I79" s="30">
        <f t="shared" si="11"/>
        <v>6000</v>
      </c>
      <c r="J79" s="30">
        <f t="shared" si="14"/>
        <v>4000</v>
      </c>
      <c r="K79" s="30">
        <f t="shared" si="12"/>
        <v>2000</v>
      </c>
      <c r="L79" s="74">
        <f t="shared" si="13"/>
        <v>0</v>
      </c>
    </row>
    <row r="80" spans="2:12" x14ac:dyDescent="0.3">
      <c r="B80" s="26" t="s">
        <v>75</v>
      </c>
      <c r="G80" s="30"/>
      <c r="H80" s="73">
        <f t="shared" si="10"/>
        <v>0</v>
      </c>
      <c r="I80" s="30">
        <f t="shared" si="11"/>
        <v>0</v>
      </c>
      <c r="J80" s="30">
        <f t="shared" si="14"/>
        <v>0</v>
      </c>
      <c r="K80" s="30">
        <f t="shared" si="12"/>
        <v>0</v>
      </c>
      <c r="L80" s="74">
        <f t="shared" si="13"/>
        <v>0</v>
      </c>
    </row>
    <row r="81" spans="2:12" x14ac:dyDescent="0.3">
      <c r="B81" s="18" t="s">
        <v>442</v>
      </c>
      <c r="C81" s="1">
        <v>2</v>
      </c>
      <c r="D81" s="19">
        <v>30000</v>
      </c>
      <c r="E81" s="30">
        <f>C81*D81</f>
        <v>60000</v>
      </c>
      <c r="F81" s="1">
        <v>10</v>
      </c>
      <c r="G81" s="30">
        <f>E81/F81</f>
        <v>6000</v>
      </c>
      <c r="H81" s="73">
        <f t="shared" si="10"/>
        <v>54000</v>
      </c>
      <c r="I81" s="30">
        <f t="shared" si="11"/>
        <v>48000</v>
      </c>
      <c r="J81" s="30">
        <f t="shared" si="14"/>
        <v>42000</v>
      </c>
      <c r="K81" s="30">
        <f t="shared" si="12"/>
        <v>36000</v>
      </c>
      <c r="L81" s="74">
        <f t="shared" si="13"/>
        <v>30000</v>
      </c>
    </row>
    <row r="82" spans="2:12" x14ac:dyDescent="0.3">
      <c r="B82" s="26" t="s">
        <v>76</v>
      </c>
      <c r="G82" s="30"/>
      <c r="H82" s="73">
        <f t="shared" si="10"/>
        <v>0</v>
      </c>
      <c r="I82" s="30">
        <f t="shared" si="11"/>
        <v>0</v>
      </c>
      <c r="J82" s="30">
        <f t="shared" si="14"/>
        <v>0</v>
      </c>
      <c r="K82" s="30">
        <f t="shared" si="12"/>
        <v>0</v>
      </c>
      <c r="L82" s="74">
        <f t="shared" si="13"/>
        <v>0</v>
      </c>
    </row>
    <row r="83" spans="2:12" x14ac:dyDescent="0.3">
      <c r="B83" s="18" t="s">
        <v>454</v>
      </c>
      <c r="C83" s="1">
        <v>9</v>
      </c>
      <c r="D83" s="19">
        <v>2000</v>
      </c>
      <c r="E83" s="30">
        <f t="shared" ref="E83:E89" si="56">C83*D83</f>
        <v>18000</v>
      </c>
      <c r="F83" s="1">
        <v>5</v>
      </c>
      <c r="G83" s="30">
        <f t="shared" ref="G83:G89" si="57">E83/F83</f>
        <v>3600</v>
      </c>
      <c r="H83" s="73">
        <f t="shared" si="10"/>
        <v>14400</v>
      </c>
      <c r="I83" s="30">
        <f t="shared" si="11"/>
        <v>10800</v>
      </c>
      <c r="J83" s="30">
        <f t="shared" si="14"/>
        <v>7200</v>
      </c>
      <c r="K83" s="30">
        <f t="shared" si="12"/>
        <v>3600</v>
      </c>
      <c r="L83" s="74">
        <f t="shared" si="13"/>
        <v>0</v>
      </c>
    </row>
    <row r="84" spans="2:12" x14ac:dyDescent="0.3">
      <c r="B84" s="18" t="s">
        <v>455</v>
      </c>
      <c r="C84" s="1">
        <v>1</v>
      </c>
      <c r="D84" s="19">
        <v>3000</v>
      </c>
      <c r="E84" s="30">
        <f t="shared" si="56"/>
        <v>3000</v>
      </c>
      <c r="F84" s="1">
        <v>5</v>
      </c>
      <c r="G84" s="30">
        <f t="shared" si="57"/>
        <v>600</v>
      </c>
      <c r="H84" s="73">
        <f t="shared" si="10"/>
        <v>2400</v>
      </c>
      <c r="I84" s="30">
        <f t="shared" si="11"/>
        <v>1800</v>
      </c>
      <c r="J84" s="30">
        <f t="shared" si="14"/>
        <v>1200</v>
      </c>
      <c r="K84" s="30">
        <f t="shared" si="12"/>
        <v>600</v>
      </c>
      <c r="L84" s="74">
        <f t="shared" si="13"/>
        <v>0</v>
      </c>
    </row>
    <row r="85" spans="2:12" x14ac:dyDescent="0.3">
      <c r="B85" s="18" t="s">
        <v>456</v>
      </c>
      <c r="C85" s="1">
        <v>2</v>
      </c>
      <c r="D85" s="19">
        <v>2000</v>
      </c>
      <c r="E85" s="30">
        <f t="shared" si="56"/>
        <v>4000</v>
      </c>
      <c r="F85" s="1">
        <v>5</v>
      </c>
      <c r="G85" s="30">
        <f t="shared" si="57"/>
        <v>800</v>
      </c>
      <c r="H85" s="73">
        <f t="shared" si="10"/>
        <v>3200</v>
      </c>
      <c r="I85" s="30">
        <f t="shared" si="11"/>
        <v>2400</v>
      </c>
      <c r="J85" s="30">
        <f t="shared" si="14"/>
        <v>1600</v>
      </c>
      <c r="K85" s="30">
        <f t="shared" si="12"/>
        <v>800</v>
      </c>
      <c r="L85" s="74">
        <f t="shared" si="13"/>
        <v>0</v>
      </c>
    </row>
    <row r="86" spans="2:12" x14ac:dyDescent="0.3">
      <c r="B86" s="18" t="s">
        <v>457</v>
      </c>
      <c r="C86" s="1">
        <v>16</v>
      </c>
      <c r="D86" s="19">
        <v>350</v>
      </c>
      <c r="E86" s="30">
        <f t="shared" si="56"/>
        <v>5600</v>
      </c>
      <c r="F86" s="1">
        <v>5</v>
      </c>
      <c r="G86" s="30">
        <f t="shared" si="57"/>
        <v>1120</v>
      </c>
      <c r="H86" s="73">
        <f t="shared" ref="H86:H89" si="58">E86-G86</f>
        <v>4480</v>
      </c>
      <c r="I86" s="30">
        <f t="shared" ref="I86:I89" si="59">H86-G86</f>
        <v>3360</v>
      </c>
      <c r="J86" s="30">
        <f t="shared" ref="J86:J89" si="60">I86-G86</f>
        <v>2240</v>
      </c>
      <c r="K86" s="30">
        <f t="shared" ref="K86:K89" si="61">J86-G86</f>
        <v>1120</v>
      </c>
      <c r="L86" s="74">
        <f>K86-G86</f>
        <v>0</v>
      </c>
    </row>
    <row r="87" spans="2:12" ht="28.8" x14ac:dyDescent="0.3">
      <c r="B87" s="40" t="s">
        <v>458</v>
      </c>
      <c r="C87" s="1">
        <v>2</v>
      </c>
      <c r="D87" s="19">
        <v>1000</v>
      </c>
      <c r="E87" s="30">
        <f t="shared" si="56"/>
        <v>2000</v>
      </c>
      <c r="F87" s="1">
        <v>5</v>
      </c>
      <c r="G87" s="30">
        <f t="shared" si="57"/>
        <v>400</v>
      </c>
      <c r="H87" s="73">
        <f t="shared" si="58"/>
        <v>1600</v>
      </c>
      <c r="I87" s="30">
        <f t="shared" si="59"/>
        <v>1200</v>
      </c>
      <c r="J87" s="30">
        <f t="shared" si="60"/>
        <v>800</v>
      </c>
      <c r="K87" s="30">
        <f t="shared" si="61"/>
        <v>400</v>
      </c>
      <c r="L87" s="74">
        <f t="shared" ref="L87:L89" si="62">K87-G87</f>
        <v>0</v>
      </c>
    </row>
    <row r="88" spans="2:12" x14ac:dyDescent="0.3">
      <c r="B88" s="40" t="s">
        <v>550</v>
      </c>
      <c r="C88" s="1">
        <v>10</v>
      </c>
      <c r="D88" s="19">
        <v>300</v>
      </c>
      <c r="E88" s="30">
        <f t="shared" si="56"/>
        <v>3000</v>
      </c>
      <c r="F88" s="1">
        <v>10</v>
      </c>
      <c r="G88" s="30">
        <f t="shared" si="57"/>
        <v>300</v>
      </c>
      <c r="H88" s="73">
        <f t="shared" si="58"/>
        <v>2700</v>
      </c>
      <c r="I88" s="30">
        <f t="shared" si="59"/>
        <v>2400</v>
      </c>
      <c r="J88" s="30">
        <f t="shared" si="60"/>
        <v>2100</v>
      </c>
      <c r="K88" s="30">
        <f t="shared" si="61"/>
        <v>1800</v>
      </c>
      <c r="L88" s="74">
        <f t="shared" si="62"/>
        <v>1500</v>
      </c>
    </row>
    <row r="89" spans="2:12" ht="28.8" x14ac:dyDescent="0.3">
      <c r="B89" s="40" t="s">
        <v>549</v>
      </c>
      <c r="C89" s="34">
        <v>10</v>
      </c>
      <c r="D89" s="35">
        <v>2500</v>
      </c>
      <c r="E89" s="36">
        <f t="shared" si="56"/>
        <v>25000</v>
      </c>
      <c r="F89" s="34">
        <v>10</v>
      </c>
      <c r="G89" s="75">
        <f t="shared" si="57"/>
        <v>2500</v>
      </c>
      <c r="H89" s="73">
        <f t="shared" si="58"/>
        <v>22500</v>
      </c>
      <c r="I89" s="30">
        <f t="shared" si="59"/>
        <v>20000</v>
      </c>
      <c r="J89" s="30">
        <f t="shared" si="60"/>
        <v>17500</v>
      </c>
      <c r="K89" s="30">
        <f t="shared" si="61"/>
        <v>15000</v>
      </c>
      <c r="L89" s="74">
        <f t="shared" si="62"/>
        <v>12500</v>
      </c>
    </row>
    <row r="90" spans="2:12" ht="15" thickBot="1" x14ac:dyDescent="0.35">
      <c r="B90" s="164" t="s">
        <v>87</v>
      </c>
      <c r="C90" s="164"/>
      <c r="D90" s="164"/>
      <c r="E90" s="113">
        <f>SUM(E4:E89)</f>
        <v>2964465.64</v>
      </c>
      <c r="F90" s="32" t="s">
        <v>88</v>
      </c>
      <c r="G90" s="113">
        <f t="shared" ref="G90:L90" si="63">SUM(G4:G89)</f>
        <v>346363.15899999999</v>
      </c>
      <c r="H90" s="139">
        <f t="shared" si="63"/>
        <v>3739202.4810000001</v>
      </c>
      <c r="I90" s="139">
        <f t="shared" si="63"/>
        <v>2271739.3219999997</v>
      </c>
      <c r="J90" s="139">
        <f t="shared" si="63"/>
        <v>1925376.1630000002</v>
      </c>
      <c r="K90" s="139">
        <f t="shared" si="63"/>
        <v>1579013.0040000002</v>
      </c>
      <c r="L90" s="139">
        <f t="shared" si="63"/>
        <v>1232649.845</v>
      </c>
    </row>
    <row r="91" spans="2:12" ht="15" thickTop="1" x14ac:dyDescent="0.3"/>
    <row r="92" spans="2:12" x14ac:dyDescent="0.3">
      <c r="I92" s="30"/>
      <c r="J92" s="30"/>
    </row>
    <row r="93" spans="2:12" x14ac:dyDescent="0.3">
      <c r="F93" s="4" t="s">
        <v>88</v>
      </c>
      <c r="G93" s="33">
        <f>G90</f>
        <v>346363.15899999999</v>
      </c>
      <c r="H93" s="30">
        <f>E90-G93</f>
        <v>2618102.4810000001</v>
      </c>
      <c r="I93" s="30"/>
    </row>
    <row r="94" spans="2:12" x14ac:dyDescent="0.3">
      <c r="F94" s="1" t="s">
        <v>404</v>
      </c>
      <c r="G94" s="33">
        <f>G93</f>
        <v>346363.15899999999</v>
      </c>
      <c r="H94" s="30">
        <f>H90-G94</f>
        <v>3392839.3220000002</v>
      </c>
    </row>
    <row r="95" spans="2:12" x14ac:dyDescent="0.3">
      <c r="F95" s="1" t="s">
        <v>405</v>
      </c>
      <c r="G95" s="33">
        <f t="shared" ref="G95:G97" si="64">G94</f>
        <v>346363.15899999999</v>
      </c>
      <c r="H95" s="30">
        <f>I90-G95</f>
        <v>1925376.1629999997</v>
      </c>
    </row>
    <row r="96" spans="2:12" x14ac:dyDescent="0.3">
      <c r="F96" s="1" t="s">
        <v>406</v>
      </c>
      <c r="G96" s="33">
        <f t="shared" si="64"/>
        <v>346363.15899999999</v>
      </c>
      <c r="H96" s="30">
        <f>H95-G96</f>
        <v>1579013.0039999997</v>
      </c>
    </row>
    <row r="97" spans="6:8" x14ac:dyDescent="0.3">
      <c r="F97" s="1" t="s">
        <v>407</v>
      </c>
      <c r="G97" s="33">
        <f t="shared" si="64"/>
        <v>346363.15899999999</v>
      </c>
      <c r="H97" s="30">
        <f>K90-G97</f>
        <v>1232649.8450000002</v>
      </c>
    </row>
  </sheetData>
  <mergeCells count="2">
    <mergeCell ref="B90:D90"/>
    <mergeCell ref="H2:L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7178-44E9-43E5-A5BA-6B7E9928D2A6}">
  <sheetPr>
    <tabColor theme="7" tint="-0.249977111117893"/>
  </sheetPr>
  <dimension ref="B2:H126"/>
  <sheetViews>
    <sheetView topLeftCell="A6" zoomScale="115" zoomScaleNormal="115" workbookViewId="0">
      <selection activeCell="H125" sqref="H125"/>
    </sheetView>
  </sheetViews>
  <sheetFormatPr defaultRowHeight="14.4" x14ac:dyDescent="0.3"/>
  <cols>
    <col min="2" max="2" width="24.33203125" bestFit="1" customWidth="1"/>
    <col min="3" max="3" width="13.33203125" style="1" customWidth="1"/>
    <col min="4" max="5" width="9.77734375" style="1" customWidth="1"/>
    <col min="6" max="6" width="22.21875" customWidth="1"/>
    <col min="7" max="7" width="17.33203125" customWidth="1"/>
    <col min="8" max="8" width="14.5546875" customWidth="1"/>
  </cols>
  <sheetData>
    <row r="2" spans="2:8" s="3" customFormat="1" ht="28.8" x14ac:dyDescent="0.3">
      <c r="B2" s="84" t="s">
        <v>143</v>
      </c>
      <c r="C2" s="84" t="s">
        <v>231</v>
      </c>
      <c r="D2" s="84" t="s">
        <v>249</v>
      </c>
      <c r="E2" s="118" t="s">
        <v>22</v>
      </c>
      <c r="F2" s="84" t="s">
        <v>250</v>
      </c>
      <c r="G2" s="84" t="s">
        <v>343</v>
      </c>
      <c r="H2" s="84" t="s">
        <v>23</v>
      </c>
    </row>
    <row r="3" spans="2:8" x14ac:dyDescent="0.3">
      <c r="B3" s="8" t="s">
        <v>230</v>
      </c>
      <c r="E3" s="37"/>
    </row>
    <row r="4" spans="2:8" x14ac:dyDescent="0.3">
      <c r="F4" s="14"/>
      <c r="G4" s="14"/>
    </row>
    <row r="5" spans="2:8" x14ac:dyDescent="0.3">
      <c r="B5" t="s">
        <v>185</v>
      </c>
      <c r="C5">
        <v>150</v>
      </c>
      <c r="D5">
        <v>500</v>
      </c>
      <c r="E5">
        <v>167.5</v>
      </c>
      <c r="F5" s="14">
        <f>C5*100</f>
        <v>15000</v>
      </c>
      <c r="G5" s="14">
        <f>F5*7</f>
        <v>105000</v>
      </c>
      <c r="H5" s="44">
        <f>(G5/D5)*E5</f>
        <v>35175</v>
      </c>
    </row>
    <row r="6" spans="2:8" x14ac:dyDescent="0.3">
      <c r="B6" t="s">
        <v>164</v>
      </c>
      <c r="C6">
        <v>67</v>
      </c>
      <c r="D6">
        <v>900</v>
      </c>
      <c r="E6">
        <v>176</v>
      </c>
      <c r="F6" s="14">
        <f t="shared" ref="F6:F8" si="0">C6*100</f>
        <v>6700</v>
      </c>
      <c r="G6" s="14">
        <f t="shared" ref="G6:G65" si="1">F6*7</f>
        <v>46900</v>
      </c>
      <c r="H6" s="44">
        <f t="shared" ref="H6:H8" si="2">(G6/D6)*E6</f>
        <v>9171.5555555555566</v>
      </c>
    </row>
    <row r="7" spans="2:8" x14ac:dyDescent="0.3">
      <c r="B7" t="s">
        <v>173</v>
      </c>
      <c r="C7">
        <v>73</v>
      </c>
      <c r="D7">
        <v>165</v>
      </c>
      <c r="E7">
        <v>10</v>
      </c>
      <c r="F7" s="14">
        <f t="shared" si="0"/>
        <v>7300</v>
      </c>
      <c r="G7" s="14">
        <f t="shared" si="1"/>
        <v>51100</v>
      </c>
      <c r="H7" s="44">
        <f t="shared" si="2"/>
        <v>3096.969696969697</v>
      </c>
    </row>
    <row r="8" spans="2:8" x14ac:dyDescent="0.3">
      <c r="B8" t="s">
        <v>184</v>
      </c>
      <c r="C8">
        <v>67</v>
      </c>
      <c r="D8">
        <v>100</v>
      </c>
      <c r="E8">
        <v>15</v>
      </c>
      <c r="F8" s="14">
        <f t="shared" si="0"/>
        <v>6700</v>
      </c>
      <c r="G8" s="14">
        <f t="shared" si="1"/>
        <v>46900</v>
      </c>
      <c r="H8" s="44">
        <f t="shared" si="2"/>
        <v>7035</v>
      </c>
    </row>
    <row r="9" spans="2:8" x14ac:dyDescent="0.3">
      <c r="C9"/>
      <c r="D9"/>
      <c r="E9"/>
      <c r="F9" s="14"/>
      <c r="G9" s="14"/>
      <c r="H9" s="44"/>
    </row>
    <row r="10" spans="2:8" x14ac:dyDescent="0.3">
      <c r="B10" s="8" t="s">
        <v>232</v>
      </c>
      <c r="C10"/>
      <c r="D10"/>
      <c r="E10"/>
      <c r="F10" s="14"/>
      <c r="G10" s="14"/>
      <c r="H10" s="44"/>
    </row>
    <row r="11" spans="2:8" x14ac:dyDescent="0.3">
      <c r="C11"/>
      <c r="D11"/>
      <c r="E11"/>
      <c r="F11" s="14"/>
      <c r="G11" s="14"/>
      <c r="H11" s="44"/>
    </row>
    <row r="12" spans="2:8" x14ac:dyDescent="0.3">
      <c r="B12" t="s">
        <v>169</v>
      </c>
      <c r="C12">
        <v>50</v>
      </c>
      <c r="D12">
        <v>1000</v>
      </c>
      <c r="E12">
        <v>294.5</v>
      </c>
      <c r="F12" s="14">
        <f>C12*100</f>
        <v>5000</v>
      </c>
      <c r="G12" s="14">
        <f>F12*7</f>
        <v>35000</v>
      </c>
      <c r="H12" s="44">
        <f t="shared" ref="H12:H15" si="3">(G12/D12)*E12</f>
        <v>10307.5</v>
      </c>
    </row>
    <row r="13" spans="2:8" x14ac:dyDescent="0.3">
      <c r="B13" t="s">
        <v>193</v>
      </c>
      <c r="C13">
        <v>150</v>
      </c>
      <c r="D13">
        <v>1000</v>
      </c>
      <c r="E13">
        <v>230</v>
      </c>
      <c r="F13" s="14">
        <f t="shared" ref="F13:F15" si="4">C13*100</f>
        <v>15000</v>
      </c>
      <c r="G13" s="14">
        <f t="shared" si="1"/>
        <v>105000</v>
      </c>
      <c r="H13" s="44">
        <f t="shared" si="3"/>
        <v>24150</v>
      </c>
    </row>
    <row r="14" spans="2:8" x14ac:dyDescent="0.3">
      <c r="B14" t="s">
        <v>200</v>
      </c>
      <c r="C14">
        <v>50</v>
      </c>
      <c r="D14">
        <v>420</v>
      </c>
      <c r="E14">
        <v>104.5</v>
      </c>
      <c r="F14" s="14">
        <f t="shared" si="4"/>
        <v>5000</v>
      </c>
      <c r="G14" s="14">
        <f t="shared" si="1"/>
        <v>35000</v>
      </c>
      <c r="H14" s="44">
        <f t="shared" si="3"/>
        <v>8708.3333333333321</v>
      </c>
    </row>
    <row r="15" spans="2:8" x14ac:dyDescent="0.3">
      <c r="B15" t="s">
        <v>204</v>
      </c>
      <c r="C15">
        <v>50</v>
      </c>
      <c r="D15">
        <v>420</v>
      </c>
      <c r="E15">
        <v>104.5</v>
      </c>
      <c r="F15" s="14">
        <f t="shared" si="4"/>
        <v>5000</v>
      </c>
      <c r="G15" s="14">
        <f t="shared" si="1"/>
        <v>35000</v>
      </c>
      <c r="H15" s="44">
        <f t="shared" si="3"/>
        <v>8708.3333333333321</v>
      </c>
    </row>
    <row r="16" spans="2:8" x14ac:dyDescent="0.3">
      <c r="C16"/>
      <c r="D16"/>
      <c r="E16"/>
      <c r="F16" s="14"/>
      <c r="G16" s="14"/>
      <c r="H16" s="44"/>
    </row>
    <row r="17" spans="2:8" x14ac:dyDescent="0.3">
      <c r="B17" s="8" t="s">
        <v>233</v>
      </c>
      <c r="C17"/>
      <c r="D17"/>
      <c r="E17"/>
      <c r="F17" s="14"/>
      <c r="G17" s="14"/>
      <c r="H17" s="44"/>
    </row>
    <row r="18" spans="2:8" x14ac:dyDescent="0.3">
      <c r="C18"/>
      <c r="D18"/>
      <c r="E18"/>
      <c r="F18" s="14"/>
      <c r="G18" s="14"/>
      <c r="H18" s="44"/>
    </row>
    <row r="19" spans="2:8" x14ac:dyDescent="0.3">
      <c r="B19" t="s">
        <v>189</v>
      </c>
      <c r="C19">
        <v>100</v>
      </c>
      <c r="D19">
        <v>500</v>
      </c>
      <c r="E19">
        <v>210</v>
      </c>
      <c r="F19" s="14">
        <f t="shared" ref="F19" si="5">C19*100</f>
        <v>10000</v>
      </c>
      <c r="G19" s="14">
        <f t="shared" si="1"/>
        <v>70000</v>
      </c>
      <c r="H19" s="44">
        <f t="shared" ref="H19" si="6">(G19/D19)*E19</f>
        <v>29400</v>
      </c>
    </row>
    <row r="20" spans="2:8" x14ac:dyDescent="0.3">
      <c r="C20"/>
      <c r="D20"/>
      <c r="E20"/>
      <c r="F20" s="14"/>
      <c r="G20" s="14"/>
      <c r="H20" s="44"/>
    </row>
    <row r="21" spans="2:8" x14ac:dyDescent="0.3">
      <c r="B21" s="8" t="s">
        <v>234</v>
      </c>
      <c r="C21"/>
      <c r="D21"/>
      <c r="E21"/>
      <c r="F21" s="14"/>
      <c r="G21" s="14"/>
      <c r="H21" s="44"/>
    </row>
    <row r="22" spans="2:8" x14ac:dyDescent="0.3">
      <c r="C22"/>
      <c r="D22"/>
      <c r="E22"/>
      <c r="F22" s="14"/>
      <c r="G22" s="14"/>
      <c r="H22" s="44"/>
    </row>
    <row r="23" spans="2:8" x14ac:dyDescent="0.3">
      <c r="B23" t="s">
        <v>136</v>
      </c>
      <c r="C23">
        <v>50</v>
      </c>
      <c r="D23">
        <v>150</v>
      </c>
      <c r="E23">
        <v>156</v>
      </c>
      <c r="F23" s="14">
        <f t="shared" ref="F23:F26" si="7">C23*100</f>
        <v>5000</v>
      </c>
      <c r="G23" s="14">
        <f>F23*7</f>
        <v>35000</v>
      </c>
      <c r="H23" s="44">
        <f t="shared" ref="H23:H26" si="8">(G23/D23)*E23</f>
        <v>36400</v>
      </c>
    </row>
    <row r="24" spans="2:8" x14ac:dyDescent="0.3">
      <c r="B24" t="s">
        <v>203</v>
      </c>
      <c r="C24">
        <v>100</v>
      </c>
      <c r="D24">
        <v>500</v>
      </c>
      <c r="E24">
        <v>140</v>
      </c>
      <c r="F24" s="14">
        <f t="shared" si="7"/>
        <v>10000</v>
      </c>
      <c r="G24" s="14">
        <f t="shared" si="1"/>
        <v>70000</v>
      </c>
      <c r="H24" s="44">
        <f t="shared" si="8"/>
        <v>19600</v>
      </c>
    </row>
    <row r="25" spans="2:8" x14ac:dyDescent="0.3">
      <c r="B25" t="s">
        <v>137</v>
      </c>
      <c r="C25">
        <v>50</v>
      </c>
      <c r="D25">
        <v>150</v>
      </c>
      <c r="E25">
        <v>120</v>
      </c>
      <c r="F25" s="14">
        <f t="shared" si="7"/>
        <v>5000</v>
      </c>
      <c r="G25" s="14">
        <f t="shared" si="1"/>
        <v>35000</v>
      </c>
      <c r="H25" s="44">
        <f t="shared" si="8"/>
        <v>28000</v>
      </c>
    </row>
    <row r="26" spans="2:8" x14ac:dyDescent="0.3">
      <c r="B26" t="s">
        <v>207</v>
      </c>
      <c r="C26">
        <v>33</v>
      </c>
      <c r="D26">
        <v>220</v>
      </c>
      <c r="E26">
        <v>135</v>
      </c>
      <c r="F26" s="14">
        <f t="shared" si="7"/>
        <v>3300</v>
      </c>
      <c r="G26" s="14">
        <f t="shared" si="1"/>
        <v>23100</v>
      </c>
      <c r="H26" s="44">
        <f t="shared" si="8"/>
        <v>14175</v>
      </c>
    </row>
    <row r="27" spans="2:8" x14ac:dyDescent="0.3">
      <c r="C27"/>
      <c r="D27"/>
      <c r="E27"/>
      <c r="F27" s="14"/>
      <c r="G27" s="14"/>
      <c r="H27" s="44"/>
    </row>
    <row r="28" spans="2:8" x14ac:dyDescent="0.3">
      <c r="B28" s="8" t="s">
        <v>235</v>
      </c>
      <c r="C28"/>
      <c r="D28"/>
      <c r="E28"/>
      <c r="F28" s="14"/>
      <c r="G28" s="14"/>
      <c r="H28" s="44"/>
    </row>
    <row r="29" spans="2:8" x14ac:dyDescent="0.3">
      <c r="C29"/>
      <c r="D29"/>
      <c r="E29"/>
      <c r="F29" s="14"/>
      <c r="G29" s="14"/>
      <c r="H29" s="44"/>
    </row>
    <row r="30" spans="2:8" x14ac:dyDescent="0.3">
      <c r="B30" t="s">
        <v>162</v>
      </c>
      <c r="C30">
        <v>2</v>
      </c>
      <c r="D30">
        <v>30</v>
      </c>
      <c r="E30">
        <v>45.5</v>
      </c>
      <c r="F30" s="14">
        <f t="shared" ref="F30:F38" si="9">C30*100</f>
        <v>200</v>
      </c>
      <c r="G30" s="14">
        <f t="shared" si="1"/>
        <v>1400</v>
      </c>
      <c r="H30" s="44">
        <f t="shared" ref="H30:H38" si="10">(G30/D30)*E30</f>
        <v>2123.333333333333</v>
      </c>
    </row>
    <row r="31" spans="2:8" x14ac:dyDescent="0.3">
      <c r="B31" t="s">
        <v>167</v>
      </c>
      <c r="C31">
        <v>2</v>
      </c>
      <c r="D31">
        <v>60</v>
      </c>
      <c r="E31">
        <v>30</v>
      </c>
      <c r="F31" s="14">
        <f t="shared" si="9"/>
        <v>200</v>
      </c>
      <c r="G31" s="14">
        <f t="shared" si="1"/>
        <v>1400</v>
      </c>
      <c r="H31" s="44">
        <f t="shared" si="10"/>
        <v>700</v>
      </c>
    </row>
    <row r="32" spans="2:8" x14ac:dyDescent="0.3">
      <c r="B32" t="s">
        <v>179</v>
      </c>
      <c r="C32">
        <v>30</v>
      </c>
      <c r="D32">
        <v>1000</v>
      </c>
      <c r="E32">
        <v>60</v>
      </c>
      <c r="F32" s="14">
        <f t="shared" si="9"/>
        <v>3000</v>
      </c>
      <c r="G32" s="14">
        <f t="shared" si="1"/>
        <v>21000</v>
      </c>
      <c r="H32" s="44">
        <f t="shared" si="10"/>
        <v>1260</v>
      </c>
    </row>
    <row r="33" spans="2:8" x14ac:dyDescent="0.3">
      <c r="B33" t="s">
        <v>183</v>
      </c>
      <c r="C33">
        <v>100</v>
      </c>
      <c r="D33">
        <v>500</v>
      </c>
      <c r="E33">
        <v>100</v>
      </c>
      <c r="F33" s="14">
        <f t="shared" si="9"/>
        <v>10000</v>
      </c>
      <c r="G33" s="14">
        <f t="shared" si="1"/>
        <v>70000</v>
      </c>
      <c r="H33" s="44">
        <f t="shared" si="10"/>
        <v>14000</v>
      </c>
    </row>
    <row r="34" spans="2:8" x14ac:dyDescent="0.3">
      <c r="B34" t="s">
        <v>138</v>
      </c>
      <c r="C34">
        <v>133</v>
      </c>
      <c r="D34">
        <v>1500</v>
      </c>
      <c r="E34">
        <v>94.7</v>
      </c>
      <c r="F34" s="14">
        <f t="shared" si="9"/>
        <v>13300</v>
      </c>
      <c r="G34" s="14">
        <f t="shared" si="1"/>
        <v>93100</v>
      </c>
      <c r="H34" s="44">
        <f t="shared" si="10"/>
        <v>5877.713333333334</v>
      </c>
    </row>
    <row r="35" spans="2:8" x14ac:dyDescent="0.3">
      <c r="B35" t="s">
        <v>180</v>
      </c>
      <c r="C35">
        <v>92</v>
      </c>
      <c r="D35">
        <v>2500</v>
      </c>
      <c r="E35">
        <v>54.57</v>
      </c>
      <c r="F35" s="14">
        <f t="shared" si="9"/>
        <v>9200</v>
      </c>
      <c r="G35" s="14">
        <f t="shared" si="1"/>
        <v>64400</v>
      </c>
      <c r="H35" s="44">
        <f t="shared" si="10"/>
        <v>1405.7232000000001</v>
      </c>
    </row>
    <row r="36" spans="2:8" x14ac:dyDescent="0.3">
      <c r="B36" t="s">
        <v>165</v>
      </c>
      <c r="C36">
        <v>30</v>
      </c>
      <c r="D36">
        <v>4000</v>
      </c>
      <c r="E36">
        <v>73.5</v>
      </c>
      <c r="F36" s="14">
        <f t="shared" si="9"/>
        <v>3000</v>
      </c>
      <c r="G36" s="14">
        <f t="shared" si="1"/>
        <v>21000</v>
      </c>
      <c r="H36" s="44">
        <f t="shared" si="10"/>
        <v>385.875</v>
      </c>
    </row>
    <row r="37" spans="2:8" x14ac:dyDescent="0.3">
      <c r="B37" t="s">
        <v>236</v>
      </c>
      <c r="C37">
        <v>14</v>
      </c>
      <c r="D37">
        <v>250</v>
      </c>
      <c r="E37">
        <v>31.5</v>
      </c>
      <c r="F37" s="14">
        <f t="shared" si="9"/>
        <v>1400</v>
      </c>
      <c r="G37" s="14">
        <f t="shared" si="1"/>
        <v>9800</v>
      </c>
      <c r="H37" s="44">
        <f t="shared" si="10"/>
        <v>1234.8000000000002</v>
      </c>
    </row>
    <row r="38" spans="2:8" x14ac:dyDescent="0.3">
      <c r="B38" t="s">
        <v>206</v>
      </c>
      <c r="C38">
        <v>37</v>
      </c>
      <c r="D38">
        <v>500</v>
      </c>
      <c r="E38">
        <v>45</v>
      </c>
      <c r="F38" s="14">
        <f t="shared" si="9"/>
        <v>3700</v>
      </c>
      <c r="G38" s="14">
        <f t="shared" si="1"/>
        <v>25900</v>
      </c>
      <c r="H38" s="44">
        <f t="shared" si="10"/>
        <v>2331</v>
      </c>
    </row>
    <row r="39" spans="2:8" x14ac:dyDescent="0.3">
      <c r="C39"/>
      <c r="D39"/>
      <c r="E39"/>
      <c r="F39" s="14"/>
      <c r="G39" s="14"/>
      <c r="H39" s="44"/>
    </row>
    <row r="40" spans="2:8" x14ac:dyDescent="0.3">
      <c r="B40" s="8" t="s">
        <v>237</v>
      </c>
      <c r="C40"/>
      <c r="D40"/>
      <c r="E40"/>
      <c r="F40" s="14"/>
      <c r="G40" s="14"/>
      <c r="H40" s="44"/>
    </row>
    <row r="41" spans="2:8" x14ac:dyDescent="0.3">
      <c r="C41"/>
      <c r="D41"/>
      <c r="E41"/>
      <c r="F41" s="14"/>
      <c r="G41" s="14"/>
      <c r="H41" s="44"/>
    </row>
    <row r="42" spans="2:8" x14ac:dyDescent="0.3">
      <c r="B42" t="s">
        <v>176</v>
      </c>
      <c r="C42">
        <v>10</v>
      </c>
      <c r="D42">
        <v>250</v>
      </c>
      <c r="E42">
        <v>65.25</v>
      </c>
      <c r="F42" s="14">
        <f t="shared" ref="F42:F52" si="11">C42*100</f>
        <v>1000</v>
      </c>
      <c r="G42" s="14">
        <f t="shared" si="1"/>
        <v>7000</v>
      </c>
      <c r="H42" s="44">
        <f t="shared" ref="H42:H52" si="12">(G42/D42)*E42</f>
        <v>1827</v>
      </c>
    </row>
    <row r="43" spans="2:8" x14ac:dyDescent="0.3">
      <c r="B43" t="s">
        <v>177</v>
      </c>
      <c r="C43">
        <v>10</v>
      </c>
      <c r="D43">
        <v>180</v>
      </c>
      <c r="E43">
        <v>180.5</v>
      </c>
      <c r="F43" s="14">
        <f t="shared" si="11"/>
        <v>1000</v>
      </c>
      <c r="G43" s="14">
        <f>F43*7</f>
        <v>7000</v>
      </c>
      <c r="H43" s="44">
        <f t="shared" si="12"/>
        <v>7019.4444444444434</v>
      </c>
    </row>
    <row r="44" spans="2:8" x14ac:dyDescent="0.3">
      <c r="B44" t="s">
        <v>202</v>
      </c>
      <c r="C44">
        <v>30</v>
      </c>
      <c r="D44">
        <v>250</v>
      </c>
      <c r="E44">
        <v>221</v>
      </c>
      <c r="F44" s="14">
        <f t="shared" si="11"/>
        <v>3000</v>
      </c>
      <c r="G44" s="14">
        <f t="shared" si="1"/>
        <v>21000</v>
      </c>
      <c r="H44" s="44">
        <f t="shared" si="12"/>
        <v>18564</v>
      </c>
    </row>
    <row r="45" spans="2:8" x14ac:dyDescent="0.3">
      <c r="B45" t="s">
        <v>201</v>
      </c>
      <c r="C45">
        <v>33</v>
      </c>
      <c r="D45">
        <v>165</v>
      </c>
      <c r="E45">
        <v>90</v>
      </c>
      <c r="F45" s="14">
        <f t="shared" si="11"/>
        <v>3300</v>
      </c>
      <c r="G45" s="14">
        <f t="shared" si="1"/>
        <v>23100</v>
      </c>
      <c r="H45" s="44">
        <f t="shared" si="12"/>
        <v>12600</v>
      </c>
    </row>
    <row r="46" spans="2:8" x14ac:dyDescent="0.3">
      <c r="B46" t="s">
        <v>209</v>
      </c>
      <c r="C46">
        <v>20</v>
      </c>
      <c r="D46">
        <v>250</v>
      </c>
      <c r="E46">
        <v>329</v>
      </c>
      <c r="F46" s="14">
        <f t="shared" si="11"/>
        <v>2000</v>
      </c>
      <c r="G46" s="14">
        <f t="shared" si="1"/>
        <v>14000</v>
      </c>
      <c r="H46" s="44">
        <f t="shared" si="12"/>
        <v>18424</v>
      </c>
    </row>
    <row r="47" spans="2:8" x14ac:dyDescent="0.3">
      <c r="B47" t="s">
        <v>168</v>
      </c>
      <c r="C47">
        <v>57</v>
      </c>
      <c r="D47">
        <v>2100</v>
      </c>
      <c r="E47">
        <v>220</v>
      </c>
      <c r="F47" s="14">
        <f t="shared" si="11"/>
        <v>5700</v>
      </c>
      <c r="G47" s="14">
        <f t="shared" si="1"/>
        <v>39900</v>
      </c>
      <c r="H47" s="44">
        <f t="shared" si="12"/>
        <v>4180</v>
      </c>
    </row>
    <row r="48" spans="2:8" x14ac:dyDescent="0.3">
      <c r="B48" t="s">
        <v>197</v>
      </c>
      <c r="C48">
        <v>119</v>
      </c>
      <c r="D48">
        <v>1400</v>
      </c>
      <c r="E48">
        <v>147</v>
      </c>
      <c r="F48" s="14">
        <f t="shared" si="11"/>
        <v>11900</v>
      </c>
      <c r="G48" s="14">
        <f t="shared" si="1"/>
        <v>83300</v>
      </c>
      <c r="H48" s="44">
        <f t="shared" si="12"/>
        <v>8746.5</v>
      </c>
    </row>
    <row r="49" spans="2:8" x14ac:dyDescent="0.3">
      <c r="B49" t="s">
        <v>186</v>
      </c>
      <c r="C49">
        <v>60</v>
      </c>
      <c r="D49">
        <v>600</v>
      </c>
      <c r="E49">
        <v>180</v>
      </c>
      <c r="F49" s="14">
        <f t="shared" si="11"/>
        <v>6000</v>
      </c>
      <c r="G49" s="14">
        <f t="shared" si="1"/>
        <v>42000</v>
      </c>
      <c r="H49" s="44">
        <f t="shared" si="12"/>
        <v>12600</v>
      </c>
    </row>
    <row r="50" spans="2:8" x14ac:dyDescent="0.3">
      <c r="B50" t="s">
        <v>225</v>
      </c>
      <c r="C50">
        <v>45</v>
      </c>
      <c r="D50">
        <v>168</v>
      </c>
      <c r="E50">
        <v>49</v>
      </c>
      <c r="F50" s="14">
        <f t="shared" si="11"/>
        <v>4500</v>
      </c>
      <c r="G50" s="14">
        <f t="shared" si="1"/>
        <v>31500</v>
      </c>
      <c r="H50" s="44">
        <f t="shared" si="12"/>
        <v>9187.5</v>
      </c>
    </row>
    <row r="51" spans="2:8" x14ac:dyDescent="0.3">
      <c r="B51" t="s">
        <v>216</v>
      </c>
      <c r="C51">
        <v>140</v>
      </c>
      <c r="D51">
        <v>2000</v>
      </c>
      <c r="E51">
        <v>106.25</v>
      </c>
      <c r="F51" s="14">
        <f t="shared" si="11"/>
        <v>14000</v>
      </c>
      <c r="G51" s="14">
        <f t="shared" si="1"/>
        <v>98000</v>
      </c>
      <c r="H51" s="44">
        <f t="shared" si="12"/>
        <v>5206.25</v>
      </c>
    </row>
    <row r="52" spans="2:8" x14ac:dyDescent="0.3">
      <c r="B52" t="s">
        <v>219</v>
      </c>
      <c r="C52">
        <v>10</v>
      </c>
      <c r="D52">
        <v>60</v>
      </c>
      <c r="E52">
        <v>15</v>
      </c>
      <c r="F52" s="14">
        <f t="shared" si="11"/>
        <v>1000</v>
      </c>
      <c r="G52" s="14">
        <f t="shared" si="1"/>
        <v>7000</v>
      </c>
      <c r="H52" s="44">
        <f t="shared" si="12"/>
        <v>1750</v>
      </c>
    </row>
    <row r="53" spans="2:8" x14ac:dyDescent="0.3">
      <c r="C53"/>
      <c r="D53"/>
      <c r="E53"/>
      <c r="F53" s="14"/>
      <c r="G53" s="14"/>
      <c r="H53" s="44"/>
    </row>
    <row r="54" spans="2:8" x14ac:dyDescent="0.3">
      <c r="B54" s="8" t="s">
        <v>238</v>
      </c>
      <c r="C54"/>
      <c r="D54"/>
      <c r="E54"/>
      <c r="F54" s="14"/>
      <c r="G54" s="14"/>
      <c r="H54" s="44"/>
    </row>
    <row r="55" spans="2:8" x14ac:dyDescent="0.3">
      <c r="C55"/>
      <c r="D55"/>
      <c r="E55"/>
      <c r="F55" s="14"/>
      <c r="G55" s="14"/>
      <c r="H55" s="44"/>
    </row>
    <row r="56" spans="2:8" x14ac:dyDescent="0.3">
      <c r="B56" t="s">
        <v>239</v>
      </c>
      <c r="C56">
        <v>10</v>
      </c>
      <c r="D56">
        <v>250</v>
      </c>
      <c r="E56">
        <v>181</v>
      </c>
      <c r="F56" s="14">
        <f t="shared" ref="F56:F65" si="13">C56*100</f>
        <v>1000</v>
      </c>
      <c r="G56" s="14">
        <f t="shared" si="1"/>
        <v>7000</v>
      </c>
      <c r="H56" s="44">
        <f t="shared" ref="H56:H65" si="14">(G56/D56)*E56</f>
        <v>5068</v>
      </c>
    </row>
    <row r="57" spans="2:8" x14ac:dyDescent="0.3">
      <c r="B57" t="s">
        <v>181</v>
      </c>
      <c r="C57">
        <v>8</v>
      </c>
      <c r="D57">
        <v>500</v>
      </c>
      <c r="E57">
        <v>160.15</v>
      </c>
      <c r="F57" s="14">
        <f t="shared" si="13"/>
        <v>800</v>
      </c>
      <c r="G57" s="14">
        <f t="shared" si="1"/>
        <v>5600</v>
      </c>
      <c r="H57" s="44">
        <f t="shared" si="14"/>
        <v>1793.6799999999998</v>
      </c>
    </row>
    <row r="58" spans="2:8" x14ac:dyDescent="0.3">
      <c r="B58" t="s">
        <v>187</v>
      </c>
      <c r="C58">
        <v>20</v>
      </c>
      <c r="D58">
        <v>180</v>
      </c>
      <c r="E58">
        <v>180.5</v>
      </c>
      <c r="F58" s="14">
        <f t="shared" si="13"/>
        <v>2000</v>
      </c>
      <c r="G58" s="14">
        <f t="shared" si="1"/>
        <v>14000</v>
      </c>
      <c r="H58" s="44">
        <f t="shared" si="14"/>
        <v>14038.888888888887</v>
      </c>
    </row>
    <row r="59" spans="2:8" x14ac:dyDescent="0.3">
      <c r="B59" t="s">
        <v>190</v>
      </c>
      <c r="C59">
        <v>5</v>
      </c>
      <c r="D59">
        <v>15</v>
      </c>
      <c r="E59">
        <v>67.5</v>
      </c>
      <c r="F59" s="14">
        <f t="shared" si="13"/>
        <v>500</v>
      </c>
      <c r="G59" s="14">
        <f t="shared" si="1"/>
        <v>3500</v>
      </c>
      <c r="H59" s="44">
        <f t="shared" si="14"/>
        <v>15750</v>
      </c>
    </row>
    <row r="60" spans="2:8" x14ac:dyDescent="0.3">
      <c r="B60" t="s">
        <v>191</v>
      </c>
      <c r="C60">
        <v>10</v>
      </c>
      <c r="D60">
        <v>340</v>
      </c>
      <c r="E60">
        <v>70</v>
      </c>
      <c r="F60" s="14">
        <f t="shared" si="13"/>
        <v>1000</v>
      </c>
      <c r="G60" s="14">
        <f t="shared" si="1"/>
        <v>7000</v>
      </c>
      <c r="H60" s="44">
        <f t="shared" si="14"/>
        <v>1441.1764705882354</v>
      </c>
    </row>
    <row r="61" spans="2:8" x14ac:dyDescent="0.3">
      <c r="B61" t="s">
        <v>208</v>
      </c>
      <c r="C61">
        <v>20</v>
      </c>
      <c r="D61">
        <v>115</v>
      </c>
      <c r="E61">
        <v>23.5</v>
      </c>
      <c r="F61" s="14">
        <f t="shared" si="13"/>
        <v>2000</v>
      </c>
      <c r="G61" s="14">
        <f t="shared" si="1"/>
        <v>14000</v>
      </c>
      <c r="H61" s="44">
        <f t="shared" si="14"/>
        <v>2860.8695652173915</v>
      </c>
    </row>
    <row r="62" spans="2:8" x14ac:dyDescent="0.3">
      <c r="B62" t="s">
        <v>196</v>
      </c>
      <c r="C62">
        <v>240</v>
      </c>
      <c r="D62">
        <v>3000</v>
      </c>
      <c r="E62">
        <v>97.5</v>
      </c>
      <c r="F62" s="14">
        <f t="shared" si="13"/>
        <v>24000</v>
      </c>
      <c r="G62" s="14">
        <f t="shared" si="1"/>
        <v>168000</v>
      </c>
      <c r="H62" s="44">
        <f t="shared" si="14"/>
        <v>5460</v>
      </c>
    </row>
    <row r="63" spans="2:8" x14ac:dyDescent="0.3">
      <c r="B63" t="s">
        <v>178</v>
      </c>
      <c r="C63">
        <v>22</v>
      </c>
      <c r="D63">
        <v>160</v>
      </c>
      <c r="E63">
        <v>31.5</v>
      </c>
      <c r="F63" s="14">
        <f t="shared" si="13"/>
        <v>2200</v>
      </c>
      <c r="G63" s="14">
        <f t="shared" si="1"/>
        <v>15400</v>
      </c>
      <c r="H63" s="44">
        <f t="shared" si="14"/>
        <v>3031.875</v>
      </c>
    </row>
    <row r="64" spans="2:8" x14ac:dyDescent="0.3">
      <c r="B64" t="s">
        <v>163</v>
      </c>
      <c r="C64">
        <v>10</v>
      </c>
      <c r="D64">
        <v>5000</v>
      </c>
      <c r="E64">
        <v>10</v>
      </c>
      <c r="F64" s="14">
        <f t="shared" si="13"/>
        <v>1000</v>
      </c>
      <c r="G64" s="14">
        <f t="shared" si="1"/>
        <v>7000</v>
      </c>
      <c r="H64" s="44">
        <f t="shared" si="14"/>
        <v>14</v>
      </c>
    </row>
    <row r="65" spans="2:8" x14ac:dyDescent="0.3">
      <c r="B65" t="s">
        <v>224</v>
      </c>
      <c r="C65">
        <v>25</v>
      </c>
      <c r="D65">
        <v>1000</v>
      </c>
      <c r="E65">
        <v>286</v>
      </c>
      <c r="F65" s="14">
        <f t="shared" si="13"/>
        <v>2500</v>
      </c>
      <c r="G65" s="14">
        <f t="shared" si="1"/>
        <v>17500</v>
      </c>
      <c r="H65" s="44">
        <f t="shared" si="14"/>
        <v>5005</v>
      </c>
    </row>
    <row r="66" spans="2:8" x14ac:dyDescent="0.3">
      <c r="C66"/>
      <c r="D66"/>
      <c r="E66"/>
      <c r="F66" s="14"/>
      <c r="G66" s="14"/>
      <c r="H66" s="44"/>
    </row>
    <row r="67" spans="2:8" x14ac:dyDescent="0.3">
      <c r="B67" s="8" t="s">
        <v>240</v>
      </c>
      <c r="C67"/>
      <c r="D67"/>
      <c r="E67"/>
      <c r="F67" s="14"/>
      <c r="G67" s="14"/>
      <c r="H67" s="44"/>
    </row>
    <row r="68" spans="2:8" x14ac:dyDescent="0.3">
      <c r="C68"/>
      <c r="D68"/>
      <c r="E68"/>
      <c r="F68" s="14"/>
      <c r="G68" s="14"/>
      <c r="H68" s="44"/>
    </row>
    <row r="69" spans="2:8" x14ac:dyDescent="0.3">
      <c r="B69" t="s">
        <v>140</v>
      </c>
      <c r="C69">
        <v>20</v>
      </c>
      <c r="D69">
        <v>250</v>
      </c>
      <c r="E69">
        <v>39</v>
      </c>
      <c r="F69" s="14">
        <f t="shared" ref="F69:F77" si="15">C69*100</f>
        <v>2000</v>
      </c>
      <c r="G69" s="14">
        <f t="shared" ref="G69:G87" si="16">F69*7</f>
        <v>14000</v>
      </c>
      <c r="H69" s="44">
        <f t="shared" ref="H69:H77" si="17">(G69/D69)*E69</f>
        <v>2184</v>
      </c>
    </row>
    <row r="70" spans="2:8" x14ac:dyDescent="0.3">
      <c r="B70" t="s">
        <v>141</v>
      </c>
      <c r="C70">
        <v>200</v>
      </c>
      <c r="D70">
        <v>900</v>
      </c>
      <c r="E70">
        <v>54</v>
      </c>
      <c r="F70" s="14">
        <f t="shared" si="15"/>
        <v>20000</v>
      </c>
      <c r="G70" s="14">
        <f t="shared" si="16"/>
        <v>140000</v>
      </c>
      <c r="H70" s="44">
        <f t="shared" si="17"/>
        <v>8400</v>
      </c>
    </row>
    <row r="71" spans="2:8" x14ac:dyDescent="0.3">
      <c r="B71" t="s">
        <v>195</v>
      </c>
      <c r="C71">
        <v>50</v>
      </c>
      <c r="D71">
        <v>500</v>
      </c>
      <c r="E71">
        <v>74</v>
      </c>
      <c r="F71" s="14">
        <f t="shared" si="15"/>
        <v>5000</v>
      </c>
      <c r="G71" s="14">
        <f t="shared" si="16"/>
        <v>35000</v>
      </c>
      <c r="H71" s="44">
        <f t="shared" si="17"/>
        <v>5180</v>
      </c>
    </row>
    <row r="72" spans="2:8" x14ac:dyDescent="0.3">
      <c r="B72" t="s">
        <v>198</v>
      </c>
      <c r="C72">
        <v>75</v>
      </c>
      <c r="D72">
        <v>500</v>
      </c>
      <c r="E72">
        <v>74.5</v>
      </c>
      <c r="F72" s="14">
        <f t="shared" si="15"/>
        <v>7500</v>
      </c>
      <c r="G72" s="14">
        <f t="shared" si="16"/>
        <v>52500</v>
      </c>
      <c r="H72" s="44">
        <f t="shared" si="17"/>
        <v>7822.5</v>
      </c>
    </row>
    <row r="73" spans="2:8" x14ac:dyDescent="0.3">
      <c r="B73" t="s">
        <v>199</v>
      </c>
      <c r="C73">
        <v>60</v>
      </c>
      <c r="D73">
        <v>454</v>
      </c>
      <c r="E73">
        <v>127.5</v>
      </c>
      <c r="F73" s="14">
        <f t="shared" si="15"/>
        <v>6000</v>
      </c>
      <c r="G73" s="14">
        <f t="shared" si="16"/>
        <v>42000</v>
      </c>
      <c r="H73" s="44">
        <f t="shared" si="17"/>
        <v>11795.154185022027</v>
      </c>
    </row>
    <row r="74" spans="2:8" x14ac:dyDescent="0.3">
      <c r="B74" t="s">
        <v>212</v>
      </c>
      <c r="C74">
        <v>25</v>
      </c>
      <c r="D74">
        <v>250</v>
      </c>
      <c r="E74">
        <v>141</v>
      </c>
      <c r="F74" s="14">
        <f t="shared" si="15"/>
        <v>2500</v>
      </c>
      <c r="G74" s="14">
        <f t="shared" si="16"/>
        <v>17500</v>
      </c>
      <c r="H74" s="44">
        <f t="shared" si="17"/>
        <v>9870</v>
      </c>
    </row>
    <row r="75" spans="2:8" x14ac:dyDescent="0.3">
      <c r="B75" t="s">
        <v>205</v>
      </c>
      <c r="C75">
        <v>106</v>
      </c>
      <c r="D75">
        <v>640</v>
      </c>
      <c r="E75">
        <v>125</v>
      </c>
      <c r="F75" s="14">
        <f t="shared" si="15"/>
        <v>10600</v>
      </c>
      <c r="G75" s="14">
        <f t="shared" si="16"/>
        <v>74200</v>
      </c>
      <c r="H75" s="44">
        <f t="shared" si="17"/>
        <v>14492.1875</v>
      </c>
    </row>
    <row r="76" spans="2:8" x14ac:dyDescent="0.3">
      <c r="B76" t="s">
        <v>174</v>
      </c>
      <c r="C76">
        <v>40</v>
      </c>
      <c r="D76">
        <v>460</v>
      </c>
      <c r="E76">
        <v>40</v>
      </c>
      <c r="F76" s="14">
        <f t="shared" si="15"/>
        <v>4000</v>
      </c>
      <c r="G76" s="14">
        <f t="shared" si="16"/>
        <v>28000</v>
      </c>
      <c r="H76" s="44">
        <f t="shared" si="17"/>
        <v>2434.782608695652</v>
      </c>
    </row>
    <row r="77" spans="2:8" x14ac:dyDescent="0.3">
      <c r="B77" t="s">
        <v>188</v>
      </c>
      <c r="C77">
        <v>480</v>
      </c>
      <c r="D77">
        <v>7500</v>
      </c>
      <c r="E77">
        <v>62</v>
      </c>
      <c r="F77" s="14">
        <f t="shared" si="15"/>
        <v>48000</v>
      </c>
      <c r="G77" s="14">
        <f t="shared" si="16"/>
        <v>336000</v>
      </c>
      <c r="H77" s="44">
        <f t="shared" si="17"/>
        <v>2777.6</v>
      </c>
    </row>
    <row r="78" spans="2:8" x14ac:dyDescent="0.3">
      <c r="C78"/>
      <c r="D78"/>
      <c r="E78"/>
      <c r="F78" s="14"/>
      <c r="G78" s="14"/>
      <c r="H78" s="44"/>
    </row>
    <row r="79" spans="2:8" x14ac:dyDescent="0.3">
      <c r="B79" s="8" t="s">
        <v>241</v>
      </c>
      <c r="C79"/>
      <c r="D79"/>
      <c r="E79"/>
      <c r="F79" s="14"/>
      <c r="G79" s="14"/>
      <c r="H79" s="44"/>
    </row>
    <row r="80" spans="2:8" x14ac:dyDescent="0.3">
      <c r="C80"/>
      <c r="D80"/>
      <c r="E80"/>
      <c r="F80" s="14"/>
      <c r="G80" s="14"/>
      <c r="H80" s="44"/>
    </row>
    <row r="81" spans="2:8" x14ac:dyDescent="0.3">
      <c r="B81" t="s">
        <v>172</v>
      </c>
      <c r="C81">
        <v>1</v>
      </c>
      <c r="D81">
        <v>50</v>
      </c>
      <c r="E81">
        <v>21.5</v>
      </c>
      <c r="F81" s="14">
        <f t="shared" ref="F81:F87" si="18">C81*100</f>
        <v>100</v>
      </c>
      <c r="G81" s="14">
        <f t="shared" si="16"/>
        <v>700</v>
      </c>
      <c r="H81" s="44">
        <f t="shared" ref="H81:H87" si="19">(G81/D81)*E81</f>
        <v>301</v>
      </c>
    </row>
    <row r="82" spans="2:8" x14ac:dyDescent="0.3">
      <c r="B82" t="s">
        <v>194</v>
      </c>
      <c r="C82">
        <v>1</v>
      </c>
      <c r="D82">
        <v>30</v>
      </c>
      <c r="E82">
        <v>20.25</v>
      </c>
      <c r="F82" s="14">
        <f t="shared" si="18"/>
        <v>100</v>
      </c>
      <c r="G82" s="14">
        <f t="shared" si="16"/>
        <v>700</v>
      </c>
      <c r="H82" s="44">
        <f t="shared" si="19"/>
        <v>472.5</v>
      </c>
    </row>
    <row r="83" spans="2:8" x14ac:dyDescent="0.3">
      <c r="B83" t="s">
        <v>214</v>
      </c>
      <c r="C83">
        <v>1</v>
      </c>
      <c r="D83">
        <v>100</v>
      </c>
      <c r="E83">
        <v>20</v>
      </c>
      <c r="F83" s="14">
        <f t="shared" si="18"/>
        <v>100</v>
      </c>
      <c r="G83" s="14">
        <f t="shared" si="16"/>
        <v>700</v>
      </c>
      <c r="H83" s="44">
        <f t="shared" si="19"/>
        <v>140</v>
      </c>
    </row>
    <row r="84" spans="2:8" x14ac:dyDescent="0.3">
      <c r="B84" t="s">
        <v>215</v>
      </c>
      <c r="C84">
        <v>3</v>
      </c>
      <c r="D84">
        <v>38</v>
      </c>
      <c r="E84">
        <v>25.75</v>
      </c>
      <c r="F84" s="14">
        <f t="shared" si="18"/>
        <v>300</v>
      </c>
      <c r="G84" s="14">
        <f t="shared" si="16"/>
        <v>2100</v>
      </c>
      <c r="H84" s="44">
        <f t="shared" si="19"/>
        <v>1423.0263157894738</v>
      </c>
    </row>
    <row r="85" spans="2:8" x14ac:dyDescent="0.3">
      <c r="B85" t="s">
        <v>217</v>
      </c>
      <c r="C85">
        <v>1</v>
      </c>
      <c r="D85">
        <v>25</v>
      </c>
      <c r="E85">
        <v>16.25</v>
      </c>
      <c r="F85" s="14">
        <f t="shared" si="18"/>
        <v>100</v>
      </c>
      <c r="G85" s="14">
        <f t="shared" si="16"/>
        <v>700</v>
      </c>
      <c r="H85" s="44">
        <f t="shared" si="19"/>
        <v>455</v>
      </c>
    </row>
    <row r="86" spans="2:8" x14ac:dyDescent="0.3">
      <c r="B86" t="s">
        <v>218</v>
      </c>
      <c r="C86">
        <v>1</v>
      </c>
      <c r="D86">
        <v>20</v>
      </c>
      <c r="E86">
        <v>50.5</v>
      </c>
      <c r="F86" s="14">
        <f t="shared" si="18"/>
        <v>100</v>
      </c>
      <c r="G86" s="14">
        <f t="shared" si="16"/>
        <v>700</v>
      </c>
      <c r="H86" s="44">
        <f t="shared" si="19"/>
        <v>1767.5</v>
      </c>
    </row>
    <row r="87" spans="2:8" x14ac:dyDescent="0.3">
      <c r="B87" t="s">
        <v>344</v>
      </c>
      <c r="C87">
        <v>10</v>
      </c>
      <c r="D87">
        <v>825</v>
      </c>
      <c r="E87">
        <v>49</v>
      </c>
      <c r="F87" s="14">
        <f t="shared" si="18"/>
        <v>1000</v>
      </c>
      <c r="G87" s="14">
        <f t="shared" si="16"/>
        <v>7000</v>
      </c>
      <c r="H87" s="44">
        <f t="shared" si="19"/>
        <v>415.75757575757575</v>
      </c>
    </row>
    <row r="89" spans="2:8" x14ac:dyDescent="0.3">
      <c r="B89" s="8" t="s">
        <v>242</v>
      </c>
      <c r="C89"/>
      <c r="D89"/>
      <c r="E89"/>
      <c r="F89" s="14"/>
      <c r="G89" s="14"/>
      <c r="H89" s="44"/>
    </row>
    <row r="90" spans="2:8" x14ac:dyDescent="0.3">
      <c r="C90"/>
      <c r="D90"/>
      <c r="E90"/>
      <c r="F90" s="14"/>
      <c r="G90" s="14"/>
      <c r="H90" s="44"/>
    </row>
    <row r="91" spans="2:8" x14ac:dyDescent="0.3">
      <c r="B91" t="s">
        <v>175</v>
      </c>
      <c r="C91">
        <v>30</v>
      </c>
      <c r="D91">
        <v>1000</v>
      </c>
      <c r="E91">
        <v>87.52</v>
      </c>
      <c r="F91" s="14">
        <f t="shared" ref="F91:F92" si="20">C91*100</f>
        <v>3000</v>
      </c>
      <c r="G91" s="14">
        <f>F91*7</f>
        <v>21000</v>
      </c>
      <c r="H91" s="44">
        <f t="shared" ref="H91:H92" si="21">(G91/D91)*E91</f>
        <v>1837.9199999999998</v>
      </c>
    </row>
    <row r="92" spans="2:8" x14ac:dyDescent="0.3">
      <c r="B92" t="s">
        <v>166</v>
      </c>
      <c r="C92">
        <v>115</v>
      </c>
      <c r="D92">
        <v>6667</v>
      </c>
      <c r="E92">
        <v>383</v>
      </c>
      <c r="F92" s="14">
        <f t="shared" si="20"/>
        <v>11500</v>
      </c>
      <c r="G92" s="14">
        <f>F92*7</f>
        <v>80500</v>
      </c>
      <c r="H92" s="44">
        <f t="shared" si="21"/>
        <v>4624.4937753112345</v>
      </c>
    </row>
    <row r="93" spans="2:8" x14ac:dyDescent="0.3">
      <c r="C93"/>
      <c r="D93"/>
      <c r="E93"/>
      <c r="F93" s="14"/>
      <c r="G93" s="14"/>
      <c r="H93" s="44"/>
    </row>
    <row r="94" spans="2:8" x14ac:dyDescent="0.3">
      <c r="B94" s="8" t="s">
        <v>243</v>
      </c>
      <c r="C94"/>
      <c r="D94"/>
      <c r="E94"/>
      <c r="F94" s="14"/>
      <c r="G94" s="14"/>
      <c r="H94" s="44"/>
    </row>
    <row r="95" spans="2:8" x14ac:dyDescent="0.3">
      <c r="C95"/>
      <c r="D95"/>
      <c r="E95"/>
      <c r="F95" s="14"/>
      <c r="G95" s="14"/>
      <c r="H95" s="44"/>
    </row>
    <row r="96" spans="2:8" x14ac:dyDescent="0.3">
      <c r="B96" t="s">
        <v>170</v>
      </c>
      <c r="C96">
        <v>17</v>
      </c>
      <c r="D96">
        <v>1000</v>
      </c>
      <c r="E96">
        <v>40</v>
      </c>
      <c r="F96" s="14">
        <f t="shared" ref="F96:F97" si="22">C96*100</f>
        <v>1700</v>
      </c>
      <c r="G96" s="14">
        <f>F96*7</f>
        <v>11900</v>
      </c>
      <c r="H96" s="44">
        <f t="shared" ref="H96:H97" si="23">(G96/D96)*E96</f>
        <v>476</v>
      </c>
    </row>
    <row r="97" spans="2:8" x14ac:dyDescent="0.3">
      <c r="B97" t="s">
        <v>171</v>
      </c>
      <c r="C97">
        <v>8</v>
      </c>
      <c r="D97">
        <v>200</v>
      </c>
      <c r="E97">
        <v>23.75</v>
      </c>
      <c r="F97" s="14">
        <f t="shared" si="22"/>
        <v>800</v>
      </c>
      <c r="G97" s="14">
        <f>F97*7</f>
        <v>5600</v>
      </c>
      <c r="H97" s="44">
        <f t="shared" si="23"/>
        <v>665</v>
      </c>
    </row>
    <row r="98" spans="2:8" x14ac:dyDescent="0.3">
      <c r="C98"/>
      <c r="D98"/>
      <c r="E98"/>
      <c r="F98" s="14"/>
      <c r="G98" s="14"/>
      <c r="H98" s="44"/>
    </row>
    <row r="99" spans="2:8" x14ac:dyDescent="0.3">
      <c r="B99" s="8" t="s">
        <v>244</v>
      </c>
      <c r="C99"/>
      <c r="D99"/>
      <c r="E99"/>
      <c r="F99" s="14"/>
      <c r="G99" s="14"/>
      <c r="H99" s="44"/>
    </row>
    <row r="100" spans="2:8" x14ac:dyDescent="0.3">
      <c r="C100"/>
      <c r="D100"/>
      <c r="E100"/>
      <c r="F100" s="14"/>
      <c r="G100" s="14"/>
      <c r="H100" s="44"/>
    </row>
    <row r="101" spans="2:8" x14ac:dyDescent="0.3">
      <c r="B101" t="s">
        <v>192</v>
      </c>
      <c r="C101">
        <v>10</v>
      </c>
      <c r="D101">
        <v>750</v>
      </c>
      <c r="E101">
        <v>180</v>
      </c>
      <c r="F101" s="14">
        <f t="shared" ref="F101:F109" si="24">C101*100</f>
        <v>1000</v>
      </c>
      <c r="G101" s="14">
        <f t="shared" ref="G101:G109" si="25">F101*7</f>
        <v>7000</v>
      </c>
      <c r="H101" s="44">
        <f t="shared" ref="H101:H109" si="26">(G101/D101)*E101</f>
        <v>1680</v>
      </c>
    </row>
    <row r="102" spans="2:8" x14ac:dyDescent="0.3">
      <c r="B102" t="s">
        <v>213</v>
      </c>
      <c r="C102">
        <v>1</v>
      </c>
      <c r="D102">
        <v>100</v>
      </c>
      <c r="E102">
        <v>75.2</v>
      </c>
      <c r="F102" s="14">
        <f t="shared" si="24"/>
        <v>100</v>
      </c>
      <c r="G102" s="14">
        <f t="shared" si="25"/>
        <v>700</v>
      </c>
      <c r="H102" s="44">
        <f t="shared" si="26"/>
        <v>526.4</v>
      </c>
    </row>
    <row r="103" spans="2:8" x14ac:dyDescent="0.3">
      <c r="B103" t="s">
        <v>222</v>
      </c>
      <c r="C103">
        <v>24</v>
      </c>
      <c r="D103">
        <v>300</v>
      </c>
      <c r="E103">
        <v>100</v>
      </c>
      <c r="F103" s="14">
        <f t="shared" si="24"/>
        <v>2400</v>
      </c>
      <c r="G103" s="14">
        <f t="shared" si="25"/>
        <v>16800</v>
      </c>
      <c r="H103" s="44">
        <f t="shared" si="26"/>
        <v>5600</v>
      </c>
    </row>
    <row r="104" spans="2:8" x14ac:dyDescent="0.3">
      <c r="B104" t="s">
        <v>142</v>
      </c>
      <c r="C104">
        <v>20</v>
      </c>
      <c r="D104">
        <v>200</v>
      </c>
      <c r="E104">
        <v>118</v>
      </c>
      <c r="F104" s="14">
        <f t="shared" si="24"/>
        <v>2000</v>
      </c>
      <c r="G104" s="14">
        <f t="shared" si="25"/>
        <v>14000</v>
      </c>
      <c r="H104" s="44">
        <f t="shared" si="26"/>
        <v>8260</v>
      </c>
    </row>
    <row r="105" spans="2:8" x14ac:dyDescent="0.3">
      <c r="B105" t="s">
        <v>223</v>
      </c>
      <c r="C105">
        <v>2</v>
      </c>
      <c r="D105">
        <v>60</v>
      </c>
      <c r="E105">
        <v>99</v>
      </c>
      <c r="F105" s="14">
        <f t="shared" si="24"/>
        <v>200</v>
      </c>
      <c r="G105" s="14">
        <f t="shared" si="25"/>
        <v>1400</v>
      </c>
      <c r="H105" s="44">
        <f t="shared" si="26"/>
        <v>2310</v>
      </c>
    </row>
    <row r="106" spans="2:8" x14ac:dyDescent="0.3">
      <c r="B106" t="s">
        <v>229</v>
      </c>
      <c r="C106">
        <v>1</v>
      </c>
      <c r="D106">
        <v>25</v>
      </c>
      <c r="E106">
        <v>130</v>
      </c>
      <c r="F106" s="14">
        <f t="shared" si="24"/>
        <v>100</v>
      </c>
      <c r="G106" s="14">
        <f t="shared" si="25"/>
        <v>700</v>
      </c>
      <c r="H106" s="44">
        <f t="shared" si="26"/>
        <v>3640</v>
      </c>
    </row>
    <row r="107" spans="2:8" x14ac:dyDescent="0.3">
      <c r="B107" t="s">
        <v>221</v>
      </c>
      <c r="C107">
        <v>28</v>
      </c>
      <c r="D107">
        <v>300</v>
      </c>
      <c r="E107">
        <v>75.2</v>
      </c>
      <c r="F107" s="14">
        <f t="shared" si="24"/>
        <v>2800</v>
      </c>
      <c r="G107" s="14">
        <f t="shared" si="25"/>
        <v>19600</v>
      </c>
      <c r="H107" s="44">
        <f t="shared" si="26"/>
        <v>4913.0666666666666</v>
      </c>
    </row>
    <row r="108" spans="2:8" x14ac:dyDescent="0.3">
      <c r="B108" t="s">
        <v>245</v>
      </c>
      <c r="C108">
        <v>685</v>
      </c>
      <c r="D108">
        <v>95000</v>
      </c>
      <c r="E108">
        <v>35</v>
      </c>
      <c r="F108" s="14">
        <f t="shared" si="24"/>
        <v>68500</v>
      </c>
      <c r="G108" s="14">
        <f t="shared" si="25"/>
        <v>479500</v>
      </c>
      <c r="H108" s="44">
        <f t="shared" si="26"/>
        <v>176.65789473684211</v>
      </c>
    </row>
    <row r="109" spans="2:8" x14ac:dyDescent="0.3">
      <c r="B109" t="s">
        <v>227</v>
      </c>
      <c r="C109">
        <v>230</v>
      </c>
      <c r="D109">
        <v>4000</v>
      </c>
      <c r="E109">
        <v>50</v>
      </c>
      <c r="F109" s="14">
        <f t="shared" si="24"/>
        <v>23000</v>
      </c>
      <c r="G109" s="14">
        <f t="shared" si="25"/>
        <v>161000</v>
      </c>
      <c r="H109" s="44">
        <f t="shared" si="26"/>
        <v>2012.5</v>
      </c>
    </row>
    <row r="110" spans="2:8" x14ac:dyDescent="0.3">
      <c r="C110"/>
      <c r="D110"/>
      <c r="E110"/>
      <c r="F110" s="14"/>
      <c r="G110" s="14"/>
      <c r="H110" s="44"/>
    </row>
    <row r="111" spans="2:8" x14ac:dyDescent="0.3">
      <c r="B111" s="8" t="s">
        <v>246</v>
      </c>
      <c r="C111"/>
      <c r="D111"/>
      <c r="E111"/>
      <c r="F111" s="14"/>
      <c r="G111" s="14"/>
      <c r="H111" s="44"/>
    </row>
    <row r="112" spans="2:8" x14ac:dyDescent="0.3">
      <c r="C112"/>
      <c r="D112"/>
      <c r="E112"/>
      <c r="F112" s="14"/>
      <c r="G112" s="14"/>
      <c r="H112" s="44"/>
    </row>
    <row r="113" spans="2:8" x14ac:dyDescent="0.3">
      <c r="B113" t="s">
        <v>211</v>
      </c>
      <c r="C113">
        <v>42</v>
      </c>
      <c r="D113">
        <v>1000</v>
      </c>
      <c r="E113">
        <v>21.14</v>
      </c>
      <c r="F113" s="14">
        <f t="shared" ref="F113:F114" si="27">C113*100</f>
        <v>4200</v>
      </c>
      <c r="G113" s="14">
        <f>F113*7</f>
        <v>29400</v>
      </c>
      <c r="H113" s="44">
        <f t="shared" ref="H113:H114" si="28">(G113/D113)*E113</f>
        <v>621.51599999999996</v>
      </c>
    </row>
    <row r="114" spans="2:8" x14ac:dyDescent="0.3">
      <c r="B114" t="s">
        <v>224</v>
      </c>
      <c r="C114">
        <v>25</v>
      </c>
      <c r="D114">
        <v>1000</v>
      </c>
      <c r="E114">
        <v>286</v>
      </c>
      <c r="F114" s="14">
        <f t="shared" si="27"/>
        <v>2500</v>
      </c>
      <c r="G114" s="14">
        <f>F114*7</f>
        <v>17500</v>
      </c>
      <c r="H114" s="44">
        <f t="shared" si="28"/>
        <v>5005</v>
      </c>
    </row>
    <row r="115" spans="2:8" x14ac:dyDescent="0.3">
      <c r="C115"/>
      <c r="D115"/>
      <c r="E115"/>
      <c r="F115" s="14"/>
      <c r="G115" s="14"/>
      <c r="H115" s="44"/>
    </row>
    <row r="116" spans="2:8" x14ac:dyDescent="0.3">
      <c r="B116" s="8" t="s">
        <v>247</v>
      </c>
      <c r="C116"/>
      <c r="D116"/>
      <c r="E116"/>
      <c r="F116" s="14"/>
      <c r="G116" s="14"/>
      <c r="H116" s="44"/>
    </row>
    <row r="117" spans="2:8" x14ac:dyDescent="0.3">
      <c r="C117"/>
      <c r="D117"/>
      <c r="E117"/>
      <c r="F117" s="14"/>
      <c r="G117" s="14"/>
      <c r="H117" s="44"/>
    </row>
    <row r="118" spans="2:8" x14ac:dyDescent="0.3">
      <c r="B118" t="s">
        <v>182</v>
      </c>
      <c r="C118">
        <v>15</v>
      </c>
      <c r="D118">
        <v>50</v>
      </c>
      <c r="E118">
        <v>30</v>
      </c>
      <c r="F118" s="14">
        <f t="shared" ref="F118:F124" si="29">C118*100</f>
        <v>1500</v>
      </c>
      <c r="G118" s="14">
        <f t="shared" ref="G118:G124" si="30">F118*7</f>
        <v>10500</v>
      </c>
      <c r="H118" s="44">
        <f t="shared" ref="H118:H124" si="31">(G118/D118)*E118</f>
        <v>6300</v>
      </c>
    </row>
    <row r="119" spans="2:8" x14ac:dyDescent="0.3">
      <c r="B119" t="s">
        <v>210</v>
      </c>
      <c r="C119">
        <v>10</v>
      </c>
      <c r="D119">
        <v>340</v>
      </c>
      <c r="E119">
        <v>110</v>
      </c>
      <c r="F119" s="14">
        <f t="shared" si="29"/>
        <v>1000</v>
      </c>
      <c r="G119" s="14">
        <f t="shared" si="30"/>
        <v>7000</v>
      </c>
      <c r="H119" s="44">
        <f t="shared" si="31"/>
        <v>2264.7058823529414</v>
      </c>
    </row>
    <row r="120" spans="2:8" x14ac:dyDescent="0.3">
      <c r="B120" t="s">
        <v>220</v>
      </c>
      <c r="C120">
        <v>20</v>
      </c>
      <c r="D120">
        <v>432</v>
      </c>
      <c r="E120">
        <v>64</v>
      </c>
      <c r="F120" s="14">
        <f t="shared" si="29"/>
        <v>2000</v>
      </c>
      <c r="G120" s="14">
        <f t="shared" si="30"/>
        <v>14000</v>
      </c>
      <c r="H120" s="44">
        <f t="shared" si="31"/>
        <v>2074.0740740740739</v>
      </c>
    </row>
    <row r="121" spans="2:8" x14ac:dyDescent="0.3">
      <c r="B121" t="s">
        <v>228</v>
      </c>
      <c r="C121">
        <v>120</v>
      </c>
      <c r="D121">
        <v>340</v>
      </c>
      <c r="E121">
        <v>54</v>
      </c>
      <c r="F121" s="14">
        <f t="shared" si="29"/>
        <v>12000</v>
      </c>
      <c r="G121" s="14">
        <f t="shared" si="30"/>
        <v>84000</v>
      </c>
      <c r="H121" s="44">
        <f t="shared" si="31"/>
        <v>13341.176470588236</v>
      </c>
    </row>
    <row r="122" spans="2:8" x14ac:dyDescent="0.3">
      <c r="B122" t="s">
        <v>139</v>
      </c>
      <c r="C122">
        <v>37</v>
      </c>
      <c r="D122">
        <v>500</v>
      </c>
      <c r="E122">
        <v>20.72</v>
      </c>
      <c r="F122" s="14">
        <f t="shared" si="29"/>
        <v>3700</v>
      </c>
      <c r="G122" s="14">
        <f t="shared" si="30"/>
        <v>25900</v>
      </c>
      <c r="H122" s="44">
        <f t="shared" si="31"/>
        <v>1073.2959999999998</v>
      </c>
    </row>
    <row r="123" spans="2:8" x14ac:dyDescent="0.3">
      <c r="B123" t="s">
        <v>226</v>
      </c>
      <c r="C123">
        <v>5</v>
      </c>
      <c r="D123">
        <v>20</v>
      </c>
      <c r="E123">
        <v>51.5</v>
      </c>
      <c r="F123" s="14">
        <f t="shared" si="29"/>
        <v>500</v>
      </c>
      <c r="G123" s="14">
        <f t="shared" si="30"/>
        <v>3500</v>
      </c>
      <c r="H123" s="44">
        <f t="shared" si="31"/>
        <v>9012.5</v>
      </c>
    </row>
    <row r="124" spans="2:8" x14ac:dyDescent="0.3">
      <c r="B124" s="9" t="s">
        <v>248</v>
      </c>
      <c r="C124">
        <v>15</v>
      </c>
      <c r="D124">
        <v>200</v>
      </c>
      <c r="E124">
        <v>30</v>
      </c>
      <c r="F124" s="14">
        <f t="shared" si="29"/>
        <v>1500</v>
      </c>
      <c r="G124" s="14">
        <f t="shared" si="30"/>
        <v>10500</v>
      </c>
      <c r="H124" s="45">
        <f t="shared" si="31"/>
        <v>1575</v>
      </c>
    </row>
    <row r="125" spans="2:8" ht="15" thickBot="1" x14ac:dyDescent="0.35">
      <c r="B125" s="170" t="s">
        <v>251</v>
      </c>
      <c r="C125" s="170"/>
      <c r="D125" s="170"/>
      <c r="E125" s="170"/>
      <c r="F125" s="170"/>
      <c r="G125" s="170"/>
      <c r="H125" s="85">
        <f>SUM(H3:H124)</f>
        <v>565734.63610399212</v>
      </c>
    </row>
    <row r="126" spans="2:8" ht="15" thickTop="1" x14ac:dyDescent="0.3">
      <c r="H126" s="44"/>
    </row>
  </sheetData>
  <mergeCells count="1">
    <mergeCell ref="B125:G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2115-376A-4FDE-97B4-584B98AFFEB6}">
  <sheetPr>
    <tabColor theme="8" tint="-0.499984740745262"/>
  </sheetPr>
  <dimension ref="B1:F43"/>
  <sheetViews>
    <sheetView showGridLines="0" topLeftCell="A7" workbookViewId="0">
      <selection activeCell="B20" sqref="B20"/>
    </sheetView>
  </sheetViews>
  <sheetFormatPr defaultRowHeight="14.4" x14ac:dyDescent="0.3"/>
  <cols>
    <col min="2" max="2" width="39.5546875" customWidth="1"/>
    <col min="3" max="3" width="21.88671875" style="14" customWidth="1"/>
    <col min="4" max="4" width="17.5546875" customWidth="1"/>
    <col min="5" max="5" width="46.5546875" customWidth="1"/>
    <col min="7" max="7" width="43.88671875" customWidth="1"/>
    <col min="8" max="8" width="9.44140625" bestFit="1" customWidth="1"/>
  </cols>
  <sheetData>
    <row r="1" spans="2:6" x14ac:dyDescent="0.3">
      <c r="B1" s="8" t="s">
        <v>93</v>
      </c>
    </row>
    <row r="3" spans="2:6" x14ac:dyDescent="0.3">
      <c r="B3" s="81" t="s">
        <v>94</v>
      </c>
      <c r="C3" s="96" t="s">
        <v>116</v>
      </c>
      <c r="D3" s="4"/>
      <c r="E3" s="24" t="s">
        <v>117</v>
      </c>
      <c r="F3">
        <v>500</v>
      </c>
    </row>
    <row r="4" spans="2:6" x14ac:dyDescent="0.3">
      <c r="B4" s="8" t="s">
        <v>134</v>
      </c>
      <c r="E4" t="s">
        <v>118</v>
      </c>
      <c r="F4" s="9">
        <v>18</v>
      </c>
    </row>
    <row r="5" spans="2:6" x14ac:dyDescent="0.3">
      <c r="B5" s="18" t="s">
        <v>95</v>
      </c>
      <c r="C5" s="14">
        <v>5000</v>
      </c>
      <c r="F5" s="17">
        <f>F3*F4</f>
        <v>9000</v>
      </c>
    </row>
    <row r="6" spans="2:6" x14ac:dyDescent="0.3">
      <c r="B6" s="18" t="s">
        <v>96</v>
      </c>
      <c r="C6" s="14">
        <v>10000</v>
      </c>
    </row>
    <row r="7" spans="2:6" x14ac:dyDescent="0.3">
      <c r="B7" s="40" t="s">
        <v>97</v>
      </c>
      <c r="C7" s="14">
        <v>5000</v>
      </c>
      <c r="E7" s="24" t="s">
        <v>119</v>
      </c>
      <c r="F7">
        <v>200</v>
      </c>
    </row>
    <row r="8" spans="2:6" x14ac:dyDescent="0.3">
      <c r="B8" s="8" t="s">
        <v>52</v>
      </c>
      <c r="E8" t="s">
        <v>118</v>
      </c>
      <c r="F8" s="9">
        <v>18</v>
      </c>
    </row>
    <row r="9" spans="2:6" x14ac:dyDescent="0.3">
      <c r="B9" s="18" t="s">
        <v>98</v>
      </c>
      <c r="C9" s="14">
        <v>3000</v>
      </c>
      <c r="F9" s="41">
        <f>F7*F8</f>
        <v>3600</v>
      </c>
    </row>
    <row r="10" spans="2:6" x14ac:dyDescent="0.3">
      <c r="B10" s="8" t="s">
        <v>42</v>
      </c>
    </row>
    <row r="11" spans="2:6" x14ac:dyDescent="0.3">
      <c r="B11" s="18" t="s">
        <v>99</v>
      </c>
      <c r="C11" s="14">
        <v>5000</v>
      </c>
      <c r="E11" s="24" t="s">
        <v>129</v>
      </c>
      <c r="F11">
        <v>2000</v>
      </c>
    </row>
    <row r="12" spans="2:6" x14ac:dyDescent="0.3">
      <c r="B12" s="18" t="s">
        <v>100</v>
      </c>
      <c r="C12" s="14">
        <v>2000</v>
      </c>
      <c r="F12" s="9">
        <v>18</v>
      </c>
    </row>
    <row r="13" spans="2:6" x14ac:dyDescent="0.3">
      <c r="B13" s="18" t="s">
        <v>101</v>
      </c>
      <c r="C13" s="14">
        <v>10000</v>
      </c>
      <c r="F13" s="42">
        <f>F11*F12</f>
        <v>36000</v>
      </c>
    </row>
    <row r="14" spans="2:6" x14ac:dyDescent="0.3">
      <c r="B14" s="8" t="s">
        <v>41</v>
      </c>
    </row>
    <row r="15" spans="2:6" x14ac:dyDescent="0.3">
      <c r="B15" s="27" t="s">
        <v>102</v>
      </c>
    </row>
    <row r="16" spans="2:6" x14ac:dyDescent="0.3">
      <c r="B16" s="22" t="s">
        <v>104</v>
      </c>
      <c r="C16" s="14">
        <v>1000</v>
      </c>
    </row>
    <row r="17" spans="2:3" x14ac:dyDescent="0.3">
      <c r="B17" s="22" t="s">
        <v>105</v>
      </c>
      <c r="C17" s="14">
        <v>50</v>
      </c>
    </row>
    <row r="18" spans="2:3" x14ac:dyDescent="0.3">
      <c r="B18" s="22" t="s">
        <v>106</v>
      </c>
      <c r="C18" s="14">
        <v>1000</v>
      </c>
    </row>
    <row r="19" spans="2:3" x14ac:dyDescent="0.3">
      <c r="B19" s="22" t="s">
        <v>107</v>
      </c>
      <c r="C19" s="14">
        <v>500</v>
      </c>
    </row>
    <row r="20" spans="2:3" x14ac:dyDescent="0.3">
      <c r="B20" s="22" t="s">
        <v>108</v>
      </c>
      <c r="C20" s="14">
        <v>1500</v>
      </c>
    </row>
    <row r="21" spans="2:3" x14ac:dyDescent="0.3">
      <c r="B21" s="27" t="s">
        <v>103</v>
      </c>
    </row>
    <row r="22" spans="2:3" x14ac:dyDescent="0.3">
      <c r="B22" s="22" t="s">
        <v>109</v>
      </c>
      <c r="C22" s="14">
        <v>1000</v>
      </c>
    </row>
    <row r="23" spans="2:3" x14ac:dyDescent="0.3">
      <c r="B23" s="22" t="s">
        <v>110</v>
      </c>
      <c r="C23" s="17">
        <f>F5</f>
        <v>9000</v>
      </c>
    </row>
    <row r="24" spans="2:3" x14ac:dyDescent="0.3">
      <c r="B24" s="22" t="s">
        <v>111</v>
      </c>
      <c r="C24" s="14">
        <v>2000</v>
      </c>
    </row>
    <row r="25" spans="2:3" x14ac:dyDescent="0.3">
      <c r="B25" s="22" t="s">
        <v>112</v>
      </c>
      <c r="C25" s="14">
        <v>1000</v>
      </c>
    </row>
    <row r="26" spans="2:3" x14ac:dyDescent="0.3">
      <c r="B26" s="22" t="s">
        <v>113</v>
      </c>
      <c r="C26" s="41">
        <f>F9</f>
        <v>3600</v>
      </c>
    </row>
    <row r="27" spans="2:3" x14ac:dyDescent="0.3">
      <c r="B27" s="22" t="s">
        <v>114</v>
      </c>
      <c r="C27" s="14">
        <v>1000</v>
      </c>
    </row>
    <row r="28" spans="2:3" x14ac:dyDescent="0.3">
      <c r="B28" s="22" t="s">
        <v>115</v>
      </c>
      <c r="C28" s="14">
        <v>500</v>
      </c>
    </row>
    <row r="29" spans="2:3" x14ac:dyDescent="0.3">
      <c r="B29" s="27" t="s">
        <v>122</v>
      </c>
    </row>
    <row r="30" spans="2:3" x14ac:dyDescent="0.3">
      <c r="B30" s="22" t="s">
        <v>120</v>
      </c>
      <c r="C30" s="14">
        <v>1000</v>
      </c>
    </row>
    <row r="31" spans="2:3" x14ac:dyDescent="0.3">
      <c r="B31" s="22" t="s">
        <v>121</v>
      </c>
      <c r="C31" s="14">
        <v>500</v>
      </c>
    </row>
    <row r="32" spans="2:3" x14ac:dyDescent="0.3">
      <c r="B32" s="22" t="s">
        <v>123</v>
      </c>
      <c r="C32" s="14">
        <v>2000</v>
      </c>
    </row>
    <row r="33" spans="2:3" x14ac:dyDescent="0.3">
      <c r="B33" s="27" t="s">
        <v>124</v>
      </c>
    </row>
    <row r="34" spans="2:3" x14ac:dyDescent="0.3">
      <c r="B34" s="22" t="s">
        <v>125</v>
      </c>
      <c r="C34" s="14">
        <v>1000</v>
      </c>
    </row>
    <row r="35" spans="2:3" x14ac:dyDescent="0.3">
      <c r="B35" s="22" t="s">
        <v>126</v>
      </c>
      <c r="C35" s="42">
        <f>F13</f>
        <v>36000</v>
      </c>
    </row>
    <row r="36" spans="2:3" x14ac:dyDescent="0.3">
      <c r="B36" s="22" t="s">
        <v>127</v>
      </c>
      <c r="C36" s="14">
        <v>1500</v>
      </c>
    </row>
    <row r="37" spans="2:3" x14ac:dyDescent="0.3">
      <c r="B37" s="22" t="s">
        <v>128</v>
      </c>
      <c r="C37" s="14">
        <v>2000</v>
      </c>
    </row>
    <row r="38" spans="2:3" x14ac:dyDescent="0.3">
      <c r="B38" t="s">
        <v>51</v>
      </c>
    </row>
    <row r="39" spans="2:3" x14ac:dyDescent="0.3">
      <c r="B39" s="18" t="s">
        <v>130</v>
      </c>
      <c r="C39" s="14">
        <v>600</v>
      </c>
    </row>
    <row r="40" spans="2:3" x14ac:dyDescent="0.3">
      <c r="B40" s="18" t="s">
        <v>131</v>
      </c>
      <c r="C40" s="14">
        <v>1000</v>
      </c>
    </row>
    <row r="41" spans="2:3" x14ac:dyDescent="0.3">
      <c r="B41" s="28" t="s">
        <v>132</v>
      </c>
      <c r="C41" s="15">
        <v>5000</v>
      </c>
    </row>
    <row r="42" spans="2:3" ht="15" thickBot="1" x14ac:dyDescent="0.35">
      <c r="B42" s="43" t="s">
        <v>135</v>
      </c>
      <c r="C42" s="117">
        <f>SUM(C4:C41)</f>
        <v>112750</v>
      </c>
    </row>
    <row r="43" spans="2:3" ht="15" thickTop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6C97-A311-49D6-89D3-E9E1256B96FC}">
  <sheetPr>
    <tabColor theme="8" tint="-0.499984740745262"/>
  </sheetPr>
  <dimension ref="A1:G38"/>
  <sheetViews>
    <sheetView workbookViewId="0">
      <selection activeCell="G25" sqref="G25"/>
    </sheetView>
  </sheetViews>
  <sheetFormatPr defaultRowHeight="14.4" x14ac:dyDescent="0.3"/>
  <cols>
    <col min="2" max="2" width="36.88671875" customWidth="1"/>
    <col min="3" max="3" width="16.6640625" style="14" customWidth="1"/>
    <col min="4" max="4" width="12.21875" customWidth="1"/>
    <col min="5" max="5" width="11" customWidth="1"/>
    <col min="6" max="6" width="13" customWidth="1"/>
    <col min="7" max="7" width="11" customWidth="1"/>
  </cols>
  <sheetData>
    <row r="1" spans="2:3" x14ac:dyDescent="0.3">
      <c r="B1" s="8" t="s">
        <v>281</v>
      </c>
    </row>
    <row r="3" spans="2:3" x14ac:dyDescent="0.3">
      <c r="B3" s="81" t="s">
        <v>282</v>
      </c>
      <c r="C3" s="96" t="s">
        <v>116</v>
      </c>
    </row>
    <row r="4" spans="2:3" x14ac:dyDescent="0.3">
      <c r="B4" s="25" t="s">
        <v>44</v>
      </c>
    </row>
    <row r="5" spans="2:3" x14ac:dyDescent="0.3">
      <c r="B5" s="18" t="s">
        <v>144</v>
      </c>
      <c r="C5" s="14">
        <v>25000</v>
      </c>
    </row>
    <row r="6" spans="2:3" x14ac:dyDescent="0.3">
      <c r="B6" s="18" t="s">
        <v>278</v>
      </c>
      <c r="C6" s="14">
        <v>10000</v>
      </c>
    </row>
    <row r="7" spans="2:3" x14ac:dyDescent="0.3">
      <c r="B7" s="25" t="s">
        <v>45</v>
      </c>
    </row>
    <row r="8" spans="2:3" x14ac:dyDescent="0.3">
      <c r="B8" s="18" t="s">
        <v>145</v>
      </c>
      <c r="C8" s="14">
        <v>3000</v>
      </c>
    </row>
    <row r="9" spans="2:3" x14ac:dyDescent="0.3">
      <c r="B9" s="18" t="s">
        <v>146</v>
      </c>
      <c r="C9" s="14">
        <v>15000</v>
      </c>
    </row>
    <row r="10" spans="2:3" x14ac:dyDescent="0.3">
      <c r="B10" s="25" t="s">
        <v>46</v>
      </c>
    </row>
    <row r="11" spans="2:3" x14ac:dyDescent="0.3">
      <c r="B11" s="18" t="s">
        <v>147</v>
      </c>
      <c r="C11" s="14">
        <v>3000</v>
      </c>
    </row>
    <row r="12" spans="2:3" x14ac:dyDescent="0.3">
      <c r="B12" s="18" t="s">
        <v>148</v>
      </c>
      <c r="C12" s="14">
        <v>2000</v>
      </c>
    </row>
    <row r="13" spans="2:3" x14ac:dyDescent="0.3">
      <c r="B13" s="18" t="s">
        <v>149</v>
      </c>
      <c r="C13" s="14">
        <v>2000</v>
      </c>
    </row>
    <row r="14" spans="2:3" x14ac:dyDescent="0.3">
      <c r="B14" s="25" t="s">
        <v>47</v>
      </c>
    </row>
    <row r="15" spans="2:3" x14ac:dyDescent="0.3">
      <c r="B15" s="18" t="s">
        <v>150</v>
      </c>
      <c r="C15" s="14">
        <v>20000</v>
      </c>
    </row>
    <row r="16" spans="2:3" x14ac:dyDescent="0.3">
      <c r="B16" s="18" t="s">
        <v>151</v>
      </c>
      <c r="C16" s="14">
        <v>5000</v>
      </c>
    </row>
    <row r="17" spans="1:7" x14ac:dyDescent="0.3">
      <c r="B17" s="18" t="s">
        <v>152</v>
      </c>
      <c r="C17" s="14">
        <v>10000</v>
      </c>
    </row>
    <row r="18" spans="1:7" x14ac:dyDescent="0.3">
      <c r="B18" s="28" t="s">
        <v>153</v>
      </c>
      <c r="C18" s="15">
        <v>5000</v>
      </c>
    </row>
    <row r="19" spans="1:7" ht="15" thickBot="1" x14ac:dyDescent="0.35">
      <c r="B19" s="43" t="s">
        <v>154</v>
      </c>
      <c r="C19" s="112">
        <f>SUM(C5:C18)</f>
        <v>100000</v>
      </c>
    </row>
    <row r="20" spans="1:7" ht="15" thickTop="1" x14ac:dyDescent="0.3"/>
    <row r="24" spans="1:7" x14ac:dyDescent="0.3">
      <c r="A24" s="8" t="s">
        <v>434</v>
      </c>
      <c r="B24" s="81" t="s">
        <v>279</v>
      </c>
      <c r="C24" s="81">
        <v>2024</v>
      </c>
      <c r="D24" s="81">
        <v>2025</v>
      </c>
      <c r="E24" s="81">
        <v>2026</v>
      </c>
      <c r="F24" s="81">
        <v>2027</v>
      </c>
      <c r="G24" s="81">
        <v>2028</v>
      </c>
    </row>
    <row r="25" spans="1:7" x14ac:dyDescent="0.3">
      <c r="B25" s="18" t="s">
        <v>144</v>
      </c>
      <c r="C25" s="14">
        <v>25000</v>
      </c>
    </row>
    <row r="26" spans="1:7" x14ac:dyDescent="0.3">
      <c r="B26" s="18" t="s">
        <v>278</v>
      </c>
      <c r="C26" s="14">
        <v>10000</v>
      </c>
    </row>
    <row r="27" spans="1:7" x14ac:dyDescent="0.3">
      <c r="B27" s="18" t="s">
        <v>145</v>
      </c>
      <c r="C27" s="14">
        <v>3000</v>
      </c>
    </row>
    <row r="28" spans="1:7" x14ac:dyDescent="0.3">
      <c r="B28" s="18" t="s">
        <v>146</v>
      </c>
      <c r="C28" s="14">
        <v>15000</v>
      </c>
    </row>
    <row r="29" spans="1:7" x14ac:dyDescent="0.3">
      <c r="B29" s="18" t="s">
        <v>147</v>
      </c>
      <c r="C29" s="14">
        <v>3000</v>
      </c>
    </row>
    <row r="30" spans="1:7" x14ac:dyDescent="0.3">
      <c r="B30" s="18" t="s">
        <v>148</v>
      </c>
      <c r="C30" s="14">
        <v>2000</v>
      </c>
    </row>
    <row r="31" spans="1:7" x14ac:dyDescent="0.3">
      <c r="B31" s="18" t="s">
        <v>149</v>
      </c>
      <c r="C31" s="14">
        <v>2000</v>
      </c>
    </row>
    <row r="32" spans="1:7" x14ac:dyDescent="0.3">
      <c r="B32" s="18" t="s">
        <v>150</v>
      </c>
      <c r="C32" s="14">
        <v>20000</v>
      </c>
    </row>
    <row r="33" spans="2:7" x14ac:dyDescent="0.3">
      <c r="B33" s="18" t="s">
        <v>151</v>
      </c>
      <c r="C33" s="14">
        <v>5000</v>
      </c>
    </row>
    <row r="34" spans="2:7" x14ac:dyDescent="0.3">
      <c r="B34" s="18" t="s">
        <v>152</v>
      </c>
      <c r="C34" s="14">
        <v>10000</v>
      </c>
    </row>
    <row r="35" spans="2:7" x14ac:dyDescent="0.3">
      <c r="B35" s="18" t="s">
        <v>153</v>
      </c>
      <c r="C35" s="38">
        <v>5000</v>
      </c>
    </row>
    <row r="36" spans="2:7" x14ac:dyDescent="0.3">
      <c r="B36" s="28" t="s">
        <v>279</v>
      </c>
      <c r="C36" s="15"/>
      <c r="D36" s="15">
        <v>10000</v>
      </c>
      <c r="E36" s="15">
        <f>D36*1.05</f>
        <v>10500</v>
      </c>
      <c r="F36" s="15">
        <f>E36*1.05</f>
        <v>11025</v>
      </c>
      <c r="G36" s="15">
        <f>F36*1.05</f>
        <v>11576.25</v>
      </c>
    </row>
    <row r="37" spans="2:7" ht="15" thickBot="1" x14ac:dyDescent="0.35">
      <c r="B37" s="32" t="s">
        <v>5</v>
      </c>
      <c r="C37" s="113">
        <f>SUM(C25:C36)</f>
        <v>100000</v>
      </c>
      <c r="D37" s="113">
        <f>SUM(D25:D36)</f>
        <v>10000</v>
      </c>
      <c r="E37" s="113">
        <f>SUM(E25:E36)</f>
        <v>10500</v>
      </c>
      <c r="F37" s="113">
        <f>SUM(F25:F36)</f>
        <v>11025</v>
      </c>
      <c r="G37" s="113">
        <f>SUM(G25:G36)</f>
        <v>11576.25</v>
      </c>
    </row>
    <row r="38" spans="2:7" ht="15" thickTop="1" x14ac:dyDescent="0.3">
      <c r="B38" s="49" t="s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C031-70CC-4A7E-9B31-4224817EE31A}">
  <sheetPr>
    <tabColor theme="1" tint="4.9989318521683403E-2"/>
  </sheetPr>
  <dimension ref="B1:J25"/>
  <sheetViews>
    <sheetView workbookViewId="0">
      <selection activeCell="B1" sqref="B1:F5"/>
    </sheetView>
  </sheetViews>
  <sheetFormatPr defaultRowHeight="14.4" x14ac:dyDescent="0.3"/>
  <cols>
    <col min="1" max="1" width="4.6640625" customWidth="1"/>
    <col min="2" max="2" width="21" customWidth="1"/>
    <col min="3" max="3" width="20.88671875" customWidth="1"/>
    <col min="4" max="4" width="12.21875" customWidth="1"/>
    <col min="5" max="5" width="15.88671875" customWidth="1"/>
    <col min="6" max="6" width="16.33203125" customWidth="1"/>
    <col min="7" max="7" width="10.77734375" customWidth="1"/>
    <col min="8" max="8" width="13.44140625" customWidth="1"/>
    <col min="9" max="9" width="10.44140625" customWidth="1"/>
  </cols>
  <sheetData>
    <row r="1" spans="2:10" x14ac:dyDescent="0.3">
      <c r="B1" t="s">
        <v>0</v>
      </c>
    </row>
    <row r="2" spans="2:10" x14ac:dyDescent="0.3">
      <c r="B2" s="2" t="s">
        <v>1</v>
      </c>
      <c r="C2" s="2" t="s">
        <v>2</v>
      </c>
      <c r="D2" s="2">
        <v>2021</v>
      </c>
      <c r="E2" s="2">
        <v>2022</v>
      </c>
      <c r="F2" s="2">
        <v>2023</v>
      </c>
      <c r="G2" s="2">
        <v>2024</v>
      </c>
      <c r="H2" s="2">
        <v>2025</v>
      </c>
    </row>
    <row r="3" spans="2:10" x14ac:dyDescent="0.3">
      <c r="B3" t="s">
        <v>3</v>
      </c>
    </row>
    <row r="4" spans="2:10" x14ac:dyDescent="0.3">
      <c r="B4" s="9" t="s">
        <v>4</v>
      </c>
      <c r="C4" s="9"/>
      <c r="D4" s="9"/>
      <c r="E4" s="9"/>
      <c r="F4" s="9"/>
      <c r="G4" s="9"/>
      <c r="H4" s="9"/>
    </row>
    <row r="5" spans="2:10" x14ac:dyDescent="0.3">
      <c r="B5" s="8" t="s">
        <v>5</v>
      </c>
    </row>
    <row r="7" spans="2:10" x14ac:dyDescent="0.3">
      <c r="B7" t="s">
        <v>6</v>
      </c>
      <c r="G7" s="178" t="s">
        <v>15</v>
      </c>
      <c r="H7" s="178"/>
      <c r="I7" s="178"/>
      <c r="J7" s="178"/>
    </row>
    <row r="8" spans="2:10" s="3" customFormat="1" ht="28.8" x14ac:dyDescent="0.3">
      <c r="B8" s="7" t="s">
        <v>7</v>
      </c>
      <c r="C8" s="7" t="s">
        <v>8</v>
      </c>
      <c r="D8" s="7" t="s">
        <v>9</v>
      </c>
      <c r="E8" s="7" t="s">
        <v>5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</row>
    <row r="9" spans="2:10" x14ac:dyDescent="0.3">
      <c r="B9" s="10" t="s">
        <v>16</v>
      </c>
      <c r="C9" s="10">
        <v>1</v>
      </c>
      <c r="D9" s="11">
        <v>25000</v>
      </c>
      <c r="E9" s="11">
        <v>25000</v>
      </c>
      <c r="F9" s="11">
        <v>300000</v>
      </c>
      <c r="G9" s="11">
        <v>25000</v>
      </c>
      <c r="H9" s="11">
        <v>1070</v>
      </c>
      <c r="I9" s="11">
        <v>100</v>
      </c>
      <c r="J9" s="11">
        <v>500</v>
      </c>
    </row>
    <row r="10" spans="2:10" x14ac:dyDescent="0.3">
      <c r="B10" s="177" t="s">
        <v>17</v>
      </c>
      <c r="C10" s="177"/>
      <c r="D10" s="177"/>
      <c r="E10" s="177"/>
      <c r="F10" s="8"/>
      <c r="G10" s="177" t="s">
        <v>18</v>
      </c>
      <c r="H10" s="177"/>
      <c r="I10" s="177"/>
    </row>
    <row r="13" spans="2:10" x14ac:dyDescent="0.3">
      <c r="B13" t="s">
        <v>19</v>
      </c>
    </row>
    <row r="14" spans="2:10" x14ac:dyDescent="0.3">
      <c r="B14" s="2" t="s">
        <v>20</v>
      </c>
      <c r="C14" s="2" t="s">
        <v>21</v>
      </c>
      <c r="D14" s="2" t="s">
        <v>22</v>
      </c>
      <c r="E14" s="2" t="s">
        <v>23</v>
      </c>
    </row>
    <row r="15" spans="2:10" x14ac:dyDescent="0.3">
      <c r="B15" s="10"/>
      <c r="C15" s="10"/>
      <c r="D15" s="10"/>
      <c r="E15" s="10"/>
    </row>
    <row r="16" spans="2:10" x14ac:dyDescent="0.3">
      <c r="B16" s="177" t="s">
        <v>5</v>
      </c>
      <c r="C16" s="177"/>
      <c r="D16" s="177"/>
    </row>
    <row r="18" spans="2:5" x14ac:dyDescent="0.3">
      <c r="B18" t="s">
        <v>24</v>
      </c>
    </row>
    <row r="19" spans="2:5" s="5" customFormat="1" ht="28.8" x14ac:dyDescent="0.3">
      <c r="B19" s="5" t="s">
        <v>25</v>
      </c>
      <c r="C19" s="5" t="s">
        <v>30</v>
      </c>
      <c r="D19" s="5" t="s">
        <v>31</v>
      </c>
      <c r="E19" s="5" t="s">
        <v>32</v>
      </c>
    </row>
    <row r="20" spans="2:5" x14ac:dyDescent="0.3">
      <c r="B20" t="s">
        <v>26</v>
      </c>
      <c r="C20" s="6">
        <v>12500</v>
      </c>
      <c r="D20" s="6">
        <v>375000</v>
      </c>
      <c r="E20" s="6">
        <v>4500000</v>
      </c>
    </row>
    <row r="21" spans="2:5" x14ac:dyDescent="0.3">
      <c r="B21" s="9" t="s">
        <v>27</v>
      </c>
      <c r="C21" s="6">
        <v>12500</v>
      </c>
      <c r="D21" s="6">
        <v>375000</v>
      </c>
      <c r="E21" s="6">
        <v>4500000</v>
      </c>
    </row>
    <row r="22" spans="2:5" x14ac:dyDescent="0.3">
      <c r="B22" s="10" t="s">
        <v>5</v>
      </c>
      <c r="C22" s="11">
        <v>62000</v>
      </c>
      <c r="D22" s="11">
        <v>1860000</v>
      </c>
      <c r="E22" s="11">
        <v>22320000</v>
      </c>
    </row>
    <row r="23" spans="2:5" x14ac:dyDescent="0.3">
      <c r="B23" t="s">
        <v>28</v>
      </c>
      <c r="C23" s="12">
        <v>30353.62</v>
      </c>
      <c r="D23" s="12">
        <v>910608.68</v>
      </c>
      <c r="E23" s="12">
        <v>10927304.1</v>
      </c>
    </row>
    <row r="24" spans="2:5" x14ac:dyDescent="0.3">
      <c r="B24" t="s">
        <v>29</v>
      </c>
      <c r="C24" s="12">
        <v>31646.38</v>
      </c>
      <c r="D24" s="12">
        <v>946391.33</v>
      </c>
      <c r="E24" s="12">
        <v>11392695.9</v>
      </c>
    </row>
    <row r="25" spans="2:5" x14ac:dyDescent="0.3">
      <c r="C25" s="12"/>
    </row>
  </sheetData>
  <mergeCells count="4">
    <mergeCell ref="G7:J7"/>
    <mergeCell ref="B10:E10"/>
    <mergeCell ref="G10:I10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FS</vt:lpstr>
      <vt:lpstr>IS</vt:lpstr>
      <vt:lpstr>SCPE</vt:lpstr>
      <vt:lpstr>CF</vt:lpstr>
      <vt:lpstr>SalesCos</vt:lpstr>
      <vt:lpstr>Project Cost</vt:lpstr>
      <vt:lpstr>ROI</vt:lpstr>
      <vt:lpstr>CAPITAL CONTRIBUTION</vt:lpstr>
      <vt:lpstr>STAFF EXPENSE</vt:lpstr>
      <vt:lpstr>SUPPLIES EXPENSE</vt:lpstr>
      <vt:lpstr>FIXED ASSET EXPENSE</vt:lpstr>
      <vt:lpstr>INITIAL_INVENTORY</vt:lpstr>
      <vt:lpstr>PRE OPERATING EXPENSE</vt:lpstr>
      <vt:lpstr>MARKETING</vt:lpstr>
      <vt:lpstr>SAMPLE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parreno</dc:creator>
  <cp:lastModifiedBy>Paul parreno</cp:lastModifiedBy>
  <dcterms:created xsi:type="dcterms:W3CDTF">2024-10-19T14:49:32Z</dcterms:created>
  <dcterms:modified xsi:type="dcterms:W3CDTF">2024-11-03T16:53:37Z</dcterms:modified>
</cp:coreProperties>
</file>