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filterPrivacy="1" showInkAnnotation="0" defaultThemeVersion="166925"/>
  <xr:revisionPtr revIDLastSave="121" documentId="14_{9F148209-A1AF-4719-B160-AF696FC5E7D5}" xr6:coauthVersionLast="47" xr6:coauthVersionMax="47" xr10:uidLastSave="{A5A55319-31B2-40A0-BD86-5F37512F28BD}"/>
  <bookViews>
    <workbookView xWindow="-110" yWindow="-110" windowWidth="25820" windowHeight="15500" activeTab="5" xr2:uid="{00000000-000D-0000-FFFF-FFFF00000000}"/>
  </bookViews>
  <sheets>
    <sheet name="Expéditeur" sheetId="1" r:id="rId1"/>
    <sheet name="Recipient" sheetId="2" r:id="rId2"/>
    <sheet name="packing" sheetId="3" r:id="rId3"/>
    <sheet name="Description des vins" sheetId="4" r:id="rId4"/>
    <sheet name="Détails importants" sheetId="8" state="hidden" r:id="rId5"/>
    <sheet name="facture proforma" sheetId="6" r:id="rId6"/>
    <sheet name="menu déroulant" sheetId="7" r:id="rId7"/>
  </sheets>
  <externalReferences>
    <externalReference r:id="rId8"/>
    <externalReference r:id="rId9"/>
  </externalReferences>
  <definedNames>
    <definedName name="_xlnm._FilterDatabase" localSheetId="3" hidden="1">'Description des vins'!$A$1:$P$1</definedName>
    <definedName name="_xlcn.WorksheetConnection_ShipperB4B61" hidden="1">Expéditeur!$B$4:$B$6</definedName>
    <definedName name="Drink" localSheetId="4">[1]Feuil4!$A$1:$A$7</definedName>
    <definedName name="Drink">#REF!</definedName>
    <definedName name="_xlnm.Print_Titles" localSheetId="5">'facture proforma'!$1:$18</definedName>
    <definedName name="Size" localSheetId="4">[1]Feuil4!$C$1:$C$9</definedName>
    <definedName name="Size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FCE2AD5D-F65C-4FA6-A056-5C36A1767C68}">
      <x15:dataModel>
        <x15:modelTables>
          <x15:modelTable id="Plage" name="Plage" connection="WorksheetConnection_Shipper!$B$4:$B$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4" l="1"/>
  <c r="G6" i="4"/>
  <c r="J5" i="4"/>
  <c r="J4" i="4"/>
  <c r="J3" i="4"/>
  <c r="G5" i="4"/>
  <c r="H13" i="6"/>
  <c r="G4" i="4"/>
  <c r="M3" i="4"/>
  <c r="C3" i="4"/>
  <c r="G23" i="6" s="1" a="1"/>
  <c r="G23" i="6" s="1"/>
  <c r="I3" i="4"/>
  <c r="I2" i="4"/>
  <c r="G3" i="4"/>
  <c r="G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C2" i="4"/>
  <c r="G22" i="6" s="1" a="1"/>
  <c r="G22" i="6" s="1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M19" i="4"/>
  <c r="J19" i="4"/>
  <c r="I19" i="4"/>
  <c r="E19" i="4"/>
  <c r="D19" i="4"/>
  <c r="C19" i="4"/>
  <c r="G39" i="6" s="1" a="1"/>
  <c r="G39" i="6" s="1"/>
  <c r="A19" i="4"/>
  <c r="M18" i="4"/>
  <c r="J18" i="4"/>
  <c r="I18" i="4"/>
  <c r="E18" i="4"/>
  <c r="D18" i="4"/>
  <c r="C18" i="4"/>
  <c r="G38" i="6" s="1" a="1"/>
  <c r="G38" i="6" s="1"/>
  <c r="A18" i="4"/>
  <c r="M17" i="4"/>
  <c r="J17" i="4"/>
  <c r="I17" i="4"/>
  <c r="E17" i="4"/>
  <c r="D17" i="4"/>
  <c r="C17" i="4"/>
  <c r="G37" i="6" s="1" a="1"/>
  <c r="G37" i="6" s="1"/>
  <c r="A17" i="4"/>
  <c r="M16" i="4"/>
  <c r="J16" i="4"/>
  <c r="I16" i="4"/>
  <c r="E16" i="4"/>
  <c r="D16" i="4"/>
  <c r="C16" i="4"/>
  <c r="G36" i="6" s="1" a="1"/>
  <c r="G36" i="6" s="1"/>
  <c r="A16" i="4"/>
  <c r="M15" i="4"/>
  <c r="J15" i="4"/>
  <c r="I15" i="4"/>
  <c r="E15" i="4"/>
  <c r="D15" i="4"/>
  <c r="C15" i="4"/>
  <c r="G35" i="6" s="1" a="1"/>
  <c r="G35" i="6" s="1"/>
  <c r="A15" i="4"/>
  <c r="M14" i="4"/>
  <c r="J14" i="4"/>
  <c r="I14" i="4"/>
  <c r="E14" i="4"/>
  <c r="D14" i="4"/>
  <c r="C14" i="4"/>
  <c r="G34" i="6" s="1" a="1"/>
  <c r="G34" i="6" s="1"/>
  <c r="A14" i="4"/>
  <c r="M13" i="4"/>
  <c r="J13" i="4"/>
  <c r="I13" i="4"/>
  <c r="E13" i="4"/>
  <c r="D13" i="4"/>
  <c r="C13" i="4"/>
  <c r="G33" i="6" s="1" a="1"/>
  <c r="G33" i="6" s="1"/>
  <c r="A13" i="4"/>
  <c r="M12" i="4"/>
  <c r="J12" i="4"/>
  <c r="I12" i="4"/>
  <c r="E12" i="4"/>
  <c r="D12" i="4"/>
  <c r="C12" i="4"/>
  <c r="G32" i="6" s="1" a="1"/>
  <c r="G32" i="6" s="1"/>
  <c r="A12" i="4"/>
  <c r="M11" i="4"/>
  <c r="J11" i="4"/>
  <c r="I11" i="4"/>
  <c r="E11" i="4"/>
  <c r="D11" i="4"/>
  <c r="C11" i="4"/>
  <c r="G31" i="6" s="1" a="1"/>
  <c r="G31" i="6" s="1"/>
  <c r="A11" i="4"/>
  <c r="M10" i="4"/>
  <c r="J10" i="4"/>
  <c r="I10" i="4"/>
  <c r="E10" i="4"/>
  <c r="D10" i="4"/>
  <c r="C10" i="4"/>
  <c r="G30" i="6" s="1" a="1"/>
  <c r="G30" i="6" s="1"/>
  <c r="A10" i="4"/>
  <c r="M9" i="4"/>
  <c r="J29" i="6" s="1"/>
  <c r="J9" i="4"/>
  <c r="I9" i="4"/>
  <c r="E9" i="4"/>
  <c r="D9" i="4"/>
  <c r="C9" i="4"/>
  <c r="G29" i="6" s="1" a="1"/>
  <c r="G29" i="6" s="1"/>
  <c r="A9" i="4"/>
  <c r="M8" i="4"/>
  <c r="J8" i="4"/>
  <c r="I8" i="4"/>
  <c r="E8" i="4"/>
  <c r="D8" i="4"/>
  <c r="C8" i="4"/>
  <c r="G28" i="6" s="1" a="1"/>
  <c r="G28" i="6" s="1"/>
  <c r="A8" i="4"/>
  <c r="M7" i="4"/>
  <c r="J7" i="4"/>
  <c r="I7" i="4"/>
  <c r="E7" i="4"/>
  <c r="D7" i="4"/>
  <c r="C7" i="4"/>
  <c r="A7" i="4"/>
  <c r="M6" i="4"/>
  <c r="J6" i="4"/>
  <c r="I6" i="4"/>
  <c r="E6" i="4"/>
  <c r="D6" i="4"/>
  <c r="C6" i="4"/>
  <c r="G26" i="6" s="1" a="1"/>
  <c r="G26" i="6" s="1"/>
  <c r="A6" i="4"/>
  <c r="M5" i="4"/>
  <c r="I5" i="4"/>
  <c r="E5" i="4"/>
  <c r="D5" i="4"/>
  <c r="C5" i="4"/>
  <c r="G25" i="6" s="1" a="1"/>
  <c r="G25" i="6" s="1"/>
  <c r="A5" i="4"/>
  <c r="M4" i="4"/>
  <c r="I4" i="4"/>
  <c r="E4" i="4"/>
  <c r="D4" i="4"/>
  <c r="C4" i="4"/>
  <c r="G24" i="6" s="1" a="1"/>
  <c r="G24" i="6" s="1"/>
  <c r="A4" i="4"/>
  <c r="E3" i="4"/>
  <c r="D3" i="4"/>
  <c r="A3" i="4"/>
  <c r="A23" i="6" s="1"/>
  <c r="M2" i="4"/>
  <c r="J22" i="6" s="1"/>
  <c r="E2" i="4"/>
  <c r="D2" i="4"/>
  <c r="A2" i="4"/>
  <c r="B7" i="2"/>
  <c r="B6" i="2"/>
  <c r="B5" i="2"/>
  <c r="D14" i="6" s="1"/>
  <c r="B4" i="2"/>
  <c r="B3" i="2"/>
  <c r="B2" i="2"/>
  <c r="B1" i="2"/>
  <c r="B10" i="1"/>
  <c r="B9" i="1"/>
  <c r="B8" i="1"/>
  <c r="B7" i="1"/>
  <c r="B6" i="1"/>
  <c r="B5" i="1"/>
  <c r="B4" i="1"/>
  <c r="B3" i="1"/>
  <c r="B2" i="1"/>
  <c r="B1" i="1"/>
  <c r="B32" i="7"/>
  <c r="I46" i="6" s="1" a="1"/>
  <c r="I46" i="6" s="1"/>
  <c r="B22" i="7"/>
  <c r="A49" i="6" s="1" a="1"/>
  <c r="A49" i="6" s="1"/>
  <c r="C11" i="7"/>
  <c r="I7" i="6" s="1" a="1"/>
  <c r="I7" i="6" s="1"/>
  <c r="A13" i="3"/>
  <c r="F13" i="3" s="1"/>
  <c r="A12" i="3"/>
  <c r="F12" i="3" s="1"/>
  <c r="A11" i="3"/>
  <c r="F11" i="3" s="1"/>
  <c r="A10" i="3"/>
  <c r="F10" i="3" s="1"/>
  <c r="A9" i="3"/>
  <c r="F9" i="3" s="1"/>
  <c r="A8" i="3"/>
  <c r="F8" i="3" s="1"/>
  <c r="A7" i="3"/>
  <c r="F7" i="3" s="1"/>
  <c r="A6" i="3"/>
  <c r="F6" i="3" s="1"/>
  <c r="A5" i="3"/>
  <c r="F5" i="3" s="1"/>
  <c r="A4" i="3"/>
  <c r="F4" i="3" s="1"/>
  <c r="A3" i="3"/>
  <c r="F3" i="3" s="1"/>
  <c r="A2" i="3"/>
  <c r="F2" i="3" s="1"/>
  <c r="B11" i="2"/>
  <c r="A45" i="6"/>
  <c r="A44" i="6"/>
  <c r="A43" i="6"/>
  <c r="A42" i="6"/>
  <c r="A41" i="6"/>
  <c r="A40" i="6"/>
  <c r="N2" i="4" l="1"/>
  <c r="N3" i="4"/>
  <c r="D10" i="6"/>
  <c r="F14" i="3"/>
  <c r="E46" i="6" s="1"/>
  <c r="N7" i="4"/>
  <c r="G27" i="6" a="1"/>
  <c r="G27" i="6" s="1"/>
  <c r="I3" i="6"/>
  <c r="J23" i="6"/>
  <c r="N12" i="4"/>
  <c r="N8" i="4"/>
  <c r="N6" i="4"/>
  <c r="N9" i="4"/>
  <c r="N5" i="4"/>
  <c r="N10" i="4"/>
  <c r="N11" i="4"/>
  <c r="C23" i="6" l="1"/>
  <c r="J26" i="6"/>
  <c r="J25" i="6"/>
  <c r="J24" i="6"/>
  <c r="C25" i="6"/>
  <c r="C26" i="6"/>
  <c r="C27" i="6"/>
  <c r="C28" i="6"/>
  <c r="C29" i="6"/>
  <c r="A14" i="3"/>
  <c r="G46" i="6" s="1"/>
  <c r="J27" i="6"/>
  <c r="J28" i="6"/>
  <c r="J30" i="6"/>
  <c r="J31" i="6"/>
  <c r="J32" i="6"/>
  <c r="J33" i="6"/>
  <c r="J34" i="6"/>
  <c r="J35" i="6"/>
  <c r="J36" i="6"/>
  <c r="J37" i="6"/>
  <c r="J38" i="6"/>
  <c r="J39" i="6"/>
  <c r="A39" i="6"/>
  <c r="K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N19" i="4"/>
  <c r="C39" i="6" s="1"/>
  <c r="C40" i="6"/>
  <c r="C30" i="6"/>
  <c r="C31" i="6"/>
  <c r="C42" i="6"/>
  <c r="C43" i="6"/>
  <c r="N4" i="4"/>
  <c r="C32" i="6" s="1"/>
  <c r="C44" i="6"/>
  <c r="N13" i="4"/>
  <c r="C33" i="6" s="1"/>
  <c r="N14" i="4"/>
  <c r="C34" i="6" s="1"/>
  <c r="N15" i="4"/>
  <c r="C35" i="6" s="1"/>
  <c r="N16" i="4"/>
  <c r="C36" i="6" s="1"/>
  <c r="N17" i="4"/>
  <c r="C37" i="6" s="1"/>
  <c r="N18" i="4"/>
  <c r="C38" i="6" s="1"/>
  <c r="N20" i="4"/>
  <c r="N21" i="4"/>
  <c r="N22" i="4"/>
  <c r="D12" i="6"/>
  <c r="C24" i="6" l="1"/>
  <c r="K38" i="6"/>
  <c r="K36" i="6"/>
  <c r="K35" i="6"/>
  <c r="K37" i="6"/>
  <c r="K34" i="6"/>
  <c r="K39" i="6"/>
  <c r="C41" i="6"/>
  <c r="D7" i="6" l="1"/>
  <c r="D8" i="6"/>
  <c r="K30" i="6" l="1"/>
  <c r="K25" i="6"/>
  <c r="B13" i="3"/>
  <c r="E13" i="3" s="1"/>
  <c r="H13" i="3" s="1"/>
  <c r="B12" i="3"/>
  <c r="E12" i="3" s="1"/>
  <c r="H12" i="3" s="1"/>
  <c r="B11" i="3"/>
  <c r="E11" i="3" s="1"/>
  <c r="H11" i="3" s="1"/>
  <c r="B10" i="3"/>
  <c r="E10" i="3" s="1"/>
  <c r="H10" i="3" s="1"/>
  <c r="B9" i="3"/>
  <c r="E9" i="3" s="1"/>
  <c r="H9" i="3" s="1"/>
  <c r="B8" i="3"/>
  <c r="E8" i="3" s="1"/>
  <c r="H8" i="3" s="1"/>
  <c r="B7" i="3"/>
  <c r="E7" i="3" s="1"/>
  <c r="H7" i="3" s="1"/>
  <c r="B6" i="3"/>
  <c r="E6" i="3" s="1"/>
  <c r="H6" i="3" s="1"/>
  <c r="B5" i="3"/>
  <c r="E5" i="3" s="1"/>
  <c r="B4" i="3"/>
  <c r="E4" i="3" s="1"/>
  <c r="H4" i="3" s="1"/>
  <c r="B3" i="3"/>
  <c r="E3" i="3" s="1"/>
  <c r="B2" i="3"/>
  <c r="E2" i="3" s="1"/>
  <c r="H2" i="3" s="1"/>
  <c r="K33" i="6"/>
  <c r="K32" i="6"/>
  <c r="A22" i="6"/>
  <c r="K22" i="6" s="1"/>
  <c r="H5" i="3"/>
  <c r="H3" i="3"/>
  <c r="D16" i="6"/>
  <c r="D15" i="6"/>
  <c r="D11" i="6"/>
  <c r="D6" i="6"/>
  <c r="D5" i="6"/>
  <c r="D4" i="6"/>
  <c r="D3" i="6"/>
  <c r="D2" i="6"/>
  <c r="H1" i="6"/>
  <c r="J54" i="6" s="1"/>
  <c r="H52" i="6" l="1"/>
  <c r="F18" i="6"/>
  <c r="F17" i="6"/>
  <c r="F52" i="6"/>
  <c r="H15" i="6"/>
  <c r="H14" i="6"/>
  <c r="H16" i="6"/>
  <c r="H12" i="6"/>
  <c r="H11" i="6"/>
  <c r="H10" i="6"/>
  <c r="K31" i="6"/>
  <c r="K28" i="6"/>
  <c r="C22" i="6"/>
  <c r="C46" i="6"/>
  <c r="K26" i="6"/>
  <c r="K24" i="6"/>
  <c r="H14" i="3"/>
  <c r="A47" i="6" s="1"/>
  <c r="K27" i="6"/>
  <c r="K29" i="6"/>
  <c r="K46" i="6" l="1"/>
  <c r="K5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Modèle de données" type="5" refreshedVersion="6" minRefreshableVersion="5" background="1">
    <dbPr connection="Data Model Connection" command="Model" commandType="1"/>
    <olapPr sendLocale="1" rowDrillCount="1000" serverFill="0" serverNumberFormat="0" serverFont="0" serverFontColor="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Shipper!$B$4:$B$6" type="102" refreshedVersion="6" minRefreshableVersion="5">
    <extLst>
      <ext xmlns:x15="http://schemas.microsoft.com/office/spreadsheetml/2010/11/main" uri="{DE250136-89BD-433C-8126-D09CA5730AF9}">
        <x15:connection id="Plage">
          <x15:rangePr sourceName="_xlcn.WorksheetConnection_ShipperB4B6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<sst xmlns="http://schemas.openxmlformats.org/spreadsheetml/2006/main" count="371" uniqueCount="238">
  <si>
    <t>Téléphone:</t>
  </si>
  <si>
    <t>Email:</t>
  </si>
  <si>
    <t>Appellation</t>
  </si>
  <si>
    <t>% d'alcool</t>
  </si>
  <si>
    <t>ml/bt</t>
  </si>
  <si>
    <t>SPARKLING WINE</t>
  </si>
  <si>
    <t>750ml</t>
  </si>
  <si>
    <t>ROSE WINE</t>
  </si>
  <si>
    <t>375ml</t>
  </si>
  <si>
    <t>RED WINE</t>
  </si>
  <si>
    <t>500ml</t>
  </si>
  <si>
    <t>WHITE WINE</t>
  </si>
  <si>
    <t>CIDER</t>
  </si>
  <si>
    <t>BEER</t>
  </si>
  <si>
    <t>1500ml</t>
  </si>
  <si>
    <t>3000ml</t>
  </si>
  <si>
    <t>6000ml</t>
  </si>
  <si>
    <t>TTB ID</t>
  </si>
  <si>
    <t>Serial No.</t>
  </si>
  <si>
    <t>Status Date</t>
  </si>
  <si>
    <t>Permit</t>
  </si>
  <si>
    <t>Article2</t>
  </si>
  <si>
    <t>Date</t>
  </si>
  <si>
    <t>Name : Christophe Barcat Title : manager email : cb@servicesvin.com</t>
  </si>
  <si>
    <t>Services Vin SAS</t>
  </si>
  <si>
    <t>Currency</t>
  </si>
  <si>
    <t>Originator or Name of Company Representative</t>
  </si>
  <si>
    <t>Invoice total</t>
  </si>
  <si>
    <t>I declare that all the information contained in this invoice to be true and correct</t>
  </si>
  <si>
    <t>Other</t>
  </si>
  <si>
    <t xml:space="preserve">Declaration Statement(s) (instructions de déclaration): </t>
  </si>
  <si>
    <t>Packing</t>
  </si>
  <si>
    <t>PAS DE DAE ENVOI EN CRD</t>
  </si>
  <si>
    <t>Freight</t>
  </si>
  <si>
    <t>Special Instructions (Instructions spéciales)</t>
  </si>
  <si>
    <t>Insurance</t>
  </si>
  <si>
    <t>Subtotal</t>
  </si>
  <si>
    <t>DDP</t>
  </si>
  <si>
    <t>Terms of sale:</t>
  </si>
  <si>
    <t>Total Pckgs</t>
  </si>
  <si>
    <t>Total Growth Weight in kg</t>
  </si>
  <si>
    <t>Total Unit</t>
  </si>
  <si>
    <t>FR</t>
  </si>
  <si>
    <t>bottle</t>
  </si>
  <si>
    <t>Total</t>
  </si>
  <si>
    <t>Unit value</t>
  </si>
  <si>
    <t>Manufacturer's address</t>
  </si>
  <si>
    <t>Manufacturer's country</t>
  </si>
  <si>
    <t>Harmonized Tarriff #</t>
  </si>
  <si>
    <t>Description of goods</t>
  </si>
  <si>
    <t>Unit</t>
  </si>
  <si>
    <t>Nb of Unit</t>
  </si>
  <si>
    <t>Duties and taxes payable by Third Party</t>
  </si>
  <si>
    <t>there is no designated broker for this shipment</t>
  </si>
  <si>
    <t>Country</t>
  </si>
  <si>
    <t>Address:</t>
  </si>
  <si>
    <t>Company name</t>
  </si>
  <si>
    <t>Email</t>
  </si>
  <si>
    <t>Telephone</t>
  </si>
  <si>
    <t>Contact Name</t>
  </si>
  <si>
    <t>Sold to (Ultimate Consignee):</t>
  </si>
  <si>
    <t>Recipient:</t>
  </si>
  <si>
    <t>EORI # :</t>
  </si>
  <si>
    <t>Payment term :</t>
  </si>
  <si>
    <t>Purpose of shipment :</t>
  </si>
  <si>
    <t>Proforma</t>
  </si>
  <si>
    <t>Invoice #:</t>
  </si>
  <si>
    <t>Ship Date:</t>
  </si>
  <si>
    <t>18000ml</t>
  </si>
  <si>
    <t>12000ml</t>
  </si>
  <si>
    <t>5000ml</t>
  </si>
  <si>
    <t>Prepaid</t>
  </si>
  <si>
    <t>Return to owner of goods</t>
  </si>
  <si>
    <t>50ml</t>
  </si>
  <si>
    <t>Free of charge</t>
  </si>
  <si>
    <t xml:space="preserve">Sample not for sale or re-sale for tasting purpose only. Without commercial value. </t>
  </si>
  <si>
    <t>Bottle size</t>
  </si>
  <si>
    <t xml:space="preserve"> bt -</t>
  </si>
  <si>
    <t>250ml</t>
  </si>
  <si>
    <t>330ml</t>
  </si>
  <si>
    <t>Numéro de compte FedEx</t>
  </si>
  <si>
    <t>number of bottles</t>
  </si>
  <si>
    <t>Nothing</t>
  </si>
  <si>
    <t>Nothing2</t>
  </si>
  <si>
    <t>Nom de contact:</t>
  </si>
  <si>
    <t>Société:</t>
  </si>
  <si>
    <t>rue:</t>
  </si>
  <si>
    <t>Code postal, Ville</t>
  </si>
  <si>
    <t>Pays:</t>
  </si>
  <si>
    <t>Numéro EORI</t>
  </si>
  <si>
    <t>Numéro FDA</t>
  </si>
  <si>
    <t>Numéro de TVA</t>
  </si>
  <si>
    <t>Couleur</t>
  </si>
  <si>
    <t>Cépage si indiqué sur l'habillage</t>
  </si>
  <si>
    <t>Sous marque ou nom de cuvée</t>
  </si>
  <si>
    <t>Marque principale sur l'étiquette</t>
  </si>
  <si>
    <t>date enlevement</t>
  </si>
  <si>
    <t>date de livraison au plus tard le</t>
  </si>
  <si>
    <t xml:space="preserve">Service Prioritaire ( P ) ou Economy ( E ) </t>
  </si>
  <si>
    <t>Assurance ad valorem (Oui/Non)</t>
  </si>
  <si>
    <t>(cout 1% de la valeur minimum 9 €)</t>
  </si>
  <si>
    <t>Non</t>
  </si>
  <si>
    <t>Nombre de colis composant votre expédition en fonction du nombre de bouteilles dans chaque colis</t>
  </si>
  <si>
    <r>
      <rPr>
        <sz val="8"/>
        <color rgb="FF231F20"/>
        <rFont val="Gotham"/>
      </rPr>
      <t>Nb bt 750ml</t>
    </r>
  </si>
  <si>
    <r>
      <rPr>
        <sz val="8"/>
        <color rgb="FF231F20"/>
        <rFont val="Gotham"/>
      </rPr>
      <t>Europe proche</t>
    </r>
  </si>
  <si>
    <r>
      <rPr>
        <sz val="8"/>
        <color rgb="FF231F20"/>
        <rFont val="Gotham"/>
      </rPr>
      <t xml:space="preserve">USA
</t>
    </r>
    <r>
      <rPr>
        <sz val="8"/>
        <color rgb="FF231F20"/>
        <rFont val="Gotham"/>
      </rPr>
      <t>Economic</t>
    </r>
  </si>
  <si>
    <r>
      <rPr>
        <sz val="8"/>
        <color rgb="FF231F20"/>
        <rFont val="Gotham"/>
      </rPr>
      <t xml:space="preserve">USA
</t>
    </r>
    <r>
      <rPr>
        <sz val="8"/>
        <color rgb="FF231F20"/>
        <rFont val="Gotham"/>
      </rPr>
      <t>Priority</t>
    </r>
  </si>
  <si>
    <r>
      <rPr>
        <sz val="8"/>
        <color rgb="FF231F20"/>
        <rFont val="Gotham"/>
      </rPr>
      <t>Asie Océanie</t>
    </r>
  </si>
  <si>
    <r>
      <rPr>
        <sz val="8"/>
        <color rgb="FF231F20"/>
        <rFont val="Gotham"/>
      </rPr>
      <t>Chine</t>
    </r>
  </si>
  <si>
    <r>
      <rPr>
        <sz val="10"/>
        <color rgb="FF231F20"/>
        <rFont val="Gotham"/>
      </rPr>
      <t xml:space="preserve">18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</si>
  <si>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49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</si>
  <si>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56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</si>
  <si>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66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</si>
  <si>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22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</si>
  <si>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58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</si>
  <si>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92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</si>
  <si>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26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</si>
  <si>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60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</si>
  <si>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72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</si>
  <si>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105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</si>
  <si>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31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</si>
  <si>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65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</si>
  <si>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79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</si>
  <si>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120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</si>
  <si>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35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</si>
  <si>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85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</si>
  <si>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135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</si>
  <si>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40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</si>
  <si>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77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</si>
  <si>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91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</si>
  <si>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151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</si>
  <si>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108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</si>
  <si>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42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</si>
  <si>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88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</si>
  <si>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112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</si>
  <si>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157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</si>
  <si>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45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</si>
  <si>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100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</si>
  <si>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128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</si>
  <si>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186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</si>
  <si>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111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</si>
  <si>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143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</si>
  <si>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214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</si>
  <si>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216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</si>
  <si>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156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</si>
  <si>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199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</si>
  <si>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295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</si>
  <si>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324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</si>
  <si>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62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</si>
  <si>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192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</si>
  <si>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256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</si>
  <si>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369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</si>
  <si>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432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</si>
  <si>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70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</si>
  <si>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291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</si>
  <si>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454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</si>
  <si>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530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</si>
  <si>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648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</si>
  <si>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75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</si>
  <si>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330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</si>
  <si>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507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</si>
  <si>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620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</si>
  <si>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756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</si>
  <si>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20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</si>
  <si>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57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</si>
  <si>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69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</si>
  <si>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103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</si>
  <si>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83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</si>
  <si>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89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</si>
  <si>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123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</si>
  <si>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95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</si>
  <si>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139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</si>
  <si>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47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</si>
  <si>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147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</si>
  <si>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50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</si>
  <si>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98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</si>
  <si>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166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</si>
  <si>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55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</si>
  <si>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114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</si>
  <si>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191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</si>
  <si>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130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</si>
  <si>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148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</si>
  <si>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225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</si>
  <si>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145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</si>
  <si>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180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</si>
  <si>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261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</si>
  <si>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240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</si>
  <si>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196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</si>
  <si>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356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</si>
  <si>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360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</si>
  <si>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238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</si>
  <si>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300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</si>
  <si>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451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</si>
  <si>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480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</si>
  <si>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304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</si>
  <si>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404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</si>
  <si>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560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</si>
  <si>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600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</si>
  <si>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362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</si>
  <si>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466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</si>
  <si>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666 </t>
    </r>
    <r>
      <rPr>
        <sz val="8"/>
        <color rgb="FF231F20"/>
        <rFont val="Times New Roman"/>
        <family val="1"/>
      </rPr>
      <t>€</t>
    </r>
  </si>
  <si>
    <r>
      <rPr>
        <sz val="10"/>
        <color rgb="FF231F20"/>
        <rFont val="Gotham"/>
      </rPr>
      <t xml:space="preserve">720 </t>
    </r>
    <r>
      <rPr>
        <sz val="8"/>
        <color rgb="FF231F20"/>
        <rFont val="Times New Roman"/>
        <family val="1"/>
      </rPr>
      <t>€</t>
    </r>
  </si>
  <si>
    <r>
      <rPr>
        <vertAlign val="superscript"/>
        <sz val="18"/>
        <color rgb="FF231F20"/>
        <rFont val="Gotham Black"/>
        <family val="3"/>
      </rPr>
      <t xml:space="preserve">1.5 </t>
    </r>
    <r>
      <rPr>
        <sz val="8"/>
        <color rgb="FF231F20"/>
        <rFont val="Gotham"/>
      </rPr>
      <t>kg/bt emballage compris</t>
    </r>
  </si>
  <si>
    <t>VIN TRANQUILLE</t>
  </si>
  <si>
    <r>
      <rPr>
        <vertAlign val="superscript"/>
        <sz val="18"/>
        <color rgb="FF231F20"/>
        <rFont val="Gotham Black"/>
        <family val="3"/>
      </rPr>
      <t xml:space="preserve">1.85 </t>
    </r>
    <r>
      <rPr>
        <sz val="8"/>
        <color rgb="FF231F20"/>
        <rFont val="Gotham"/>
      </rPr>
      <t>kg/bt emballage compris</t>
    </r>
  </si>
  <si>
    <t>VIN EFFERVESCENT</t>
  </si>
  <si>
    <t>TARIF 2019</t>
  </si>
  <si>
    <t>SHIPPER IS PRODUCER</t>
  </si>
  <si>
    <t>Exporter (Shipper and Producer of the wines below):</t>
  </si>
  <si>
    <t>E</t>
  </si>
  <si>
    <t xml:space="preserve">  </t>
  </si>
  <si>
    <t>700ml</t>
  </si>
  <si>
    <t>23.67 Fl. oz.</t>
  </si>
  <si>
    <t>DISTILLED SPIRIT</t>
  </si>
  <si>
    <t>NON ALCOHOLIC</t>
  </si>
  <si>
    <t>CORDIALS</t>
  </si>
  <si>
    <t>htc</t>
  </si>
  <si>
    <t>Color</t>
  </si>
  <si>
    <t>Echantillons</t>
  </si>
  <si>
    <t>Retour marchandise</t>
  </si>
  <si>
    <t>Commercial</t>
  </si>
  <si>
    <t>Cadeau</t>
  </si>
  <si>
    <t>type</t>
  </si>
  <si>
    <t>text</t>
  </si>
  <si>
    <t>Gift</t>
  </si>
  <si>
    <t>Colonne1</t>
  </si>
  <si>
    <t>net 10 days</t>
  </si>
  <si>
    <t>pas de capsulle CRD ENVOI AVEC DAE</t>
  </si>
  <si>
    <t>DOUANE EXPORT</t>
  </si>
  <si>
    <t>REPONSE</t>
  </si>
  <si>
    <t>DAP</t>
  </si>
  <si>
    <t>INCOTERM</t>
  </si>
  <si>
    <t>KG/BT</t>
  </si>
  <si>
    <t>EURO</t>
  </si>
  <si>
    <t>TABLE WHITE WINE</t>
  </si>
  <si>
    <t>DESSERT /PORT/SHERRY/(COOKING) WINE</t>
  </si>
  <si>
    <t>TABLE RED WINE</t>
  </si>
  <si>
    <t>Accolade Brands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</si>
</sst>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[$-40C]General"/>
    <numFmt numFmtId="165" formatCode="#,##0.00&quot; &quot;[$€-40C];[Red]&quot;-&quot;#,##0.00&quot; &quot;[$€-40C]"/>
    <numFmt numFmtId="166" formatCode="#,##0.00\ &quot;€&quot;"/>
    <numFmt numFmtId="167" formatCode="_([$€-2]\ * #,##0.00_);_([$€-2]\ * \(#,##0.00\);_([$€-2]\ * &quot;-&quot;??_);_(@_)"/>
    <numFmt numFmtId="168" formatCode="[&lt;=9999999]###\-####;\(###\)\ ###\-####"/>
    <numFmt numFmtId="169" formatCode="0#&quot; &quot;##&quot; &quot;##&quot; &quot;##&quot; &quot;##"/>
    <numFmt numFmtId="170" formatCode="[$-F800]dddd\,\ mmmm\ dd\,\ yyyy"/>
    <numFmt numFmtId="171" formatCode="_(&quot;$&quot;* #,##0.00_);_(&quot;$&quot;* \(#,##0.00\);_(&quot;$&quot;* &quot;-&quot;??_);_(@_)"/>
    <numFmt numFmtId="172" formatCode="_-[$$-409]* #,##0.00_ ;_-[$$-409]* \-#,##0.00\ ;_-[$$-409]* &quot;-&quot;??_ ;_-@_ "/>
    <numFmt numFmtId="173" formatCode="_-* #,##0.00\ [$€-40C]_-;\-* #,##0.00\ [$€-40C]_-;_-* &quot;-&quot;??\ [$€-40C]_-;_-@_-"/>
  </numFmts>
  <fonts count="47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</font>
    <font>
      <sz val="12"/>
      <color rgb="FF888888"/>
      <name val="Georgia"/>
      <family val="1"/>
    </font>
    <font>
      <sz val="11"/>
      <color theme="9" tint="0.59999389629810485"/>
      <name val="Calibri"/>
      <family val="2"/>
    </font>
    <font>
      <vertAlign val="superscript"/>
      <sz val="18"/>
      <color rgb="FF231F20"/>
      <name val="Gotham Black"/>
      <family val="3"/>
    </font>
    <font>
      <sz val="8"/>
      <color rgb="FF231F20"/>
      <name val="Gotham"/>
    </font>
    <font>
      <sz val="8"/>
      <name val="Gotham"/>
    </font>
    <font>
      <sz val="10"/>
      <color rgb="FF231F20"/>
      <name val="Gotham Black"/>
      <family val="2"/>
    </font>
    <font>
      <sz val="10"/>
      <color rgb="FF231F20"/>
      <name val="Gotham"/>
    </font>
    <font>
      <sz val="8"/>
      <color rgb="FF231F20"/>
      <name val="Times New Roman"/>
      <family val="1"/>
    </font>
    <font>
      <sz val="11"/>
      <color rgb="FF231F20"/>
      <name val="Arial"/>
      <family val="3"/>
    </font>
    <font>
      <sz val="11"/>
      <color rgb="FFFF0000"/>
      <name val="Calibri"/>
      <family val="2"/>
    </font>
    <font>
      <sz val="10"/>
      <name val="Arial"/>
      <family val="2"/>
    </font>
    <font>
      <u/>
      <sz val="8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auto="1"/>
      </top>
      <bottom style="thin">
        <color rgb="FF231F20"/>
      </bottom>
      <diagonal/>
    </border>
    <border>
      <left/>
      <right/>
      <top style="thin">
        <color auto="1"/>
      </top>
      <bottom style="thin">
        <color rgb="FF231F20"/>
      </bottom>
      <diagonal/>
    </border>
    <border>
      <left/>
      <right style="thin">
        <color rgb="FF231F20"/>
      </right>
      <top style="thin">
        <color auto="1"/>
      </top>
      <bottom style="thin">
        <color rgb="FF231F20"/>
      </bottom>
      <diagonal/>
    </border>
    <border>
      <left/>
      <right style="medium">
        <color indexed="64"/>
      </right>
      <top/>
      <bottom style="thin">
        <color theme="4"/>
      </bottom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5">
    <xf numFmtId="0" fontId="0" fillId="0" borderId="0"/>
    <xf numFmtId="44" fontId="17" fillId="0" borderId="0" applyFont="0" applyFill="0" applyBorder="0" applyAlignment="0" applyProtection="0"/>
    <xf numFmtId="164" fontId="21" fillId="0" borderId="0"/>
    <xf numFmtId="164" fontId="20" fillId="0" borderId="0"/>
    <xf numFmtId="0" fontId="22" fillId="0" borderId="0">
      <alignment horizontal="center"/>
    </xf>
    <xf numFmtId="0" fontId="22" fillId="0" borderId="0">
      <alignment horizontal="center" textRotation="90"/>
    </xf>
    <xf numFmtId="0" fontId="23" fillId="0" borderId="0"/>
    <xf numFmtId="165" fontId="23" fillId="0" borderId="0"/>
    <xf numFmtId="0" fontId="16" fillId="0" borderId="0"/>
    <xf numFmtId="0" fontId="27" fillId="0" borderId="0" applyNumberFormat="0" applyFill="0" applyBorder="0" applyAlignment="0" applyProtection="0"/>
    <xf numFmtId="0" fontId="15" fillId="0" borderId="0"/>
    <xf numFmtId="17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11" fillId="0" borderId="0"/>
    <xf numFmtId="0" fontId="10" fillId="0" borderId="0"/>
    <xf numFmtId="44" fontId="9" fillId="0" borderId="0" applyFont="0" applyFill="0" applyBorder="0" applyAlignment="0" applyProtection="0"/>
    <xf numFmtId="0" fontId="41" fillId="0" borderId="0" applyNumberFormat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</cellStyleXfs>
  <cellXfs count="153">
    <xf numFmtId="0" fontId="0" fillId="0" borderId="0" xfId="0"/>
    <xf numFmtId="164" fontId="20" fillId="0" borderId="0" xfId="3"/>
    <xf numFmtId="166" fontId="20" fillId="0" borderId="0" xfId="3" applyNumberFormat="1"/>
    <xf numFmtId="0" fontId="16" fillId="0" borderId="0" xfId="8"/>
    <xf numFmtId="0" fontId="16" fillId="0" borderId="3" xfId="8" applyBorder="1"/>
    <xf numFmtId="0" fontId="16" fillId="0" borderId="4" xfId="8" applyBorder="1"/>
    <xf numFmtId="0" fontId="16" fillId="0" borderId="5" xfId="8" applyBorder="1"/>
    <xf numFmtId="0" fontId="16" fillId="0" borderId="6" xfId="8" applyBorder="1"/>
    <xf numFmtId="0" fontId="16" fillId="0" borderId="2" xfId="8" applyBorder="1"/>
    <xf numFmtId="0" fontId="24" fillId="0" borderId="7" xfId="8" applyFont="1" applyBorder="1" applyAlignment="1">
      <alignment horizontal="center" vertical="center" wrapText="1"/>
    </xf>
    <xf numFmtId="0" fontId="24" fillId="0" borderId="7" xfId="8" applyFont="1" applyBorder="1" applyAlignment="1">
      <alignment horizontal="center" wrapText="1"/>
    </xf>
    <xf numFmtId="0" fontId="16" fillId="0" borderId="9" xfId="8" applyBorder="1"/>
    <xf numFmtId="0" fontId="16" fillId="0" borderId="10" xfId="8" applyBorder="1"/>
    <xf numFmtId="0" fontId="18" fillId="0" borderId="11" xfId="8" applyFont="1" applyBorder="1"/>
    <xf numFmtId="0" fontId="16" fillId="0" borderId="8" xfId="8" applyBorder="1"/>
    <xf numFmtId="167" fontId="26" fillId="0" borderId="7" xfId="8" applyNumberFormat="1" applyFont="1" applyBorder="1" applyAlignment="1">
      <alignment horizontal="center" vertical="center"/>
    </xf>
    <xf numFmtId="0" fontId="16" fillId="0" borderId="7" xfId="8" applyBorder="1" applyAlignment="1">
      <alignment horizontal="center" vertical="center"/>
    </xf>
    <xf numFmtId="0" fontId="25" fillId="0" borderId="7" xfId="8" applyFont="1" applyBorder="1" applyAlignment="1">
      <alignment horizontal="center" vertical="center" wrapText="1"/>
    </xf>
    <xf numFmtId="0" fontId="16" fillId="0" borderId="12" xfId="8" applyBorder="1"/>
    <xf numFmtId="0" fontId="16" fillId="0" borderId="13" xfId="8" applyBorder="1"/>
    <xf numFmtId="0" fontId="16" fillId="0" borderId="0" xfId="8" applyAlignment="1">
      <alignment horizontal="left" vertical="center"/>
    </xf>
    <xf numFmtId="0" fontId="16" fillId="0" borderId="13" xfId="8" applyBorder="1" applyAlignment="1">
      <alignment horizontal="left" vertical="center"/>
    </xf>
    <xf numFmtId="0" fontId="18" fillId="0" borderId="13" xfId="8" applyFont="1" applyBorder="1"/>
    <xf numFmtId="0" fontId="18" fillId="0" borderId="10" xfId="8" applyFont="1" applyBorder="1"/>
    <xf numFmtId="0" fontId="28" fillId="2" borderId="14" xfId="8" applyFont="1" applyFill="1" applyBorder="1"/>
    <xf numFmtId="168" fontId="16" fillId="0" borderId="0" xfId="8" applyNumberFormat="1" applyAlignment="1">
      <alignment horizontal="left"/>
    </xf>
    <xf numFmtId="0" fontId="29" fillId="0" borderId="0" xfId="0" applyFont="1"/>
    <xf numFmtId="0" fontId="29" fillId="0" borderId="15" xfId="0" applyFont="1" applyBorder="1"/>
    <xf numFmtId="0" fontId="29" fillId="0" borderId="16" xfId="0" applyFont="1" applyBorder="1"/>
    <xf numFmtId="0" fontId="29" fillId="0" borderId="17" xfId="0" applyFont="1" applyBorder="1"/>
    <xf numFmtId="0" fontId="16" fillId="0" borderId="3" xfId="8" applyBorder="1" applyAlignment="1">
      <alignment horizontal="left" shrinkToFit="1"/>
    </xf>
    <xf numFmtId="0" fontId="16" fillId="0" borderId="2" xfId="8" applyBorder="1" applyAlignment="1">
      <alignment horizontal="left" shrinkToFit="1"/>
    </xf>
    <xf numFmtId="44" fontId="16" fillId="0" borderId="0" xfId="1" applyFont="1"/>
    <xf numFmtId="0" fontId="15" fillId="0" borderId="0" xfId="10"/>
    <xf numFmtId="0" fontId="29" fillId="0" borderId="15" xfId="10" applyFont="1" applyBorder="1"/>
    <xf numFmtId="14" fontId="15" fillId="0" borderId="15" xfId="10" applyNumberFormat="1" applyBorder="1"/>
    <xf numFmtId="164" fontId="30" fillId="3" borderId="1" xfId="3" applyFont="1" applyFill="1" applyBorder="1"/>
    <xf numFmtId="0" fontId="15" fillId="0" borderId="17" xfId="10" applyBorder="1" applyAlignment="1">
      <alignment horizontal="center"/>
    </xf>
    <xf numFmtId="0" fontId="19" fillId="3" borderId="21" xfId="10" applyFont="1" applyFill="1" applyBorder="1" applyAlignment="1">
      <alignment horizontal="right"/>
    </xf>
    <xf numFmtId="0" fontId="19" fillId="3" borderId="19" xfId="10" applyFont="1" applyFill="1" applyBorder="1" applyAlignment="1">
      <alignment horizontal="right"/>
    </xf>
    <xf numFmtId="0" fontId="19" fillId="3" borderId="18" xfId="10" applyFont="1" applyFill="1" applyBorder="1" applyAlignment="1">
      <alignment horizontal="right"/>
    </xf>
    <xf numFmtId="14" fontId="15" fillId="0" borderId="20" xfId="10" applyNumberFormat="1" applyBorder="1"/>
    <xf numFmtId="0" fontId="31" fillId="0" borderId="0" xfId="0" applyFont="1"/>
    <xf numFmtId="166" fontId="28" fillId="0" borderId="0" xfId="3" applyNumberFormat="1" applyFont="1"/>
    <xf numFmtId="0" fontId="14" fillId="0" borderId="15" xfId="10" applyFont="1" applyBorder="1"/>
    <xf numFmtId="0" fontId="35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1" fontId="36" fillId="0" borderId="24" xfId="0" applyNumberFormat="1" applyFont="1" applyBorder="1" applyAlignment="1">
      <alignment horizontal="right" vertical="top" indent="1" shrinkToFit="1"/>
    </xf>
    <xf numFmtId="0" fontId="0" fillId="0" borderId="26" xfId="0" applyBorder="1" applyAlignment="1">
      <alignment horizontal="right" vertical="top" wrapText="1"/>
    </xf>
    <xf numFmtId="1" fontId="36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right" vertical="top" wrapText="1"/>
    </xf>
    <xf numFmtId="0" fontId="14" fillId="0" borderId="0" xfId="10" applyFont="1"/>
    <xf numFmtId="164" fontId="28" fillId="0" borderId="0" xfId="3" applyFont="1"/>
    <xf numFmtId="164" fontId="40" fillId="0" borderId="0" xfId="3" applyFont="1"/>
    <xf numFmtId="0" fontId="16" fillId="0" borderId="7" xfId="8" applyBorder="1" applyAlignment="1">
      <alignment horizontal="center" vertical="center" textRotation="180"/>
    </xf>
    <xf numFmtId="0" fontId="25" fillId="0" borderId="4" xfId="8" applyFont="1" applyBorder="1" applyAlignment="1">
      <alignment horizontal="center" vertical="center" wrapText="1"/>
    </xf>
    <xf numFmtId="0" fontId="16" fillId="0" borderId="2" xfId="8" applyBorder="1" applyAlignment="1">
      <alignment horizontal="center" vertical="center"/>
    </xf>
    <xf numFmtId="0" fontId="16" fillId="0" borderId="0" xfId="8" applyAlignment="1">
      <alignment horizontal="center" vertical="center"/>
    </xf>
    <xf numFmtId="164" fontId="20" fillId="0" borderId="0" xfId="3" applyAlignment="1">
      <alignment horizontal="left"/>
    </xf>
    <xf numFmtId="0" fontId="9" fillId="2" borderId="15" xfId="22" applyFill="1" applyBorder="1"/>
    <xf numFmtId="169" fontId="9" fillId="2" borderId="15" xfId="22" applyNumberFormat="1" applyFill="1" applyBorder="1"/>
    <xf numFmtId="0" fontId="24" fillId="2" borderId="15" xfId="22" applyFont="1" applyFill="1" applyBorder="1"/>
    <xf numFmtId="0" fontId="8" fillId="2" borderId="0" xfId="22" applyFont="1" applyFill="1"/>
    <xf numFmtId="0" fontId="28" fillId="2" borderId="32" xfId="22" applyFont="1" applyFill="1" applyBorder="1" applyAlignment="1">
      <alignment wrapText="1"/>
    </xf>
    <xf numFmtId="0" fontId="28" fillId="2" borderId="33" xfId="22" applyFont="1" applyFill="1" applyBorder="1"/>
    <xf numFmtId="172" fontId="26" fillId="0" borderId="7" xfId="8" applyNumberFormat="1" applyFont="1" applyBorder="1" applyAlignment="1">
      <alignment horizontal="center" vertical="center"/>
    </xf>
    <xf numFmtId="172" fontId="16" fillId="0" borderId="7" xfId="8" applyNumberFormat="1" applyBorder="1" applyAlignment="1">
      <alignment horizontal="center" vertical="center"/>
    </xf>
    <xf numFmtId="0" fontId="16" fillId="0" borderId="4" xfId="8" applyBorder="1" applyAlignment="1">
      <alignment horizontal="center" vertical="center"/>
    </xf>
    <xf numFmtId="0" fontId="16" fillId="0" borderId="3" xfId="8" applyBorder="1" applyAlignment="1">
      <alignment horizontal="center" vertical="center"/>
    </xf>
    <xf numFmtId="164" fontId="32" fillId="0" borderId="0" xfId="3" applyFont="1"/>
    <xf numFmtId="0" fontId="28" fillId="2" borderId="32" xfId="22" applyFont="1" applyFill="1" applyBorder="1"/>
    <xf numFmtId="0" fontId="42" fillId="2" borderId="32" xfId="9" applyFont="1" applyFill="1" applyBorder="1" applyAlignment="1"/>
    <xf numFmtId="0" fontId="6" fillId="0" borderId="2" xfId="8" applyFont="1" applyBorder="1" applyAlignment="1">
      <alignment horizontal="center" vertical="center"/>
    </xf>
    <xf numFmtId="168" fontId="7" fillId="2" borderId="31" xfId="22" quotePrefix="1" applyNumberFormat="1" applyFont="1" applyFill="1" applyBorder="1"/>
    <xf numFmtId="0" fontId="43" fillId="0" borderId="0" xfId="0" applyFont="1"/>
    <xf numFmtId="164" fontId="44" fillId="0" borderId="0" xfId="3" applyFont="1"/>
    <xf numFmtId="0" fontId="28" fillId="0" borderId="0" xfId="0" applyFont="1"/>
    <xf numFmtId="0" fontId="28" fillId="0" borderId="34" xfId="0" applyFont="1" applyBorder="1" applyAlignment="1">
      <alignment vertical="center" wrapText="1"/>
    </xf>
    <xf numFmtId="0" fontId="40" fillId="0" borderId="34" xfId="0" applyFont="1" applyBorder="1" applyAlignment="1">
      <alignment vertical="center" wrapText="1"/>
    </xf>
    <xf numFmtId="1" fontId="28" fillId="0" borderId="34" xfId="0" applyNumberFormat="1" applyFont="1" applyBorder="1" applyAlignment="1">
      <alignment horizontal="right" vertical="center" wrapText="1"/>
    </xf>
    <xf numFmtId="164" fontId="20" fillId="2" borderId="0" xfId="3" applyFill="1"/>
    <xf numFmtId="0" fontId="5" fillId="0" borderId="0" xfId="8" applyFont="1"/>
    <xf numFmtId="0" fontId="5" fillId="0" borderId="0" xfId="8" applyFont="1" applyAlignment="1">
      <alignment horizontal="left" vertical="center"/>
    </xf>
    <xf numFmtId="0" fontId="5" fillId="0" borderId="13" xfId="8" applyFont="1" applyBorder="1" applyAlignment="1">
      <alignment horizontal="left" vertical="center"/>
    </xf>
    <xf numFmtId="0" fontId="46" fillId="0" borderId="0" xfId="0" applyFont="1"/>
    <xf numFmtId="164" fontId="28" fillId="0" borderId="1" xfId="3" applyFont="1" applyBorder="1"/>
    <xf numFmtId="164" fontId="28" fillId="3" borderId="1" xfId="3" applyFont="1" applyFill="1" applyBorder="1"/>
    <xf numFmtId="173" fontId="26" fillId="0" borderId="7" xfId="8" applyNumberFormat="1" applyFont="1" applyBorder="1" applyAlignment="1">
      <alignment horizontal="center" vertical="center"/>
    </xf>
    <xf numFmtId="173" fontId="16" fillId="0" borderId="7" xfId="8" applyNumberFormat="1" applyBorder="1" applyAlignment="1">
      <alignment horizontal="center" vertical="center"/>
    </xf>
    <xf numFmtId="173" fontId="16" fillId="0" borderId="7" xfId="8" applyNumberFormat="1" applyBorder="1"/>
    <xf numFmtId="0" fontId="5" fillId="0" borderId="2" xfId="8" applyFont="1" applyBorder="1"/>
    <xf numFmtId="0" fontId="4" fillId="0" borderId="0" xfId="8" applyFont="1"/>
    <xf numFmtId="0" fontId="3" fillId="0" borderId="0" xfId="8" applyFont="1"/>
    <xf numFmtId="0" fontId="2" fillId="0" borderId="0" xfId="8" applyFont="1"/>
    <xf numFmtId="0" fontId="1" fillId="0" borderId="0" xfId="8" applyFont="1"/>
    <xf numFmtId="164" fontId="45" fillId="3" borderId="1" xfId="3" applyFont="1" applyFill="1" applyBorder="1" applyAlignment="1">
      <alignment horizontal="center" wrapText="1"/>
    </xf>
    <xf numFmtId="0" fontId="0" fillId="0" borderId="25" xfId="0" applyBorder="1" applyAlignment="1">
      <alignment horizontal="right" vertical="top" wrapText="1" indent="1"/>
    </xf>
    <xf numFmtId="0" fontId="0" fillId="0" borderId="24" xfId="0" applyBorder="1" applyAlignment="1">
      <alignment horizontal="right" vertical="top" wrapText="1" indent="1"/>
    </xf>
    <xf numFmtId="0" fontId="0" fillId="0" borderId="25" xfId="0" applyBorder="1" applyAlignment="1">
      <alignment horizontal="right" vertical="top" wrapText="1"/>
    </xf>
    <xf numFmtId="0" fontId="0" fillId="0" borderId="24" xfId="0" applyBorder="1" applyAlignment="1">
      <alignment horizontal="right" vertical="top" wrapText="1"/>
    </xf>
    <xf numFmtId="0" fontId="0" fillId="0" borderId="27" xfId="0" applyBorder="1" applyAlignment="1">
      <alignment horizontal="right" vertical="top" wrapText="1"/>
    </xf>
    <xf numFmtId="0" fontId="0" fillId="0" borderId="25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35" fillId="0" borderId="28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29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left" vertical="top" wrapText="1"/>
    </xf>
    <xf numFmtId="0" fontId="39" fillId="0" borderId="3" xfId="0" applyFont="1" applyBorder="1" applyAlignment="1">
      <alignment horizontal="left" vertical="top" wrapText="1"/>
    </xf>
    <xf numFmtId="0" fontId="33" fillId="0" borderId="3" xfId="0" applyFont="1" applyBorder="1" applyAlignment="1">
      <alignment horizontal="center" vertical="top" wrapText="1"/>
    </xf>
    <xf numFmtId="0" fontId="33" fillId="0" borderId="2" xfId="0" applyFont="1" applyBorder="1" applyAlignment="1">
      <alignment horizontal="center" vertical="top" wrapText="1"/>
    </xf>
    <xf numFmtId="14" fontId="16" fillId="0" borderId="3" xfId="8" applyNumberFormat="1" applyBorder="1" applyAlignment="1">
      <alignment horizontal="center"/>
    </xf>
    <xf numFmtId="14" fontId="16" fillId="0" borderId="2" xfId="8" applyNumberFormat="1" applyBorder="1" applyAlignment="1">
      <alignment horizontal="center"/>
    </xf>
    <xf numFmtId="0" fontId="16" fillId="0" borderId="3" xfId="8" applyBorder="1" applyAlignment="1">
      <alignment horizontal="left" vertical="center"/>
    </xf>
    <xf numFmtId="0" fontId="16" fillId="0" borderId="2" xfId="8" applyBorder="1" applyAlignment="1">
      <alignment horizontal="left" vertical="center"/>
    </xf>
    <xf numFmtId="0" fontId="16" fillId="0" borderId="4" xfId="8" applyBorder="1" applyAlignment="1">
      <alignment horizontal="center" vertical="center"/>
    </xf>
    <xf numFmtId="0" fontId="16" fillId="0" borderId="3" xfId="8" applyBorder="1" applyAlignment="1">
      <alignment horizontal="center" vertical="center"/>
    </xf>
    <xf numFmtId="0" fontId="16" fillId="0" borderId="4" xfId="8" applyBorder="1" applyAlignment="1">
      <alignment horizontal="left"/>
    </xf>
    <xf numFmtId="0" fontId="16" fillId="0" borderId="3" xfId="8" applyBorder="1" applyAlignment="1">
      <alignment horizontal="left"/>
    </xf>
    <xf numFmtId="0" fontId="16" fillId="0" borderId="2" xfId="8" applyBorder="1" applyAlignment="1">
      <alignment horizontal="left"/>
    </xf>
    <xf numFmtId="0" fontId="16" fillId="0" borderId="8" xfId="8" applyBorder="1" applyAlignment="1">
      <alignment horizontal="left" vertical="top" wrapText="1"/>
    </xf>
    <xf numFmtId="0" fontId="16" fillId="0" borderId="6" xfId="8" applyBorder="1" applyAlignment="1">
      <alignment horizontal="left" vertical="top" wrapText="1"/>
    </xf>
    <xf numFmtId="0" fontId="16" fillId="0" borderId="5" xfId="8" applyBorder="1" applyAlignment="1">
      <alignment horizontal="left" vertical="top" wrapText="1"/>
    </xf>
    <xf numFmtId="0" fontId="25" fillId="0" borderId="11" xfId="8" applyFont="1" applyBorder="1" applyAlignment="1">
      <alignment horizontal="center" vertical="center" wrapText="1"/>
    </xf>
    <xf numFmtId="0" fontId="25" fillId="0" borderId="10" xfId="8" applyFont="1" applyBorder="1" applyAlignment="1">
      <alignment horizontal="center" vertical="center" wrapText="1"/>
    </xf>
    <xf numFmtId="0" fontId="25" fillId="0" borderId="9" xfId="8" applyFont="1" applyBorder="1" applyAlignment="1">
      <alignment horizontal="center" vertical="center" wrapText="1"/>
    </xf>
    <xf numFmtId="0" fontId="16" fillId="0" borderId="4" xfId="8" applyBorder="1" applyAlignment="1">
      <alignment horizontal="left" vertical="center" wrapText="1"/>
    </xf>
    <xf numFmtId="0" fontId="16" fillId="0" borderId="3" xfId="8" applyBorder="1" applyAlignment="1">
      <alignment horizontal="left" vertical="center" wrapText="1"/>
    </xf>
    <xf numFmtId="0" fontId="16" fillId="0" borderId="2" xfId="8" applyBorder="1" applyAlignment="1">
      <alignment horizontal="left" vertical="center" wrapText="1"/>
    </xf>
    <xf numFmtId="0" fontId="25" fillId="0" borderId="4" xfId="8" applyFont="1" applyBorder="1" applyAlignment="1">
      <alignment horizontal="center" vertical="center" wrapText="1"/>
    </xf>
    <xf numFmtId="0" fontId="25" fillId="0" borderId="3" xfId="8" applyFont="1" applyBorder="1" applyAlignment="1">
      <alignment horizontal="center" vertical="center" wrapText="1"/>
    </xf>
    <xf numFmtId="0" fontId="16" fillId="0" borderId="4" xfId="8" applyBorder="1" applyAlignment="1">
      <alignment horizontal="center" vertical="center" wrapText="1"/>
    </xf>
    <xf numFmtId="0" fontId="16" fillId="0" borderId="3" xfId="8" applyBorder="1" applyAlignment="1">
      <alignment horizontal="center" vertical="center" wrapText="1"/>
    </xf>
    <xf numFmtId="0" fontId="16" fillId="0" borderId="2" xfId="8" applyBorder="1" applyAlignment="1">
      <alignment horizontal="center" vertical="center" wrapText="1"/>
    </xf>
    <xf numFmtId="1" fontId="5" fillId="0" borderId="0" xfId="8" applyNumberFormat="1" applyFont="1" applyAlignment="1">
      <alignment horizontal="left" vertical="center"/>
    </xf>
    <xf numFmtId="0" fontId="5" fillId="0" borderId="0" xfId="8" applyFont="1" applyAlignment="1">
      <alignment horizontal="left" vertical="center" wrapText="1"/>
    </xf>
    <xf numFmtId="0" fontId="5" fillId="0" borderId="12" xfId="8" applyFont="1" applyBorder="1" applyAlignment="1">
      <alignment horizontal="left" vertical="center" wrapText="1"/>
    </xf>
    <xf numFmtId="0" fontId="5" fillId="0" borderId="8" xfId="8" applyFont="1" applyBorder="1" applyAlignment="1">
      <alignment horizontal="left"/>
    </xf>
    <xf numFmtId="0" fontId="5" fillId="0" borderId="6" xfId="8" applyFont="1" applyBorder="1" applyAlignment="1">
      <alignment horizontal="left"/>
    </xf>
    <xf numFmtId="0" fontId="5" fillId="0" borderId="5" xfId="8" applyFont="1" applyBorder="1" applyAlignment="1">
      <alignment horizontal="left"/>
    </xf>
    <xf numFmtId="170" fontId="16" fillId="0" borderId="10" xfId="8" applyNumberFormat="1" applyBorder="1" applyAlignment="1">
      <alignment horizontal="left"/>
    </xf>
    <xf numFmtId="170" fontId="16" fillId="0" borderId="9" xfId="8" applyNumberFormat="1" applyBorder="1" applyAlignment="1">
      <alignment horizontal="left"/>
    </xf>
    <xf numFmtId="169" fontId="16" fillId="0" borderId="0" xfId="8" applyNumberFormat="1" applyAlignment="1">
      <alignment horizontal="left"/>
    </xf>
    <xf numFmtId="0" fontId="16" fillId="0" borderId="0" xfId="8" applyAlignment="1">
      <alignment horizontal="left" wrapText="1"/>
    </xf>
    <xf numFmtId="0" fontId="16" fillId="0" borderId="12" xfId="8" applyBorder="1" applyAlignment="1">
      <alignment horizontal="left" wrapText="1"/>
    </xf>
    <xf numFmtId="0" fontId="16" fillId="0" borderId="0" xfId="8" applyAlignment="1">
      <alignment horizontal="left" vertical="top" wrapText="1"/>
    </xf>
    <xf numFmtId="0" fontId="16" fillId="0" borderId="12" xfId="8" applyBorder="1" applyAlignment="1">
      <alignment horizontal="left" vertical="top" wrapText="1"/>
    </xf>
    <xf numFmtId="168" fontId="16" fillId="0" borderId="0" xfId="8" applyNumberFormat="1" applyAlignment="1">
      <alignment horizontal="left" wrapText="1"/>
    </xf>
    <xf numFmtId="168" fontId="16" fillId="0" borderId="12" xfId="8" applyNumberFormat="1" applyBorder="1" applyAlignment="1">
      <alignment horizontal="left" wrapText="1"/>
    </xf>
  </cellXfs>
  <cellStyles count="25">
    <cellStyle name="Excel Built-in Hyperlink" xfId="2" xr:uid="{00000000-0005-0000-0000-000001000000}"/>
    <cellStyle name="Excel Built-in Normal" xfId="3" xr:uid="{00000000-0005-0000-0000-000002000000}"/>
    <cellStyle name="Heading" xfId="4" xr:uid="{00000000-0005-0000-0000-000003000000}"/>
    <cellStyle name="Heading1" xfId="5" xr:uid="{00000000-0005-0000-0000-000004000000}"/>
    <cellStyle name="Lien hypertexte 2" xfId="9" xr:uid="{00000000-0005-0000-0000-000006000000}"/>
    <cellStyle name="Milliers 2" xfId="17" xr:uid="{3B722C05-A835-4BED-8A78-7739922D7A15}"/>
    <cellStyle name="Milliers 3" xfId="24" xr:uid="{958C1CF9-8ADE-4EFE-BD54-2CBFF7DF8F15}"/>
    <cellStyle name="Monétaire" xfId="1" builtinId="4"/>
    <cellStyle name="Monétaire 2" xfId="11" xr:uid="{26383C70-CFDA-4BA9-B411-45AFE1573A96}"/>
    <cellStyle name="Monétaire 3" xfId="20" xr:uid="{1F0B89EE-6695-4959-8709-1F075411DDE5}"/>
    <cellStyle name="Normal" xfId="0" builtinId="0" customBuiltin="1"/>
    <cellStyle name="Normal 2" xfId="8" xr:uid="{00000000-0005-0000-0000-000008000000}"/>
    <cellStyle name="Normal 2 2" xfId="12" xr:uid="{C78C4308-F5EA-4279-8511-EAEF2913C419}"/>
    <cellStyle name="Normal 2 3" xfId="22" xr:uid="{6DA41809-45E3-42E0-9C92-09DC97AEFB37}"/>
    <cellStyle name="Normal 3" xfId="10" xr:uid="{00000000-0005-0000-0000-000009000000}"/>
    <cellStyle name="Normal 3 2" xfId="13" xr:uid="{F77693C8-4D42-4DE2-B579-C7641B30B181}"/>
    <cellStyle name="Normal 3 3" xfId="23" xr:uid="{49416748-C35A-42B4-B4CC-AA631038F581}"/>
    <cellStyle name="Normal 4" xfId="14" xr:uid="{9C8349FE-3B5A-4538-B6FE-97D092ED0D11}"/>
    <cellStyle name="Normal 5" xfId="16" xr:uid="{08F17207-9280-4117-9753-7BE32A116013}"/>
    <cellStyle name="Normal 6" xfId="18" xr:uid="{403757B9-997B-4AE7-AB30-5D30C8BC95B6}"/>
    <cellStyle name="Normal 7" xfId="19" xr:uid="{9E8A475E-1DCE-4EFF-A7FD-19ED9378FB79}"/>
    <cellStyle name="Normal 8" xfId="21" xr:uid="{B96727DB-A7E6-4619-8937-B385ED52FE77}"/>
    <cellStyle name="Pourcentage 2" xfId="15" xr:uid="{B8F7DF11-03CC-4A82-B5AC-EB43D93EC5A8}"/>
    <cellStyle name="Result" xfId="6" xr:uid="{00000000-0005-0000-0000-00000A000000}"/>
    <cellStyle name="Result2" xfId="7" xr:uid="{00000000-0005-0000-0000-00000B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1600200</xdr:colOff>
      <xdr:row>11</xdr:row>
      <xdr:rowOff>152400</xdr:rowOff>
    </xdr:from>
    <xdr:to>
      <xdr:col>1</xdr:col>
      <xdr:colOff>5542280</xdr:colOff>
      <xdr:row>41</xdr:row>
      <xdr:rowOff>0</xdr:rowOff>
    </xdr:to>
    <xdr:pic>
      <xdr:nvPicPr>
        <xdr:cNvPr id="3" name="Graphique 2" descr="Amérique du Nord">
          <a:extLst>
            <a:ext uri="{FF2B5EF4-FFF2-40B4-BE49-F238E27FC236}">
              <a16:creationId xmlns:a16="http://schemas.microsoft.com/office/drawing/2014/main" id="{E07C6CEB-C2D0-42EB-B030-39304DD72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00200" y="2247900"/>
          <a:ext cx="5562600" cy="556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390526</xdr:colOff>
      <xdr:row>2</xdr:row>
      <xdr:rowOff>85724</xdr:rowOff>
    </xdr:from>
    <xdr:to>
      <xdr:col>4</xdr:col>
      <xdr:colOff>745491</xdr:colOff>
      <xdr:row>11</xdr:row>
      <xdr:rowOff>152399</xdr:rowOff>
    </xdr:to>
    <xdr:pic>
      <xdr:nvPicPr>
        <xdr:cNvPr id="3" name="Graphique 2" descr="Marteau de président">
          <a:extLst>
            <a:ext uri="{FF2B5EF4-FFF2-40B4-BE49-F238E27FC236}">
              <a16:creationId xmlns:a16="http://schemas.microsoft.com/office/drawing/2014/main" id="{1E147D05-2F47-4E08-97C5-D69441FC7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76701" y="466724"/>
          <a:ext cx="2038350" cy="20383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es%20documents\CLIENTS\instructions%20Services%20Vin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9c1356a9bd58188/Documents/CLIENTS/aaa%20saisie/instructions-services-vin.xlsx" TargetMode="External"/><Relationship Id="rId1" Type="http://schemas.openxmlformats.org/officeDocument/2006/relationships/externalLinkPath" Target="instructions-services-v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4"/>
      <sheetName val="Identiez vous"/>
      <sheetName val="Ou livrez vous"/>
      <sheetName val="Quel conditionnement"/>
      <sheetName val="Quelles sont les bouteilles"/>
      <sheetName val="Dates rapidité assurance"/>
    </sheetNames>
    <sheetDataSet>
      <sheetData sheetId="0">
        <row r="1">
          <cell r="A1" t="str">
            <v>ROSE WINE</v>
          </cell>
          <cell r="C1" t="str">
            <v>375ml</v>
          </cell>
        </row>
        <row r="2">
          <cell r="A2" t="str">
            <v>RED WINE</v>
          </cell>
          <cell r="C2" t="str">
            <v>500ml</v>
          </cell>
        </row>
        <row r="3">
          <cell r="A3" t="str">
            <v>WHITE WINE</v>
          </cell>
          <cell r="C3" t="str">
            <v>700ml</v>
          </cell>
        </row>
        <row r="4">
          <cell r="A4" t="str">
            <v>SPARKLING WINE</v>
          </cell>
          <cell r="C4" t="str">
            <v>750ml</v>
          </cell>
        </row>
        <row r="5">
          <cell r="A5" t="str">
            <v>CIDER</v>
          </cell>
          <cell r="C5" t="str">
            <v>1000ml</v>
          </cell>
        </row>
        <row r="6">
          <cell r="A6" t="str">
            <v>BEER</v>
          </cell>
          <cell r="C6" t="str">
            <v>1500ml</v>
          </cell>
        </row>
        <row r="7">
          <cell r="A7" t="str">
            <v>SPIRIT</v>
          </cell>
          <cell r="C7" t="str">
            <v>3000ml</v>
          </cell>
        </row>
        <row r="8">
          <cell r="C8" t="str">
            <v>6000ml</v>
          </cell>
        </row>
        <row r="9">
          <cell r="C9" t="str">
            <v>9000ml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ulaire"/>
      <sheetName val="Feuil1"/>
      <sheetName val="Feuil2"/>
    </sheetNames>
    <sheetDataSet>
      <sheetData sheetId="0">
        <row r="2">
          <cell r="B2" t="str">
            <v>Commercial</v>
          </cell>
        </row>
        <row r="3">
          <cell r="B3" t="b">
            <v>1</v>
          </cell>
          <cell r="D3">
            <v>300</v>
          </cell>
          <cell r="E3" t="str">
            <v>750 ml</v>
          </cell>
          <cell r="F3" t="str">
            <v>SPARKLING WINE</v>
          </cell>
          <cell r="G3" t="str">
            <v>CREMANT DE BORDEAUX</v>
          </cell>
          <cell r="H3">
            <v>12</v>
          </cell>
          <cell r="I3" t="str">
            <v/>
          </cell>
          <cell r="J3" t="str">
            <v>COMTESSE DE SAINT PEY</v>
          </cell>
          <cell r="L3">
            <v>4.2</v>
          </cell>
        </row>
        <row r="4">
          <cell r="B4" t="b">
            <v>1</v>
          </cell>
          <cell r="D4">
            <v>120</v>
          </cell>
          <cell r="E4" t="str">
            <v>750 ml</v>
          </cell>
          <cell r="F4" t="str">
            <v>SPARKLING WINE</v>
          </cell>
          <cell r="G4" t="str">
            <v>CREMANT DE BORDEAUX</v>
          </cell>
          <cell r="H4">
            <v>13</v>
          </cell>
          <cell r="I4" t="str">
            <v/>
          </cell>
          <cell r="J4" t="str">
            <v>COMTESSE DE SAINT PEY</v>
          </cell>
          <cell r="K4" t="str">
            <v>ROSE</v>
          </cell>
          <cell r="L4">
            <v>4.2</v>
          </cell>
        </row>
        <row r="5">
          <cell r="D5">
            <v>60</v>
          </cell>
          <cell r="E5" t="str">
            <v>750 ml</v>
          </cell>
          <cell r="F5" t="str">
            <v>RED WINE</v>
          </cell>
          <cell r="G5" t="str">
            <v>ATLANTIQUE</v>
          </cell>
          <cell r="H5">
            <v>12.5</v>
          </cell>
          <cell r="J5" t="str">
            <v>LE DROPT</v>
          </cell>
          <cell r="K5">
            <v>2022</v>
          </cell>
          <cell r="L5">
            <v>2.0499999999999998</v>
          </cell>
        </row>
        <row r="6">
          <cell r="D6">
            <v>60</v>
          </cell>
          <cell r="E6" t="str">
            <v>750 ml</v>
          </cell>
          <cell r="F6" t="str">
            <v>RED WINE</v>
          </cell>
          <cell r="G6" t="str">
            <v>BORDEAUX SUPERIEUR</v>
          </cell>
          <cell r="H6">
            <v>13.5</v>
          </cell>
          <cell r="J6" t="str">
            <v>CHATEAU DU BALLANDREAU</v>
          </cell>
          <cell r="K6">
            <v>2021</v>
          </cell>
          <cell r="L6">
            <v>3.4</v>
          </cell>
        </row>
        <row r="7">
          <cell r="D7">
            <v>60</v>
          </cell>
          <cell r="E7" t="str">
            <v>750 ml</v>
          </cell>
          <cell r="F7" t="str">
            <v>RED WINE</v>
          </cell>
          <cell r="G7" t="str">
            <v>BORDEAUX</v>
          </cell>
          <cell r="H7">
            <v>13</v>
          </cell>
          <cell r="J7" t="str">
            <v>CHATEAU TARNAS BELLAIR</v>
          </cell>
          <cell r="K7">
            <v>2017</v>
          </cell>
          <cell r="L7">
            <v>1.8</v>
          </cell>
        </row>
        <row r="12">
          <cell r="B12" t="str">
            <v>Marielle Dumas</v>
          </cell>
        </row>
        <row r="13">
          <cell r="B13">
            <v>556613373</v>
          </cell>
        </row>
        <row r="14">
          <cell r="B14" t="str">
            <v>m.dumas@vignerons-autrement.com</v>
          </cell>
        </row>
        <row r="15">
          <cell r="B15" t="str">
            <v>TERRE DE VIGNERONS</v>
          </cell>
        </row>
        <row r="16">
          <cell r="B16" t="str">
            <v>VILLESEQUE</v>
          </cell>
        </row>
        <row r="17">
          <cell r="B17" t="str">
            <v>33420 SAINT-VINCENT-DE-PERTIGNAS</v>
          </cell>
        </row>
        <row r="18">
          <cell r="B18" t="str">
            <v>France</v>
          </cell>
        </row>
        <row r="19">
          <cell r="B19" t="str">
            <v>FR31886929400013</v>
          </cell>
        </row>
        <row r="32">
          <cell r="B32" t="str">
            <v>Jean-Charles Stiquel</v>
          </cell>
        </row>
        <row r="33">
          <cell r="B33">
            <v>447751060921</v>
          </cell>
        </row>
        <row r="34">
          <cell r="B34" t="str">
            <v>jcstiquel@lamijac.com</v>
          </cell>
        </row>
        <row r="35">
          <cell r="B35" t="str">
            <v>L'AMI JAC LTD</v>
          </cell>
        </row>
        <row r="36">
          <cell r="B36" t="str">
            <v>96 Shepherds Bush Road</v>
          </cell>
        </row>
        <row r="37">
          <cell r="B37" t="str">
            <v>W67PD London</v>
          </cell>
        </row>
        <row r="38">
          <cell r="B38" t="str">
            <v>Royaume-Uni (Grande-Bretagne)</v>
          </cell>
        </row>
        <row r="48">
          <cell r="B48">
            <v>100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8A93D-5B3B-49E4-A4C4-D8718E3C008B}" name="Tableau1" displayName="Tableau1" ref="G1:H13" headerRowDxfId="6" headerRowCellStyle="Normal 2" dataCellStyle="Normal 2">
  <autoFilter ref="G1:H13" xr:uid="{C5D8A93D-5B3B-49E4-A4C4-D8718E3C008B}"/>
  <tableColumns count="2">
    <tableColumn id="1" xr3:uid="{C0BFE304-6031-45C0-8BBA-03BF65F9F9D1}" name="Color" totalsRowFunction="custom" totalsRowDxfId="5" dataCellStyle="Normal 2" totalsRowCellStyle="Normal 2">
      <totalsRowFormula>+[2]Formulaire!$F4</totalsRowFormula>
    </tableColumn>
    <tableColumn id="2" xr3:uid="{63B0B714-5695-4044-9A0E-DE072EF44AD0}" name="htc" totalsRowDxfId="4" dataCellStyle="Normal 2" totalsRowCellStyle="Normal 2"/>
  </tableColumns>
  <tableStyleInfo name="TableStyleLight10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5BA79A-DF40-45A2-9EC2-605F2BF84942}" name="Tableau3" displayName="Tableau3" ref="A1:C5" totalsRowShown="0" headerRowDxfId="3" headerRowCellStyle="Normal 2" dataCellStyle="Normal 2">
  <autoFilter ref="A1:C5" xr:uid="{C65BA79A-DF40-45A2-9EC2-605F2BF84942}"/>
  <tableColumns count="3">
    <tableColumn id="1" xr3:uid="{D3005B9A-10C8-41C2-91B0-6C0DB8451B0E}" name="text" dataCellStyle="Normal 2"/>
    <tableColumn id="3" xr3:uid="{01443F70-E76F-482B-82F1-1EFCEB37A2D5}" name="Colonne1" dataCellStyle="Normal 2"/>
    <tableColumn id="2" xr3:uid="{0CA64566-43CC-4DF8-B375-4A04DDB07A68}" name="type" dataCellStyle="Normal 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86EE7C-26A5-4BBD-9802-6F130C51462A}" name="Tableau4" displayName="Tableau4" ref="A16:B18" totalsRowShown="0" headerRowDxfId="2" headerRowCellStyle="Normal 2">
  <autoFilter ref="A16:B18" xr:uid="{D886EE7C-26A5-4BBD-9802-6F130C51462A}"/>
  <tableColumns count="2">
    <tableColumn id="1" xr3:uid="{5D8222A6-1DBF-4216-A0CD-D06C103D4055}" name="DOUANE EXPORT"/>
    <tableColumn id="2" xr3:uid="{B3802AA2-D60C-4C56-9DB1-930371A83444}" name="REPONSE" dataCellStyle="Normal 2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5DEA9E-BEEE-4827-8D0D-0B1D0A40685E}" name="Tableau5" displayName="Tableau5" ref="A26:B28" totalsRowShown="0" headerRowDxfId="1" headerRowCellStyle="Normal 2">
  <autoFilter ref="A26:B28" xr:uid="{DA5DEA9E-BEEE-4827-8D0D-0B1D0A40685E}"/>
  <tableColumns count="2">
    <tableColumn id="1" xr3:uid="{B96DAA42-9CD6-42CC-9BBE-AE102D33B675}" name="INCOTERM" dataDxfId="0" dataCellStyle="Normal 2"/>
    <tableColumn id="2" xr3:uid="{74E72076-9B8C-42DA-AE0E-6F4CF34424FC}" name="REPONSE" dataCellStyle="Normal 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339040-BEA6-438F-8EFF-E4794BFA7AA8}">
  <we:reference id="wa104150524" version="1.0.0.1" store="fr-FR" storeType="OMEX"/>
  <we:alternateReferences>
    <we:reference id="WA104150524" version="1.0.0.1" store="WA10415052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premiersgrandscru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utchisn@roadrunn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tb@accoladebrand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showRowColHeaders="0" showRuler="0" workbookViewId="0">
      <selection activeCell="B3" sqref="B3"/>
    </sheetView>
  </sheetViews>
  <sheetFormatPr baseColWidth="10" defaultRowHeight="14.5"/>
  <cols>
    <col min="1" max="1" width="21.08203125" style="1" bestFit="1" customWidth="1"/>
    <col min="2" max="2" width="144" style="1" customWidth="1"/>
    <col min="3" max="3" width="9.83203125" style="1" customWidth="1"/>
    <col min="4" max="9" width="9.83203125" customWidth="1"/>
    <col min="10" max="10" width="10.83203125" customWidth="1"/>
    <col min="11" max="1024" width="9.83203125" customWidth="1"/>
  </cols>
  <sheetData>
    <row r="1" spans="1:3">
      <c r="A1" s="36" t="s">
        <v>84</v>
      </c>
      <c r="B1" s="64" t="str">
        <f>[2]Formulaire!$B12</f>
        <v>Marielle Dumas</v>
      </c>
      <c r="C1" s="61"/>
    </row>
    <row r="2" spans="1:3">
      <c r="A2" s="36" t="s">
        <v>0</v>
      </c>
      <c r="B2" s="64">
        <f>[2]Formulaire!$B13</f>
        <v>556613373</v>
      </c>
      <c r="C2" s="62"/>
    </row>
    <row r="3" spans="1:3">
      <c r="A3" s="36" t="s">
        <v>1</v>
      </c>
      <c r="B3" s="64" t="str">
        <f>[2]Formulaire!$B14</f>
        <v>m.dumas@vignerons-autrement.com</v>
      </c>
      <c r="C3" s="61"/>
    </row>
    <row r="4" spans="1:3">
      <c r="A4" s="36" t="s">
        <v>85</v>
      </c>
      <c r="B4" s="64" t="str">
        <f>[2]Formulaire!$B15</f>
        <v>TERRE DE VIGNERONS</v>
      </c>
      <c r="C4" s="63"/>
    </row>
    <row r="5" spans="1:3">
      <c r="A5" s="36" t="s">
        <v>86</v>
      </c>
      <c r="B5" s="64" t="str">
        <f>[2]Formulaire!$B16</f>
        <v>VILLESEQUE</v>
      </c>
      <c r="C5" s="61"/>
    </row>
    <row r="6" spans="1:3">
      <c r="A6" s="36" t="s">
        <v>87</v>
      </c>
      <c r="B6" s="64" t="str">
        <f>[2]Formulaire!$B17</f>
        <v>33420 SAINT-VINCENT-DE-PERTIGNAS</v>
      </c>
      <c r="C6" s="61"/>
    </row>
    <row r="7" spans="1:3">
      <c r="A7" s="36" t="s">
        <v>88</v>
      </c>
      <c r="B7" s="64" t="str">
        <f>[2]Formulaire!$B18</f>
        <v>France</v>
      </c>
      <c r="C7" s="61"/>
    </row>
    <row r="8" spans="1:3">
      <c r="A8" s="36" t="s">
        <v>89</v>
      </c>
      <c r="B8" s="64" t="str">
        <f>[2]Formulaire!$B19</f>
        <v>FR31886929400013</v>
      </c>
      <c r="C8" s="61"/>
    </row>
    <row r="9" spans="1:3">
      <c r="A9" s="36" t="s">
        <v>90</v>
      </c>
      <c r="B9" s="64">
        <f>[2]Formulaire!$B20</f>
        <v>0</v>
      </c>
      <c r="C9" s="61"/>
    </row>
    <row r="10" spans="1:3">
      <c r="A10" s="36" t="s">
        <v>91</v>
      </c>
      <c r="B10" s="64">
        <f>[2]Formulaire!$B21</f>
        <v>0</v>
      </c>
      <c r="C10" s="61"/>
    </row>
    <row r="11" spans="1:3">
      <c r="A11" s="36"/>
      <c r="B11" s="64"/>
      <c r="C11" s="61"/>
    </row>
    <row r="12" spans="1:3">
      <c r="B12" s="60"/>
    </row>
    <row r="14" spans="1:3">
      <c r="A14" s="55"/>
    </row>
    <row r="15" spans="1:3">
      <c r="A15" s="55"/>
    </row>
  </sheetData>
  <hyperlinks>
    <hyperlink ref="B3" r:id="rId1" display="info@premiersgrandscrus.com" xr:uid="{F05BBD8B-A8A2-41E9-8615-E94F635322C9}"/>
  </hyperlinks>
  <pageMargins left="0.70000000000000007" right="0.70000000000000007" top="1.1437007874015745" bottom="1.1437007874015745" header="0.74999999999999989" footer="0.74999999999999989"/>
  <pageSetup paperSize="9" fitToWidth="0" fitToHeight="0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showGridLines="0" showRuler="0" zoomScaleNormal="100" workbookViewId="0">
      <selection activeCell="D10" sqref="D10:E10"/>
    </sheetView>
  </sheetViews>
  <sheetFormatPr baseColWidth="10" defaultRowHeight="14.5"/>
  <cols>
    <col min="1" max="1" width="21.08203125" style="1" bestFit="1" customWidth="1"/>
    <col min="2" max="2" width="123.08203125" style="1" customWidth="1"/>
    <col min="3" max="1023" width="9.83203125" customWidth="1"/>
  </cols>
  <sheetData>
    <row r="1" spans="1:3">
      <c r="A1" s="36" t="s">
        <v>84</v>
      </c>
      <c r="B1" s="76" t="str">
        <f>+[2]Formulaire!$B32</f>
        <v>Jean-Charles Stiquel</v>
      </c>
      <c r="C1" s="61"/>
    </row>
    <row r="2" spans="1:3">
      <c r="A2" s="36" t="s">
        <v>0</v>
      </c>
      <c r="B2" s="76">
        <f>+[2]Formulaire!$B33</f>
        <v>447751060921</v>
      </c>
      <c r="C2" s="75"/>
    </row>
    <row r="3" spans="1:3">
      <c r="A3" s="36" t="s">
        <v>1</v>
      </c>
      <c r="B3" s="76" t="str">
        <f>+[2]Formulaire!$B34</f>
        <v>jcstiquel@lamijac.com</v>
      </c>
      <c r="C3" s="73" t="s">
        <v>210</v>
      </c>
    </row>
    <row r="4" spans="1:3">
      <c r="A4" s="36" t="s">
        <v>85</v>
      </c>
      <c r="B4" s="76" t="str">
        <f>+[2]Formulaire!$B35</f>
        <v>L'AMI JAC LTD</v>
      </c>
      <c r="C4" s="72"/>
    </row>
    <row r="5" spans="1:3">
      <c r="A5" s="36" t="s">
        <v>86</v>
      </c>
      <c r="B5" s="76" t="str">
        <f>+[2]Formulaire!$B36</f>
        <v>96 Shepherds Bush Road</v>
      </c>
      <c r="C5" s="72"/>
    </row>
    <row r="6" spans="1:3">
      <c r="A6" s="36" t="s">
        <v>87</v>
      </c>
      <c r="B6" s="76" t="str">
        <f>+[2]Formulaire!$B37</f>
        <v>W67PD London</v>
      </c>
      <c r="C6" s="65"/>
    </row>
    <row r="7" spans="1:3" ht="15" thickBot="1">
      <c r="A7" s="36" t="s">
        <v>88</v>
      </c>
      <c r="B7" s="76" t="str">
        <f>+[2]Formulaire!$B38</f>
        <v>Royaume-Uni (Grande-Bretagne)</v>
      </c>
      <c r="C7" s="66"/>
    </row>
    <row r="8" spans="1:3">
      <c r="A8" s="36" t="s">
        <v>89</v>
      </c>
      <c r="B8" s="76"/>
    </row>
    <row r="9" spans="1:3">
      <c r="A9" s="36" t="s">
        <v>90</v>
      </c>
      <c r="B9" s="76"/>
    </row>
    <row r="10" spans="1:3">
      <c r="A10" s="36" t="s">
        <v>91</v>
      </c>
      <c r="B10" s="76"/>
    </row>
    <row r="11" spans="1:3">
      <c r="A11" s="36" t="s">
        <v>80</v>
      </c>
      <c r="B11" s="76">
        <f>+[2]Formulaire!$B$39</f>
        <v>0</v>
      </c>
    </row>
    <row r="13" spans="1:3" ht="15.5">
      <c r="B13" s="42"/>
    </row>
  </sheetData>
  <hyperlinks>
    <hyperlink ref="B3" r:id="rId1" display="hutchisn@roadrunner.com" xr:uid="{C22F5D46-8F70-4337-AD90-C91633F44572}"/>
  </hyperlinks>
  <pageMargins left="0.70000000000000007" right="0.70000000000000007" top="1.1437007874015745" bottom="1.1437007874015745" header="0.74999999999999989" footer="0.74999999999999989"/>
  <pageSetup paperSize="9" fitToWidth="0" fitToHeight="0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showRuler="0" workbookViewId="0">
      <selection activeCell="D10" sqref="D10:E10"/>
    </sheetView>
  </sheetViews>
  <sheetFormatPr baseColWidth="10" defaultColWidth="11" defaultRowHeight="14.5"/>
  <cols>
    <col min="1" max="1" width="15.5" style="54" customWidth="1"/>
    <col min="2" max="2" width="10.58203125" style="54" customWidth="1"/>
    <col min="3" max="3" width="3.5" style="54" customWidth="1"/>
    <col min="4" max="4" width="5.58203125" style="54" customWidth="1"/>
    <col min="5" max="5" width="14.5" style="54" bestFit="1" customWidth="1"/>
    <col min="6" max="12" width="9.83203125" style="54" customWidth="1"/>
    <col min="13" max="1026" width="9.83203125" style="86" customWidth="1"/>
    <col min="1027" max="16384" width="11" style="86"/>
  </cols>
  <sheetData>
    <row r="1" spans="1:8" ht="52.4" customHeight="1">
      <c r="A1" s="97" t="s">
        <v>102</v>
      </c>
      <c r="B1" s="97"/>
      <c r="C1" s="97"/>
      <c r="D1" s="97"/>
      <c r="F1" s="54" t="s">
        <v>232</v>
      </c>
    </row>
    <row r="2" spans="1:8">
      <c r="A2" s="87">
        <f>+[2]Formulaire!$B42</f>
        <v>0</v>
      </c>
      <c r="B2" s="88" t="str">
        <f>" carton"&amp;IF(A2&gt;1,"s",)&amp;" de "</f>
        <v xml:space="preserve"> carton de </v>
      </c>
      <c r="C2" s="26">
        <v>12</v>
      </c>
      <c r="D2" s="27" t="s">
        <v>77</v>
      </c>
      <c r="E2" s="26" t="str">
        <f>A2&amp;B2&amp;C2&amp;D2</f>
        <v>0 carton de 12 bt -</v>
      </c>
      <c r="F2" s="54">
        <f>+A2*1.5*C2</f>
        <v>0</v>
      </c>
      <c r="H2" s="26" t="str">
        <f>+IF(A2&gt;0,E2,"")</f>
        <v/>
      </c>
    </row>
    <row r="3" spans="1:8">
      <c r="A3" s="87">
        <f>+[2]Formulaire!$B43</f>
        <v>0</v>
      </c>
      <c r="B3" s="88" t="str">
        <f t="shared" ref="B3:B13" si="0">" carton"&amp;IF(A3&gt;1,"s",)&amp;" de "</f>
        <v xml:space="preserve"> carton de </v>
      </c>
      <c r="C3" s="26">
        <v>11</v>
      </c>
      <c r="D3" s="27" t="s">
        <v>77</v>
      </c>
      <c r="E3" s="26" t="str">
        <f t="shared" ref="E3:E13" si="1">A3&amp;B3&amp;C3&amp;D3</f>
        <v>0 carton de 11 bt -</v>
      </c>
      <c r="F3" s="54">
        <f t="shared" ref="F3:F13" si="2">+A3*1.5*C3</f>
        <v>0</v>
      </c>
      <c r="H3" s="26" t="str">
        <f t="shared" ref="H3:H13" si="3">+IF(A3&gt;0,E3,"")</f>
        <v/>
      </c>
    </row>
    <row r="4" spans="1:8">
      <c r="A4" s="87">
        <f>+[2]Formulaire!$B44</f>
        <v>0</v>
      </c>
      <c r="B4" s="88" t="str">
        <f t="shared" si="0"/>
        <v xml:space="preserve"> carton de </v>
      </c>
      <c r="C4" s="26">
        <v>10</v>
      </c>
      <c r="D4" s="27" t="s">
        <v>77</v>
      </c>
      <c r="E4" s="26" t="str">
        <f t="shared" si="1"/>
        <v>0 carton de 10 bt -</v>
      </c>
      <c r="F4" s="54">
        <f t="shared" si="2"/>
        <v>0</v>
      </c>
      <c r="H4" s="26" t="str">
        <f t="shared" si="3"/>
        <v/>
      </c>
    </row>
    <row r="5" spans="1:8">
      <c r="A5" s="87">
        <f>+[2]Formulaire!$B45</f>
        <v>0</v>
      </c>
      <c r="B5" s="88" t="str">
        <f t="shared" si="0"/>
        <v xml:space="preserve"> carton de </v>
      </c>
      <c r="C5" s="26">
        <v>9</v>
      </c>
      <c r="D5" s="27" t="s">
        <v>77</v>
      </c>
      <c r="E5" s="26" t="str">
        <f t="shared" si="1"/>
        <v>0 carton de 9 bt -</v>
      </c>
      <c r="F5" s="54">
        <f t="shared" si="2"/>
        <v>0</v>
      </c>
      <c r="H5" s="26" t="str">
        <f t="shared" si="3"/>
        <v/>
      </c>
    </row>
    <row r="6" spans="1:8">
      <c r="A6" s="87">
        <f>+[2]Formulaire!$B46</f>
        <v>0</v>
      </c>
      <c r="B6" s="88" t="str">
        <f t="shared" si="0"/>
        <v xml:space="preserve"> carton de </v>
      </c>
      <c r="C6" s="26">
        <v>8</v>
      </c>
      <c r="D6" s="27" t="s">
        <v>77</v>
      </c>
      <c r="E6" s="26" t="str">
        <f t="shared" si="1"/>
        <v>0 carton de 8 bt -</v>
      </c>
      <c r="F6" s="54">
        <f t="shared" si="2"/>
        <v>0</v>
      </c>
      <c r="H6" s="26" t="str">
        <f t="shared" si="3"/>
        <v/>
      </c>
    </row>
    <row r="7" spans="1:8">
      <c r="A7" s="87">
        <f>+[2]Formulaire!$B47</f>
        <v>0</v>
      </c>
      <c r="B7" s="88" t="str">
        <f t="shared" si="0"/>
        <v xml:space="preserve"> carton de </v>
      </c>
      <c r="C7" s="26">
        <v>7</v>
      </c>
      <c r="D7" s="27" t="s">
        <v>77</v>
      </c>
      <c r="E7" s="26" t="str">
        <f t="shared" si="1"/>
        <v>0 carton de 7 bt -</v>
      </c>
      <c r="F7" s="54">
        <f t="shared" si="2"/>
        <v>0</v>
      </c>
      <c r="H7" s="26" t="str">
        <f t="shared" si="3"/>
        <v/>
      </c>
    </row>
    <row r="8" spans="1:8">
      <c r="A8" s="87">
        <f>+[2]Formulaire!$B48</f>
        <v>100</v>
      </c>
      <c r="B8" s="88" t="str">
        <f t="shared" si="0"/>
        <v xml:space="preserve"> cartons de </v>
      </c>
      <c r="C8" s="26">
        <v>6</v>
      </c>
      <c r="D8" s="27" t="s">
        <v>77</v>
      </c>
      <c r="E8" s="26" t="str">
        <f t="shared" si="1"/>
        <v>100 cartons de 6 bt -</v>
      </c>
      <c r="F8" s="54">
        <f>+A8*1.5*C8</f>
        <v>900</v>
      </c>
      <c r="H8" s="26" t="str">
        <f t="shared" si="3"/>
        <v>100 cartons de 6 bt -</v>
      </c>
    </row>
    <row r="9" spans="1:8">
      <c r="A9" s="87">
        <f>+[2]Formulaire!$B49</f>
        <v>0</v>
      </c>
      <c r="B9" s="88" t="str">
        <f t="shared" si="0"/>
        <v xml:space="preserve"> carton de </v>
      </c>
      <c r="C9" s="26">
        <v>5</v>
      </c>
      <c r="D9" s="27" t="s">
        <v>77</v>
      </c>
      <c r="E9" s="26" t="str">
        <f t="shared" si="1"/>
        <v>0 carton de 5 bt -</v>
      </c>
      <c r="F9" s="54">
        <f t="shared" si="2"/>
        <v>0</v>
      </c>
      <c r="H9" s="26" t="str">
        <f t="shared" si="3"/>
        <v/>
      </c>
    </row>
    <row r="10" spans="1:8">
      <c r="A10" s="87">
        <f>+[2]Formulaire!$B50</f>
        <v>0</v>
      </c>
      <c r="B10" s="88" t="str">
        <f t="shared" si="0"/>
        <v xml:space="preserve"> carton de </v>
      </c>
      <c r="C10" s="26">
        <v>4</v>
      </c>
      <c r="D10" s="27" t="s">
        <v>77</v>
      </c>
      <c r="E10" s="26" t="str">
        <f t="shared" si="1"/>
        <v>0 carton de 4 bt -</v>
      </c>
      <c r="F10" s="54">
        <f t="shared" si="2"/>
        <v>0</v>
      </c>
      <c r="H10" s="26" t="str">
        <f t="shared" si="3"/>
        <v/>
      </c>
    </row>
    <row r="11" spans="1:8">
      <c r="A11" s="87">
        <f>+[2]Formulaire!$B51</f>
        <v>0</v>
      </c>
      <c r="B11" s="88" t="str">
        <f t="shared" si="0"/>
        <v xml:space="preserve"> carton de </v>
      </c>
      <c r="C11" s="26">
        <v>3</v>
      </c>
      <c r="D11" s="27" t="s">
        <v>77</v>
      </c>
      <c r="E11" s="26" t="str">
        <f t="shared" si="1"/>
        <v>0 carton de 3 bt -</v>
      </c>
      <c r="F11" s="54">
        <f>+A11*1.5*C11</f>
        <v>0</v>
      </c>
      <c r="H11" s="26" t="str">
        <f t="shared" si="3"/>
        <v/>
      </c>
    </row>
    <row r="12" spans="1:8">
      <c r="A12" s="87">
        <f>+[2]Formulaire!$B52</f>
        <v>0</v>
      </c>
      <c r="B12" s="88" t="str">
        <f t="shared" si="0"/>
        <v xml:space="preserve"> carton de </v>
      </c>
      <c r="C12" s="26">
        <v>2</v>
      </c>
      <c r="D12" s="27" t="s">
        <v>77</v>
      </c>
      <c r="E12" s="26" t="str">
        <f t="shared" si="1"/>
        <v>0 carton de 2 bt -</v>
      </c>
      <c r="F12" s="54">
        <f t="shared" si="2"/>
        <v>0</v>
      </c>
      <c r="H12" s="26" t="str">
        <f t="shared" si="3"/>
        <v/>
      </c>
    </row>
    <row r="13" spans="1:8" ht="15" thickBot="1">
      <c r="A13" s="87">
        <f>+[2]Formulaire!$B53</f>
        <v>0</v>
      </c>
      <c r="B13" s="88" t="str">
        <f t="shared" si="0"/>
        <v xml:space="preserve"> carton de </v>
      </c>
      <c r="C13" s="28">
        <v>1</v>
      </c>
      <c r="D13" s="29" t="s">
        <v>77</v>
      </c>
      <c r="E13" s="26" t="str">
        <f t="shared" si="1"/>
        <v>0 carton de 1 bt -</v>
      </c>
      <c r="F13" s="54">
        <f t="shared" si="2"/>
        <v>0</v>
      </c>
      <c r="H13" s="26" t="str">
        <f t="shared" si="3"/>
        <v/>
      </c>
    </row>
    <row r="14" spans="1:8">
      <c r="A14" s="54">
        <f>SUM(A2:A13)</f>
        <v>100</v>
      </c>
      <c r="F14" s="54">
        <f>SUM(F2:F13)</f>
        <v>900</v>
      </c>
      <c r="H14" s="26" t="str">
        <f>H2&amp;H3&amp;H4&amp;H5&amp;H6&amp;H7&amp;H8&amp;H9&amp;H10&amp;H11&amp;H12&amp;H13</f>
        <v>100 cartons de 6 bt -</v>
      </c>
    </row>
  </sheetData>
  <mergeCells count="1">
    <mergeCell ref="A1:D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showRuler="0" workbookViewId="0">
      <selection activeCell="D10" sqref="D10:E10"/>
    </sheetView>
  </sheetViews>
  <sheetFormatPr baseColWidth="10" defaultRowHeight="14.5"/>
  <cols>
    <col min="1" max="1" width="5.33203125" style="1" customWidth="1"/>
    <col min="2" max="2" width="11" style="1" customWidth="1"/>
    <col min="3" max="3" width="17" style="1" customWidth="1"/>
    <col min="4" max="4" width="26.08203125" style="1" customWidth="1"/>
    <col min="5" max="5" width="6" style="1" customWidth="1"/>
    <col min="6" max="6" width="6.58203125" style="1" customWidth="1"/>
    <col min="7" max="7" width="17.5" style="1" bestFit="1" customWidth="1"/>
    <col min="8" max="8" width="9.08203125" style="1" bestFit="1" customWidth="1"/>
    <col min="9" max="9" width="30.58203125" style="1" customWidth="1"/>
    <col min="10" max="10" width="31.08203125" style="1" bestFit="1" customWidth="1"/>
    <col min="11" max="11" width="10.08203125" style="1" bestFit="1" customWidth="1"/>
    <col min="12" max="12" width="1.08203125" style="1" customWidth="1"/>
    <col min="13" max="13" width="9.6640625" style="1" customWidth="1"/>
    <col min="14" max="14" width="10.08203125" style="1" customWidth="1"/>
    <col min="15" max="15" width="1.33203125" style="1" customWidth="1"/>
    <col min="16" max="16" width="7" style="1" customWidth="1"/>
    <col min="17" max="1025" width="9.83203125" customWidth="1"/>
  </cols>
  <sheetData>
    <row r="1" spans="1:18">
      <c r="A1" s="1" t="s">
        <v>81</v>
      </c>
      <c r="B1" s="1" t="s">
        <v>82</v>
      </c>
      <c r="C1" s="1" t="s">
        <v>92</v>
      </c>
      <c r="D1" s="1" t="s">
        <v>2</v>
      </c>
      <c r="E1" s="1" t="s">
        <v>3</v>
      </c>
      <c r="F1" s="1" t="s">
        <v>93</v>
      </c>
      <c r="G1" s="1" t="s">
        <v>17</v>
      </c>
      <c r="H1" s="1" t="s">
        <v>20</v>
      </c>
      <c r="I1" s="1" t="s">
        <v>95</v>
      </c>
      <c r="J1" s="1" t="s">
        <v>94</v>
      </c>
      <c r="K1" s="1" t="s">
        <v>18</v>
      </c>
      <c r="L1" s="1" t="s">
        <v>19</v>
      </c>
      <c r="N1" s="1" t="s">
        <v>21</v>
      </c>
      <c r="O1" s="1" t="s">
        <v>83</v>
      </c>
      <c r="P1" s="1" t="s">
        <v>4</v>
      </c>
    </row>
    <row r="2" spans="1:18" ht="15" customHeight="1">
      <c r="A2" s="77">
        <f>+[2]Formulaire!$D3</f>
        <v>300</v>
      </c>
      <c r="B2" s="78"/>
      <c r="C2" s="79" t="str">
        <f>+[2]Formulaire!$F3</f>
        <v>SPARKLING WINE</v>
      </c>
      <c r="D2" s="79" t="str">
        <f>+[2]Formulaire!$G3</f>
        <v>CREMANT DE BORDEAUX</v>
      </c>
      <c r="E2" s="81">
        <f>+[2]Formulaire!$H3</f>
        <v>12</v>
      </c>
      <c r="F2" s="79" t="str">
        <f>IF(+[2]Formulaire!$I3=0," ",+[2]Formulaire!$I3)</f>
        <v/>
      </c>
      <c r="G2" s="81">
        <f>+[2]Formulaire!$N3</f>
        <v>0</v>
      </c>
      <c r="H2" s="79"/>
      <c r="I2" s="80" t="str">
        <f>[2]Formulaire!J3</f>
        <v>COMTESSE DE SAINT PEY</v>
      </c>
      <c r="J2" s="80"/>
      <c r="K2" s="78"/>
      <c r="M2" s="82">
        <f>+[2]Formulaire!$L3</f>
        <v>4.2</v>
      </c>
      <c r="N2" s="71" t="str">
        <f t="shared" ref="N2:N22" si="0">P2&amp;" "&amp;C2&amp;" "&amp;E2&amp;" % Alc "&amp;I2&amp;" "&amp;J2&amp;" "&amp;F2&amp;" "&amp;D2&amp;" ttb id "&amp;G2</f>
        <v>750 ml SPARKLING WINE 12 % Alc COMTESSE DE SAINT PEY   CREMANT DE BORDEAUX ttb id 0</v>
      </c>
      <c r="P2" s="76" t="str">
        <f>+[2]Formulaire!$E3</f>
        <v>750 ml</v>
      </c>
    </row>
    <row r="3" spans="1:18" ht="15" customHeight="1">
      <c r="A3" s="77">
        <f>+[2]Formulaire!$D4</f>
        <v>120</v>
      </c>
      <c r="B3" s="78"/>
      <c r="C3" s="79" t="str">
        <f>+[2]Formulaire!$F4</f>
        <v>SPARKLING WINE</v>
      </c>
      <c r="D3" s="79" t="str">
        <f>+[2]Formulaire!$G4</f>
        <v>CREMANT DE BORDEAUX</v>
      </c>
      <c r="E3" s="81">
        <f>+[2]Formulaire!$H4</f>
        <v>13</v>
      </c>
      <c r="F3" s="79" t="str">
        <f>IF(+[2]Formulaire!$I4=0," ",+[2]Formulaire!$I4)</f>
        <v/>
      </c>
      <c r="G3" s="81">
        <f>+[2]Formulaire!$N4</f>
        <v>0</v>
      </c>
      <c r="H3" s="79"/>
      <c r="I3" s="80" t="str">
        <f>[2]Formulaire!J4</f>
        <v>COMTESSE DE SAINT PEY</v>
      </c>
      <c r="J3" s="80" t="str">
        <f>[2]Formulaire!K4</f>
        <v>ROSE</v>
      </c>
      <c r="K3" s="78"/>
      <c r="M3" s="82">
        <f>+[2]Formulaire!$L4</f>
        <v>4.2</v>
      </c>
      <c r="N3" s="71" t="str">
        <f t="shared" si="0"/>
        <v>750 ml SPARKLING WINE 13 % Alc COMTESSE DE SAINT PEY ROSE  CREMANT DE BORDEAUX ttb id 0</v>
      </c>
      <c r="O3" s="43"/>
      <c r="P3" s="76" t="str">
        <f>+[2]Formulaire!$E4</f>
        <v>750 ml</v>
      </c>
      <c r="Q3" t="s">
        <v>211</v>
      </c>
    </row>
    <row r="4" spans="1:18" ht="15" customHeight="1">
      <c r="A4" s="77">
        <f>+[2]Formulaire!$D5</f>
        <v>60</v>
      </c>
      <c r="B4" s="78"/>
      <c r="C4" s="79" t="str">
        <f>+[2]Formulaire!$F5</f>
        <v>RED WINE</v>
      </c>
      <c r="D4" s="79" t="str">
        <f>+[2]Formulaire!$G5</f>
        <v>ATLANTIQUE</v>
      </c>
      <c r="E4" s="81">
        <f>+[2]Formulaire!$H5</f>
        <v>12.5</v>
      </c>
      <c r="F4" s="79" t="str">
        <f>IF(+[2]Formulaire!$I5=0," ",+[2]Formulaire!$I5)</f>
        <v xml:space="preserve"> </v>
      </c>
      <c r="G4" s="81">
        <f>+[2]Formulaire!$N5</f>
        <v>0</v>
      </c>
      <c r="H4" s="79"/>
      <c r="I4" s="80" t="str">
        <f>[2]Formulaire!J5</f>
        <v>LE DROPT</v>
      </c>
      <c r="J4" s="80">
        <f>[2]Formulaire!K5</f>
        <v>2022</v>
      </c>
      <c r="K4" s="78"/>
      <c r="M4" s="82">
        <f>+[2]Formulaire!$L5</f>
        <v>2.0499999999999998</v>
      </c>
      <c r="N4" s="71" t="str">
        <f t="shared" si="0"/>
        <v>750 ml RED WINE 12,5 % Alc LE DROPT 2022   ATLANTIQUE ttb id 0</v>
      </c>
      <c r="P4" s="76" t="str">
        <f>+[2]Formulaire!$E5</f>
        <v>750 ml</v>
      </c>
    </row>
    <row r="5" spans="1:18" ht="15" customHeight="1">
      <c r="A5" s="77">
        <f>+[2]Formulaire!$D6</f>
        <v>60</v>
      </c>
      <c r="B5" s="78"/>
      <c r="C5" s="79" t="str">
        <f>+[2]Formulaire!$F6</f>
        <v>RED WINE</v>
      </c>
      <c r="D5" s="79" t="str">
        <f>+[2]Formulaire!$G6</f>
        <v>BORDEAUX SUPERIEUR</v>
      </c>
      <c r="E5" s="81">
        <f>+[2]Formulaire!$H6</f>
        <v>13.5</v>
      </c>
      <c r="F5" s="79" t="str">
        <f>IF(+[2]Formulaire!$I6=0," ",+[2]Formulaire!$I6)</f>
        <v xml:space="preserve"> </v>
      </c>
      <c r="G5" s="81">
        <f>+[2]Formulaire!$N6</f>
        <v>0</v>
      </c>
      <c r="H5" s="79"/>
      <c r="I5" s="80" t="str">
        <f>[2]Formulaire!J6</f>
        <v>CHATEAU DU BALLANDREAU</v>
      </c>
      <c r="J5" s="80">
        <f>[2]Formulaire!K6</f>
        <v>2021</v>
      </c>
      <c r="K5" s="78"/>
      <c r="M5" s="82">
        <f>+[2]Formulaire!$L6</f>
        <v>3.4</v>
      </c>
      <c r="N5" s="71" t="str">
        <f t="shared" si="0"/>
        <v>750 ml RED WINE 13,5 % Alc CHATEAU DU BALLANDREAU 2021   BORDEAUX SUPERIEUR ttb id 0</v>
      </c>
      <c r="O5" s="43"/>
      <c r="P5" s="76" t="str">
        <f>+[2]Formulaire!$E6</f>
        <v>750 ml</v>
      </c>
      <c r="R5" s="76" t="s">
        <v>212</v>
      </c>
    </row>
    <row r="6" spans="1:18" ht="15" customHeight="1">
      <c r="A6" s="77">
        <f>+[2]Formulaire!$D7</f>
        <v>60</v>
      </c>
      <c r="B6" s="78"/>
      <c r="C6" s="79" t="str">
        <f>+[2]Formulaire!$F7</f>
        <v>RED WINE</v>
      </c>
      <c r="D6" s="79" t="str">
        <f>+[2]Formulaire!$G7</f>
        <v>BORDEAUX</v>
      </c>
      <c r="E6" s="81">
        <f>+[2]Formulaire!$H7</f>
        <v>13</v>
      </c>
      <c r="F6" s="79" t="str">
        <f>IF(+[2]Formulaire!$I7=0," ",+[2]Formulaire!$I7)</f>
        <v xml:space="preserve"> </v>
      </c>
      <c r="G6" s="81">
        <f>+[2]Formulaire!$N7</f>
        <v>0</v>
      </c>
      <c r="H6" s="79"/>
      <c r="I6" s="80" t="str">
        <f>[2]Formulaire!J7</f>
        <v>CHATEAU TARNAS BELLAIR</v>
      </c>
      <c r="J6" s="80">
        <f>[2]Formulaire!K7</f>
        <v>2017</v>
      </c>
      <c r="K6" s="78"/>
      <c r="M6" s="82">
        <f>+[2]Formulaire!$L7</f>
        <v>1.8</v>
      </c>
      <c r="N6" s="71" t="str">
        <f t="shared" si="0"/>
        <v>750 ml RED WINE 13 % Alc CHATEAU TARNAS BELLAIR 2017   BORDEAUX ttb id 0</v>
      </c>
      <c r="O6" s="2"/>
      <c r="P6" s="76" t="str">
        <f>+[2]Formulaire!$E7</f>
        <v>750 ml</v>
      </c>
    </row>
    <row r="7" spans="1:18" ht="15" customHeight="1">
      <c r="A7" s="77">
        <f>+[2]Formulaire!$D8</f>
        <v>0</v>
      </c>
      <c r="B7" s="78"/>
      <c r="C7" s="79">
        <f>+[2]Formulaire!$F8</f>
        <v>0</v>
      </c>
      <c r="D7" s="79">
        <f>+[2]Formulaire!$G8</f>
        <v>0</v>
      </c>
      <c r="E7" s="81">
        <f>+[2]Formulaire!$H8</f>
        <v>0</v>
      </c>
      <c r="F7" s="79" t="str">
        <f>IF(+[2]Formulaire!$I8=0," ",+[2]Formulaire!$I8)</f>
        <v xml:space="preserve"> </v>
      </c>
      <c r="G7" s="81">
        <f>+[2]Formulaire!$N8</f>
        <v>0</v>
      </c>
      <c r="H7" s="79"/>
      <c r="I7" s="80">
        <f>[2]Formulaire!J8</f>
        <v>0</v>
      </c>
      <c r="J7" s="80">
        <f>[2]Formulaire!K8</f>
        <v>0</v>
      </c>
      <c r="K7" s="78"/>
      <c r="M7" s="82">
        <f>+[2]Formulaire!$L8</f>
        <v>0</v>
      </c>
      <c r="N7" s="71" t="str">
        <f t="shared" si="0"/>
        <v>0 0 0 % Alc 0 0   0 ttb id 0</v>
      </c>
      <c r="O7" s="43"/>
      <c r="P7" s="76">
        <f>+[2]Formulaire!$E8</f>
        <v>0</v>
      </c>
    </row>
    <row r="8" spans="1:18">
      <c r="A8" s="77">
        <f>+[2]Formulaire!$D9</f>
        <v>0</v>
      </c>
      <c r="B8" s="78"/>
      <c r="C8" s="79">
        <f>+[2]Formulaire!$F9</f>
        <v>0</v>
      </c>
      <c r="D8" s="79">
        <f>+[2]Formulaire!$G9</f>
        <v>0</v>
      </c>
      <c r="E8" s="81">
        <f>+[2]Formulaire!$H9</f>
        <v>0</v>
      </c>
      <c r="F8" s="79" t="str">
        <f>IF(+[2]Formulaire!$I9=0," ",+[2]Formulaire!$I9)</f>
        <v xml:space="preserve"> </v>
      </c>
      <c r="G8" s="81"/>
      <c r="H8" s="79"/>
      <c r="I8" s="80">
        <f>[2]Formulaire!J9</f>
        <v>0</v>
      </c>
      <c r="J8" s="80">
        <f>[2]Formulaire!K9</f>
        <v>0</v>
      </c>
      <c r="K8" s="78"/>
      <c r="M8" s="82">
        <f>+[2]Formulaire!$L9</f>
        <v>0</v>
      </c>
      <c r="N8" s="71" t="str">
        <f t="shared" si="0"/>
        <v xml:space="preserve">0 0 0 % Alc 0 0   0 ttb id </v>
      </c>
      <c r="O8" s="2"/>
      <c r="P8" s="76">
        <f>+[2]Formulaire!$E9</f>
        <v>0</v>
      </c>
    </row>
    <row r="9" spans="1:18" ht="15" customHeight="1">
      <c r="A9" s="77">
        <f>+[2]Formulaire!$D10</f>
        <v>0</v>
      </c>
      <c r="B9" s="78"/>
      <c r="C9" s="79">
        <f>+[2]Formulaire!$F10</f>
        <v>0</v>
      </c>
      <c r="D9" s="79">
        <f>+[2]Formulaire!$G10</f>
        <v>0</v>
      </c>
      <c r="E9" s="81">
        <f>+[2]Formulaire!$H10</f>
        <v>0</v>
      </c>
      <c r="F9" s="79" t="str">
        <f>IF(+[2]Formulaire!$I10=0," ",+[2]Formulaire!$I10)</f>
        <v xml:space="preserve"> </v>
      </c>
      <c r="G9" s="81"/>
      <c r="H9" s="79"/>
      <c r="I9" s="80">
        <f>[2]Formulaire!J10</f>
        <v>0</v>
      </c>
      <c r="J9" s="80">
        <f>[2]Formulaire!K10</f>
        <v>0</v>
      </c>
      <c r="K9" s="78"/>
      <c r="M9" s="82">
        <f>+[2]Formulaire!$L10</f>
        <v>0</v>
      </c>
      <c r="N9" s="71" t="str">
        <f t="shared" si="0"/>
        <v xml:space="preserve">0 0 0 % Alc 0 0   0 ttb id </v>
      </c>
      <c r="O9" s="43"/>
      <c r="P9" s="76">
        <f>+[2]Formulaire!$E10</f>
        <v>0</v>
      </c>
    </row>
    <row r="10" spans="1:18">
      <c r="A10" s="77">
        <f>+[2]Formulaire!$D11</f>
        <v>0</v>
      </c>
      <c r="B10" s="78"/>
      <c r="C10" s="79">
        <f>+[2]Formulaire!$F11</f>
        <v>0</v>
      </c>
      <c r="D10" s="79">
        <f>+[2]Formulaire!$G11</f>
        <v>0</v>
      </c>
      <c r="E10" s="81">
        <f>+[2]Formulaire!$H11</f>
        <v>0</v>
      </c>
      <c r="F10" s="79" t="str">
        <f>IF(+[2]Formulaire!$I11=0," ",+[2]Formulaire!$I11)</f>
        <v xml:space="preserve"> </v>
      </c>
      <c r="G10" s="81"/>
      <c r="H10" s="79"/>
      <c r="I10" s="80">
        <f>[2]Formulaire!J11</f>
        <v>0</v>
      </c>
      <c r="J10" s="80">
        <f>[2]Formulaire!K11</f>
        <v>0</v>
      </c>
      <c r="K10" s="78"/>
      <c r="M10" s="82">
        <f>+[2]Formulaire!$L11</f>
        <v>0</v>
      </c>
      <c r="N10" s="71" t="str">
        <f t="shared" si="0"/>
        <v xml:space="preserve">0 0 0 % Alc 0 0   0 ttb id </v>
      </c>
      <c r="O10" s="2"/>
      <c r="P10" s="76">
        <f>+[2]Formulaire!$E11</f>
        <v>0</v>
      </c>
    </row>
    <row r="11" spans="1:18">
      <c r="A11" s="77">
        <f>+[2]Formulaire!$D12</f>
        <v>0</v>
      </c>
      <c r="B11" s="78"/>
      <c r="C11" s="79">
        <f>+[2]Formulaire!$F12</f>
        <v>0</v>
      </c>
      <c r="D11" s="79">
        <f>+[2]Formulaire!$G12</f>
        <v>0</v>
      </c>
      <c r="E11" s="81">
        <f>+[2]Formulaire!$H12</f>
        <v>0</v>
      </c>
      <c r="F11" s="79" t="str">
        <f>IF(+[2]Formulaire!$I12=0," ",+[2]Formulaire!$I12)</f>
        <v xml:space="preserve"> </v>
      </c>
      <c r="G11" s="81"/>
      <c r="H11" s="79"/>
      <c r="I11" s="80">
        <f>[2]Formulaire!J12</f>
        <v>0</v>
      </c>
      <c r="J11" s="80">
        <f>[2]Formulaire!K12</f>
        <v>0</v>
      </c>
      <c r="K11" s="78"/>
      <c r="M11" s="82">
        <f>+[2]Formulaire!$L12</f>
        <v>0</v>
      </c>
      <c r="N11" s="71" t="str">
        <f t="shared" si="0"/>
        <v xml:space="preserve">0 0 0 % Alc 0 0   0 ttb id </v>
      </c>
      <c r="O11" s="2"/>
      <c r="P11" s="76">
        <f>+[2]Formulaire!$E12</f>
        <v>0</v>
      </c>
    </row>
    <row r="12" spans="1:18">
      <c r="A12" s="77">
        <f>+[2]Formulaire!$D13</f>
        <v>0</v>
      </c>
      <c r="B12" s="78"/>
      <c r="C12" s="79">
        <f>+[2]Formulaire!$F13</f>
        <v>0</v>
      </c>
      <c r="D12" s="79">
        <f>+[2]Formulaire!$G13</f>
        <v>0</v>
      </c>
      <c r="E12" s="81">
        <f>+[2]Formulaire!$H13</f>
        <v>0</v>
      </c>
      <c r="F12" s="79" t="str">
        <f>IF(+[2]Formulaire!$I13=0," ",+[2]Formulaire!$I13)</f>
        <v xml:space="preserve"> </v>
      </c>
      <c r="G12" s="81"/>
      <c r="H12" s="79"/>
      <c r="I12" s="80">
        <f>[2]Formulaire!J13</f>
        <v>0</v>
      </c>
      <c r="J12" s="80">
        <f>[2]Formulaire!K13</f>
        <v>0</v>
      </c>
      <c r="K12" s="78"/>
      <c r="M12" s="82">
        <f>+[2]Formulaire!$L13</f>
        <v>0</v>
      </c>
      <c r="N12" s="71" t="str">
        <f t="shared" si="0"/>
        <v xml:space="preserve">0 0 0 % Alc 0 0   0 ttb id </v>
      </c>
      <c r="O12" s="2"/>
      <c r="P12" s="76">
        <f>+[2]Formulaire!$E13</f>
        <v>0</v>
      </c>
    </row>
    <row r="13" spans="1:18">
      <c r="A13" s="77">
        <f>+[2]Formulaire!$D14</f>
        <v>0</v>
      </c>
      <c r="B13" s="78"/>
      <c r="C13" s="79">
        <f>+[2]Formulaire!$F14</f>
        <v>0</v>
      </c>
      <c r="D13" s="79">
        <f>+[2]Formulaire!$G14</f>
        <v>0</v>
      </c>
      <c r="E13" s="81">
        <f>+[2]Formulaire!$H14</f>
        <v>0</v>
      </c>
      <c r="F13" s="79" t="str">
        <f>IF(+[2]Formulaire!$I14=0," ",+[2]Formulaire!$I14)</f>
        <v xml:space="preserve"> </v>
      </c>
      <c r="G13" s="81"/>
      <c r="H13" s="79"/>
      <c r="I13" s="80">
        <f>[2]Formulaire!J14</f>
        <v>0</v>
      </c>
      <c r="J13" s="80">
        <f>[2]Formulaire!K14</f>
        <v>0</v>
      </c>
      <c r="K13" s="78"/>
      <c r="M13" s="82">
        <f>+[2]Formulaire!$L14</f>
        <v>0</v>
      </c>
      <c r="N13" s="71" t="str">
        <f t="shared" si="0"/>
        <v xml:space="preserve">0 0 0 % Alc 0 0   0 ttb id </v>
      </c>
      <c r="P13" s="76">
        <f>+[2]Formulaire!$E14</f>
        <v>0</v>
      </c>
    </row>
    <row r="14" spans="1:18">
      <c r="A14" s="77">
        <f>+[2]Formulaire!$D15</f>
        <v>0</v>
      </c>
      <c r="B14" s="78"/>
      <c r="C14" s="79">
        <f>+[2]Formulaire!$F15</f>
        <v>0</v>
      </c>
      <c r="D14" s="79">
        <f>+[2]Formulaire!$G15</f>
        <v>0</v>
      </c>
      <c r="E14" s="81">
        <f>+[2]Formulaire!$H15</f>
        <v>0</v>
      </c>
      <c r="F14" s="79" t="str">
        <f>IF(+[2]Formulaire!$I15=0," ",+[2]Formulaire!$I15)</f>
        <v xml:space="preserve"> </v>
      </c>
      <c r="G14" s="81"/>
      <c r="H14" s="79"/>
      <c r="I14" s="80">
        <f>[2]Formulaire!J15</f>
        <v>0</v>
      </c>
      <c r="J14" s="80">
        <f>[2]Formulaire!K15</f>
        <v>0</v>
      </c>
      <c r="K14" s="78"/>
      <c r="M14" s="82">
        <f>+[2]Formulaire!$L15</f>
        <v>0</v>
      </c>
      <c r="N14" s="71" t="str">
        <f t="shared" si="0"/>
        <v xml:space="preserve">0 0 0 % Alc 0 0   0 ttb id </v>
      </c>
      <c r="P14" s="76">
        <f>+[2]Formulaire!$E15</f>
        <v>0</v>
      </c>
    </row>
    <row r="15" spans="1:18">
      <c r="A15" s="77">
        <f>+[2]Formulaire!$D16</f>
        <v>0</v>
      </c>
      <c r="B15" s="78"/>
      <c r="C15" s="79">
        <f>+[2]Formulaire!$F16</f>
        <v>0</v>
      </c>
      <c r="D15" s="79">
        <f>+[2]Formulaire!$G16</f>
        <v>0</v>
      </c>
      <c r="E15" s="81">
        <f>+[2]Formulaire!$H16</f>
        <v>0</v>
      </c>
      <c r="F15" s="79" t="str">
        <f>IF(+[2]Formulaire!$I16=0," ",+[2]Formulaire!$I16)</f>
        <v xml:space="preserve"> </v>
      </c>
      <c r="G15" s="81"/>
      <c r="H15" s="79"/>
      <c r="I15" s="80">
        <f>[2]Formulaire!J16</f>
        <v>0</v>
      </c>
      <c r="J15" s="80">
        <f>[2]Formulaire!K16</f>
        <v>0</v>
      </c>
      <c r="K15" s="78"/>
      <c r="M15" s="82">
        <f>+[2]Formulaire!$L16</f>
        <v>0</v>
      </c>
      <c r="N15" s="71" t="str">
        <f t="shared" si="0"/>
        <v xml:space="preserve">0 0 0 % Alc 0 0   0 ttb id </v>
      </c>
      <c r="P15" s="76">
        <f>+[2]Formulaire!$E16</f>
        <v>0</v>
      </c>
    </row>
    <row r="16" spans="1:18">
      <c r="A16" s="77">
        <f>+[2]Formulaire!$D17</f>
        <v>0</v>
      </c>
      <c r="B16" s="78"/>
      <c r="C16" s="79">
        <f>+[2]Formulaire!$F17</f>
        <v>0</v>
      </c>
      <c r="D16" s="79">
        <f>+[2]Formulaire!$G17</f>
        <v>0</v>
      </c>
      <c r="E16" s="81">
        <f>+[2]Formulaire!$H17</f>
        <v>0</v>
      </c>
      <c r="F16" s="79" t="str">
        <f>IF(+[2]Formulaire!$I17=0," ",+[2]Formulaire!$I17)</f>
        <v xml:space="preserve"> </v>
      </c>
      <c r="G16" s="81"/>
      <c r="H16" s="79"/>
      <c r="I16" s="80">
        <f>[2]Formulaire!J17</f>
        <v>0</v>
      </c>
      <c r="J16" s="80">
        <f>[2]Formulaire!K17</f>
        <v>0</v>
      </c>
      <c r="K16" s="78"/>
      <c r="M16" s="82">
        <f>+[2]Formulaire!$L17</f>
        <v>0</v>
      </c>
      <c r="N16" s="71" t="str">
        <f t="shared" si="0"/>
        <v xml:space="preserve">0 0 0 % Alc 0 0   0 ttb id </v>
      </c>
      <c r="P16" s="76">
        <f>+[2]Formulaire!$E17</f>
        <v>0</v>
      </c>
    </row>
    <row r="17" spans="1:16">
      <c r="A17" s="77">
        <f>+[2]Formulaire!$D18</f>
        <v>0</v>
      </c>
      <c r="B17" s="78"/>
      <c r="C17" s="79">
        <f>+[2]Formulaire!$F18</f>
        <v>0</v>
      </c>
      <c r="D17" s="79">
        <f>+[2]Formulaire!$G18</f>
        <v>0</v>
      </c>
      <c r="E17" s="81">
        <f>+[2]Formulaire!$H18</f>
        <v>0</v>
      </c>
      <c r="F17" s="79" t="str">
        <f>IF(+[2]Formulaire!$I18=0," ",+[2]Formulaire!$I18)</f>
        <v xml:space="preserve"> </v>
      </c>
      <c r="G17" s="81"/>
      <c r="H17" s="79"/>
      <c r="I17" s="80">
        <f>[2]Formulaire!J18</f>
        <v>0</v>
      </c>
      <c r="J17" s="80">
        <f>[2]Formulaire!K18</f>
        <v>0</v>
      </c>
      <c r="K17" s="78"/>
      <c r="M17" s="82">
        <f>+[2]Formulaire!$L18</f>
        <v>0</v>
      </c>
      <c r="N17" s="71" t="str">
        <f t="shared" si="0"/>
        <v xml:space="preserve">0 0 0 % Alc 0 0   0 ttb id </v>
      </c>
      <c r="P17" s="76">
        <f>+[2]Formulaire!$E18</f>
        <v>0</v>
      </c>
    </row>
    <row r="18" spans="1:16">
      <c r="A18" s="77">
        <f>+[2]Formulaire!$D19</f>
        <v>0</v>
      </c>
      <c r="B18" s="78"/>
      <c r="C18" s="79">
        <f>+[2]Formulaire!$F19</f>
        <v>0</v>
      </c>
      <c r="D18" s="79">
        <f>+[2]Formulaire!$G19</f>
        <v>0</v>
      </c>
      <c r="E18" s="81">
        <f>+[2]Formulaire!$H19</f>
        <v>0</v>
      </c>
      <c r="F18" s="79" t="str">
        <f>IF(+[2]Formulaire!$I19=0," ",+[2]Formulaire!$I19)</f>
        <v xml:space="preserve"> </v>
      </c>
      <c r="G18" s="81"/>
      <c r="H18" s="79"/>
      <c r="I18" s="80">
        <f>[2]Formulaire!J19</f>
        <v>0</v>
      </c>
      <c r="J18" s="80">
        <f>[2]Formulaire!K19</f>
        <v>0</v>
      </c>
      <c r="K18" s="78"/>
      <c r="M18" s="82">
        <f>+[2]Formulaire!$L19</f>
        <v>0</v>
      </c>
      <c r="N18" s="71" t="str">
        <f t="shared" si="0"/>
        <v xml:space="preserve">0 0 0 % Alc 0 0   0 ttb id </v>
      </c>
      <c r="P18" s="76">
        <f>+[2]Formulaire!$E19</f>
        <v>0</v>
      </c>
    </row>
    <row r="19" spans="1:16">
      <c r="A19" s="77">
        <f>+[2]Formulaire!$D20</f>
        <v>0</v>
      </c>
      <c r="B19" s="78"/>
      <c r="C19" s="79">
        <f>+[2]Formulaire!$F20</f>
        <v>0</v>
      </c>
      <c r="D19" s="79">
        <f>+[2]Formulaire!$G20</f>
        <v>0</v>
      </c>
      <c r="E19" s="81">
        <f>+[2]Formulaire!$H20</f>
        <v>0</v>
      </c>
      <c r="F19" s="79" t="str">
        <f>IF(+[2]Formulaire!$I20=0," ",+[2]Formulaire!$I20)</f>
        <v xml:space="preserve"> </v>
      </c>
      <c r="G19" s="81"/>
      <c r="H19" s="79"/>
      <c r="I19" s="80">
        <f>[2]Formulaire!J20</f>
        <v>0</v>
      </c>
      <c r="J19" s="80">
        <f>[2]Formulaire!K20</f>
        <v>0</v>
      </c>
      <c r="K19" s="78"/>
      <c r="M19" s="82">
        <f>+[2]Formulaire!$L20</f>
        <v>0</v>
      </c>
      <c r="N19" s="71" t="str">
        <f t="shared" si="0"/>
        <v xml:space="preserve">0 0 0 % Alc 0 0   0 ttb id </v>
      </c>
      <c r="O19" s="2"/>
      <c r="P19" s="76">
        <f>+[2]Formulaire!$E20</f>
        <v>0</v>
      </c>
    </row>
    <row r="20" spans="1:16">
      <c r="N20" s="71" t="str">
        <f t="shared" si="0"/>
        <v xml:space="preserve">0   % Alc     ttb id </v>
      </c>
      <c r="P20" s="76">
        <f>+[2]Formulaire!$E21</f>
        <v>0</v>
      </c>
    </row>
    <row r="21" spans="1:16">
      <c r="N21" s="71" t="str">
        <f t="shared" si="0"/>
        <v xml:space="preserve">0   % Alc     ttb id </v>
      </c>
      <c r="P21" s="76">
        <f>+[2]Formulaire!$E22</f>
        <v>0</v>
      </c>
    </row>
    <row r="22" spans="1:16">
      <c r="N22" s="71" t="str">
        <f t="shared" si="0"/>
        <v xml:space="preserve">   % Alc     ttb id </v>
      </c>
    </row>
  </sheetData>
  <autoFilter ref="A1:P1" xr:uid="{EFDBF6F0-A89E-4249-9A68-310FB8C5B1D0}">
    <sortState xmlns:xlrd2="http://schemas.microsoft.com/office/spreadsheetml/2017/richdata2" ref="A2:P27">
      <sortCondition ref="A1"/>
    </sortState>
  </autoFilter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showRuler="0" workbookViewId="0">
      <selection activeCell="B2" sqref="B2"/>
    </sheetView>
  </sheetViews>
  <sheetFormatPr baseColWidth="10" defaultColWidth="10.83203125" defaultRowHeight="14.5"/>
  <cols>
    <col min="1" max="1" width="37.33203125" style="33" customWidth="1"/>
    <col min="2" max="8" width="10.83203125" style="33"/>
    <col min="9" max="9" width="0.83203125" style="33" customWidth="1"/>
    <col min="10" max="10" width="10.83203125" style="33"/>
    <col min="11" max="11" width="1.08203125" style="33" customWidth="1"/>
    <col min="12" max="14" width="10.83203125" style="33"/>
    <col min="15" max="16" width="0.58203125" style="33" customWidth="1"/>
    <col min="17" max="17" width="8.83203125" style="33" customWidth="1"/>
    <col min="18" max="16384" width="10.83203125" style="33"/>
  </cols>
  <sheetData>
    <row r="1" spans="1:17">
      <c r="A1" s="38" t="s">
        <v>96</v>
      </c>
      <c r="B1" s="41">
        <v>44258</v>
      </c>
    </row>
    <row r="2" spans="1:17" ht="15" customHeight="1">
      <c r="A2" s="39" t="s">
        <v>97</v>
      </c>
      <c r="B2" s="35"/>
    </row>
    <row r="3" spans="1:17">
      <c r="A3" s="39" t="s">
        <v>98</v>
      </c>
      <c r="B3" s="34" t="s">
        <v>209</v>
      </c>
    </row>
    <row r="4" spans="1:17">
      <c r="A4" s="39" t="s">
        <v>99</v>
      </c>
      <c r="B4" s="44" t="s">
        <v>101</v>
      </c>
    </row>
    <row r="5" spans="1:17" ht="15" thickBot="1">
      <c r="A5" s="40" t="s">
        <v>100</v>
      </c>
      <c r="B5" s="37"/>
      <c r="H5" s="53" t="s">
        <v>206</v>
      </c>
    </row>
    <row r="7" spans="1:17" ht="28.5" customHeight="1">
      <c r="H7" s="111" t="s">
        <v>202</v>
      </c>
      <c r="I7" s="112"/>
      <c r="J7" s="112"/>
      <c r="K7" s="112"/>
      <c r="L7" s="113" t="s">
        <v>203</v>
      </c>
      <c r="M7" s="113"/>
      <c r="N7" s="113"/>
      <c r="O7" s="113"/>
      <c r="P7" s="113"/>
      <c r="Q7" s="114"/>
    </row>
    <row r="8" spans="1:17" ht="21" customHeight="1">
      <c r="H8" s="45" t="s">
        <v>103</v>
      </c>
      <c r="I8" s="106" t="s">
        <v>104</v>
      </c>
      <c r="J8" s="107"/>
      <c r="K8" s="108" t="s">
        <v>105</v>
      </c>
      <c r="L8" s="109"/>
      <c r="M8" s="46" t="s">
        <v>106</v>
      </c>
      <c r="N8" s="47" t="s">
        <v>107</v>
      </c>
      <c r="O8" s="106" t="s">
        <v>108</v>
      </c>
      <c r="P8" s="110"/>
      <c r="Q8" s="107"/>
    </row>
    <row r="9" spans="1:17" ht="15" customHeight="1">
      <c r="H9" s="48">
        <v>1</v>
      </c>
      <c r="I9" s="98" t="s">
        <v>109</v>
      </c>
      <c r="J9" s="99"/>
      <c r="K9" s="100" t="s">
        <v>110</v>
      </c>
      <c r="L9" s="101"/>
      <c r="M9" s="49" t="s">
        <v>111</v>
      </c>
      <c r="N9" s="49" t="s">
        <v>112</v>
      </c>
      <c r="O9" s="103"/>
      <c r="P9" s="104"/>
      <c r="Q9" s="105"/>
    </row>
    <row r="10" spans="1:17" ht="15" customHeight="1">
      <c r="H10" s="48">
        <v>2</v>
      </c>
      <c r="I10" s="98" t="s">
        <v>113</v>
      </c>
      <c r="J10" s="99"/>
      <c r="K10" s="100" t="s">
        <v>114</v>
      </c>
      <c r="L10" s="101"/>
      <c r="M10" s="49" t="s">
        <v>112</v>
      </c>
      <c r="N10" s="49" t="s">
        <v>115</v>
      </c>
      <c r="O10" s="103"/>
      <c r="P10" s="104"/>
      <c r="Q10" s="105"/>
    </row>
    <row r="11" spans="1:17" ht="15" customHeight="1">
      <c r="H11" s="48">
        <v>3</v>
      </c>
      <c r="I11" s="98" t="s">
        <v>116</v>
      </c>
      <c r="J11" s="99"/>
      <c r="K11" s="100" t="s">
        <v>117</v>
      </c>
      <c r="L11" s="101"/>
      <c r="M11" s="49" t="s">
        <v>118</v>
      </c>
      <c r="N11" s="49" t="s">
        <v>119</v>
      </c>
      <c r="O11" s="103"/>
      <c r="P11" s="104"/>
      <c r="Q11" s="105"/>
    </row>
    <row r="12" spans="1:17" ht="15" customHeight="1">
      <c r="H12" s="48">
        <v>4</v>
      </c>
      <c r="I12" s="98" t="s">
        <v>120</v>
      </c>
      <c r="J12" s="99"/>
      <c r="K12" s="100" t="s">
        <v>121</v>
      </c>
      <c r="L12" s="101"/>
      <c r="M12" s="49" t="s">
        <v>122</v>
      </c>
      <c r="N12" s="49" t="s">
        <v>123</v>
      </c>
      <c r="O12" s="103"/>
      <c r="P12" s="104"/>
      <c r="Q12" s="105"/>
    </row>
    <row r="13" spans="1:17" ht="15" customHeight="1">
      <c r="H13" s="48">
        <v>5</v>
      </c>
      <c r="I13" s="98" t="s">
        <v>124</v>
      </c>
      <c r="J13" s="99"/>
      <c r="K13" s="100" t="s">
        <v>118</v>
      </c>
      <c r="L13" s="101"/>
      <c r="M13" s="49" t="s">
        <v>125</v>
      </c>
      <c r="N13" s="49" t="s">
        <v>126</v>
      </c>
      <c r="O13" s="103"/>
      <c r="P13" s="104"/>
      <c r="Q13" s="105"/>
    </row>
    <row r="14" spans="1:17" ht="15" customHeight="1">
      <c r="H14" s="48">
        <v>6</v>
      </c>
      <c r="I14" s="98" t="s">
        <v>127</v>
      </c>
      <c r="J14" s="99"/>
      <c r="K14" s="100" t="s">
        <v>128</v>
      </c>
      <c r="L14" s="101"/>
      <c r="M14" s="49" t="s">
        <v>129</v>
      </c>
      <c r="N14" s="49" t="s">
        <v>130</v>
      </c>
      <c r="O14" s="100" t="s">
        <v>131</v>
      </c>
      <c r="P14" s="102"/>
      <c r="Q14" s="101"/>
    </row>
    <row r="15" spans="1:17" ht="15" customHeight="1">
      <c r="H15" s="48">
        <v>8</v>
      </c>
      <c r="I15" s="98" t="s">
        <v>132</v>
      </c>
      <c r="J15" s="99"/>
      <c r="K15" s="100" t="s">
        <v>133</v>
      </c>
      <c r="L15" s="101"/>
      <c r="M15" s="49" t="s">
        <v>134</v>
      </c>
      <c r="N15" s="49" t="s">
        <v>135</v>
      </c>
      <c r="O15" s="103"/>
      <c r="P15" s="104"/>
      <c r="Q15" s="105"/>
    </row>
    <row r="16" spans="1:17" ht="15" customHeight="1">
      <c r="H16" s="48">
        <v>10</v>
      </c>
      <c r="I16" s="98" t="s">
        <v>136</v>
      </c>
      <c r="J16" s="99"/>
      <c r="K16" s="100" t="s">
        <v>137</v>
      </c>
      <c r="L16" s="101"/>
      <c r="M16" s="49" t="s">
        <v>138</v>
      </c>
      <c r="N16" s="49" t="s">
        <v>139</v>
      </c>
      <c r="O16" s="103"/>
      <c r="P16" s="104"/>
      <c r="Q16" s="105"/>
    </row>
    <row r="17" spans="8:17" ht="15" customHeight="1">
      <c r="H17" s="48">
        <v>12</v>
      </c>
      <c r="I17" s="98" t="s">
        <v>110</v>
      </c>
      <c r="J17" s="99"/>
      <c r="K17" s="100" t="s">
        <v>140</v>
      </c>
      <c r="L17" s="101"/>
      <c r="M17" s="49" t="s">
        <v>141</v>
      </c>
      <c r="N17" s="49" t="s">
        <v>142</v>
      </c>
      <c r="O17" s="100" t="s">
        <v>143</v>
      </c>
      <c r="P17" s="102"/>
      <c r="Q17" s="101"/>
    </row>
    <row r="18" spans="8:17" ht="15" customHeight="1">
      <c r="H18" s="48">
        <v>18</v>
      </c>
      <c r="I18" s="98" t="s">
        <v>114</v>
      </c>
      <c r="J18" s="99"/>
      <c r="K18" s="100" t="s">
        <v>144</v>
      </c>
      <c r="L18" s="101"/>
      <c r="M18" s="49" t="s">
        <v>145</v>
      </c>
      <c r="N18" s="49" t="s">
        <v>146</v>
      </c>
      <c r="O18" s="100" t="s">
        <v>147</v>
      </c>
      <c r="P18" s="102"/>
      <c r="Q18" s="101"/>
    </row>
    <row r="19" spans="8:17" ht="15" customHeight="1">
      <c r="H19" s="48">
        <v>24</v>
      </c>
      <c r="I19" s="98" t="s">
        <v>148</v>
      </c>
      <c r="J19" s="99"/>
      <c r="K19" s="100" t="s">
        <v>149</v>
      </c>
      <c r="L19" s="101"/>
      <c r="M19" s="49" t="s">
        <v>150</v>
      </c>
      <c r="N19" s="49" t="s">
        <v>151</v>
      </c>
      <c r="O19" s="100" t="s">
        <v>152</v>
      </c>
      <c r="P19" s="102"/>
      <c r="Q19" s="101"/>
    </row>
    <row r="20" spans="8:17" ht="15" customHeight="1">
      <c r="H20" s="48">
        <v>36</v>
      </c>
      <c r="I20" s="98" t="s">
        <v>153</v>
      </c>
      <c r="J20" s="99"/>
      <c r="K20" s="100" t="s">
        <v>154</v>
      </c>
      <c r="L20" s="101"/>
      <c r="M20" s="49" t="s">
        <v>155</v>
      </c>
      <c r="N20" s="49" t="s">
        <v>156</v>
      </c>
      <c r="O20" s="100" t="s">
        <v>157</v>
      </c>
      <c r="P20" s="102"/>
      <c r="Q20" s="101"/>
    </row>
    <row r="21" spans="8:17" ht="15" customHeight="1">
      <c r="H21" s="48">
        <v>42</v>
      </c>
      <c r="I21" s="98" t="s">
        <v>158</v>
      </c>
      <c r="J21" s="99"/>
      <c r="K21" s="100" t="s">
        <v>159</v>
      </c>
      <c r="L21" s="101"/>
      <c r="M21" s="49" t="s">
        <v>160</v>
      </c>
      <c r="N21" s="49" t="s">
        <v>161</v>
      </c>
      <c r="O21" s="100" t="s">
        <v>162</v>
      </c>
      <c r="P21" s="102"/>
      <c r="Q21" s="101"/>
    </row>
    <row r="22" spans="8:17">
      <c r="H22" s="50"/>
      <c r="I22" s="51"/>
      <c r="J22" s="51"/>
      <c r="K22" s="52"/>
      <c r="L22" s="52"/>
      <c r="M22" s="52"/>
      <c r="N22" s="52"/>
      <c r="O22" s="52"/>
      <c r="P22" s="52"/>
      <c r="Q22" s="52"/>
    </row>
    <row r="23" spans="8:17" ht="28.5" customHeight="1">
      <c r="H23" s="111" t="s">
        <v>204</v>
      </c>
      <c r="I23" s="112"/>
      <c r="J23" s="112"/>
      <c r="K23" s="112"/>
      <c r="L23" s="113" t="s">
        <v>205</v>
      </c>
      <c r="M23" s="113"/>
      <c r="N23" s="113"/>
      <c r="O23" s="113"/>
      <c r="P23" s="113"/>
      <c r="Q23" s="114"/>
    </row>
    <row r="24" spans="8:17" ht="21" customHeight="1">
      <c r="H24" s="45" t="s">
        <v>103</v>
      </c>
      <c r="I24" s="106" t="s">
        <v>104</v>
      </c>
      <c r="J24" s="107"/>
      <c r="K24" s="108" t="s">
        <v>105</v>
      </c>
      <c r="L24" s="109"/>
      <c r="M24" s="46" t="s">
        <v>106</v>
      </c>
      <c r="N24" s="47" t="s">
        <v>107</v>
      </c>
      <c r="O24" s="106" t="s">
        <v>108</v>
      </c>
      <c r="P24" s="110"/>
      <c r="Q24" s="107"/>
    </row>
    <row r="25" spans="8:17" ht="15" customHeight="1">
      <c r="H25" s="48">
        <v>1</v>
      </c>
      <c r="I25" s="98" t="s">
        <v>163</v>
      </c>
      <c r="J25" s="99"/>
      <c r="K25" s="100" t="s">
        <v>110</v>
      </c>
      <c r="L25" s="101"/>
      <c r="M25" s="49" t="s">
        <v>164</v>
      </c>
      <c r="N25" s="49" t="s">
        <v>122</v>
      </c>
      <c r="O25" s="103"/>
      <c r="P25" s="104"/>
      <c r="Q25" s="105"/>
    </row>
    <row r="26" spans="8:17" ht="15" customHeight="1">
      <c r="H26" s="48">
        <v>2</v>
      </c>
      <c r="I26" s="98" t="s">
        <v>116</v>
      </c>
      <c r="J26" s="99"/>
      <c r="K26" s="100" t="s">
        <v>114</v>
      </c>
      <c r="L26" s="101"/>
      <c r="M26" s="49" t="s">
        <v>165</v>
      </c>
      <c r="N26" s="49" t="s">
        <v>166</v>
      </c>
      <c r="O26" s="103"/>
      <c r="P26" s="104"/>
      <c r="Q26" s="105"/>
    </row>
    <row r="27" spans="8:17" ht="15" customHeight="1">
      <c r="H27" s="48">
        <v>3</v>
      </c>
      <c r="I27" s="98" t="s">
        <v>124</v>
      </c>
      <c r="J27" s="99"/>
      <c r="K27" s="100" t="s">
        <v>167</v>
      </c>
      <c r="L27" s="101"/>
      <c r="M27" s="49" t="s">
        <v>168</v>
      </c>
      <c r="N27" s="49" t="s">
        <v>169</v>
      </c>
      <c r="O27" s="103"/>
      <c r="P27" s="104"/>
      <c r="Q27" s="105"/>
    </row>
    <row r="28" spans="8:17" ht="15" customHeight="1">
      <c r="H28" s="48">
        <v>4</v>
      </c>
      <c r="I28" s="98" t="s">
        <v>127</v>
      </c>
      <c r="J28" s="99"/>
      <c r="K28" s="100" t="s">
        <v>168</v>
      </c>
      <c r="L28" s="101"/>
      <c r="M28" s="49" t="s">
        <v>170</v>
      </c>
      <c r="N28" s="49" t="s">
        <v>171</v>
      </c>
      <c r="O28" s="103"/>
      <c r="P28" s="104"/>
      <c r="Q28" s="105"/>
    </row>
    <row r="29" spans="8:17" ht="15" customHeight="1">
      <c r="H29" s="48">
        <v>5</v>
      </c>
      <c r="I29" s="98" t="s">
        <v>172</v>
      </c>
      <c r="J29" s="99"/>
      <c r="K29" s="100" t="s">
        <v>129</v>
      </c>
      <c r="L29" s="101"/>
      <c r="M29" s="49" t="s">
        <v>119</v>
      </c>
      <c r="N29" s="49" t="s">
        <v>173</v>
      </c>
      <c r="O29" s="103"/>
      <c r="P29" s="104"/>
      <c r="Q29" s="105"/>
    </row>
    <row r="30" spans="8:17" ht="15" customHeight="1">
      <c r="H30" s="48">
        <v>6</v>
      </c>
      <c r="I30" s="98" t="s">
        <v>174</v>
      </c>
      <c r="J30" s="99"/>
      <c r="K30" s="100" t="s">
        <v>175</v>
      </c>
      <c r="L30" s="101"/>
      <c r="M30" s="49" t="s">
        <v>140</v>
      </c>
      <c r="N30" s="49" t="s">
        <v>176</v>
      </c>
      <c r="O30" s="100" t="s">
        <v>123</v>
      </c>
      <c r="P30" s="102"/>
      <c r="Q30" s="101"/>
    </row>
    <row r="31" spans="8:17" ht="15" customHeight="1">
      <c r="H31" s="48">
        <v>8</v>
      </c>
      <c r="I31" s="98" t="s">
        <v>177</v>
      </c>
      <c r="J31" s="99"/>
      <c r="K31" s="100" t="s">
        <v>178</v>
      </c>
      <c r="L31" s="101"/>
      <c r="M31" s="49" t="s">
        <v>138</v>
      </c>
      <c r="N31" s="49" t="s">
        <v>179</v>
      </c>
      <c r="O31" s="103"/>
      <c r="P31" s="104"/>
      <c r="Q31" s="105"/>
    </row>
    <row r="32" spans="8:17">
      <c r="H32" s="48">
        <v>10</v>
      </c>
      <c r="I32" s="98" t="s">
        <v>148</v>
      </c>
      <c r="J32" s="99"/>
      <c r="K32" s="100" t="s">
        <v>180</v>
      </c>
      <c r="L32" s="101"/>
      <c r="M32" s="49" t="s">
        <v>181</v>
      </c>
      <c r="N32" s="49" t="s">
        <v>182</v>
      </c>
      <c r="O32" s="103"/>
      <c r="P32" s="104"/>
      <c r="Q32" s="105"/>
    </row>
    <row r="33" spans="8:17">
      <c r="H33" s="48">
        <v>12</v>
      </c>
      <c r="I33" s="98" t="s">
        <v>165</v>
      </c>
      <c r="J33" s="99"/>
      <c r="K33" s="100" t="s">
        <v>183</v>
      </c>
      <c r="L33" s="101"/>
      <c r="M33" s="49" t="s">
        <v>184</v>
      </c>
      <c r="N33" s="49" t="s">
        <v>185</v>
      </c>
      <c r="O33" s="100" t="s">
        <v>186</v>
      </c>
      <c r="P33" s="102"/>
      <c r="Q33" s="101"/>
    </row>
    <row r="34" spans="8:17">
      <c r="H34" s="48">
        <v>18</v>
      </c>
      <c r="I34" s="98" t="s">
        <v>128</v>
      </c>
      <c r="J34" s="99"/>
      <c r="K34" s="100" t="s">
        <v>187</v>
      </c>
      <c r="L34" s="101"/>
      <c r="M34" s="49" t="s">
        <v>186</v>
      </c>
      <c r="N34" s="49" t="s">
        <v>188</v>
      </c>
      <c r="O34" s="100" t="s">
        <v>189</v>
      </c>
      <c r="P34" s="102"/>
      <c r="Q34" s="101"/>
    </row>
    <row r="35" spans="8:17">
      <c r="H35" s="48">
        <v>24</v>
      </c>
      <c r="I35" s="98" t="s">
        <v>167</v>
      </c>
      <c r="J35" s="99"/>
      <c r="K35" s="100" t="s">
        <v>190</v>
      </c>
      <c r="L35" s="101"/>
      <c r="M35" s="49" t="s">
        <v>191</v>
      </c>
      <c r="N35" s="49" t="s">
        <v>192</v>
      </c>
      <c r="O35" s="100" t="s">
        <v>193</v>
      </c>
      <c r="P35" s="102"/>
      <c r="Q35" s="101"/>
    </row>
    <row r="36" spans="8:17">
      <c r="H36" s="48">
        <v>30</v>
      </c>
      <c r="I36" s="98" t="s">
        <v>168</v>
      </c>
      <c r="J36" s="99"/>
      <c r="K36" s="100" t="s">
        <v>194</v>
      </c>
      <c r="L36" s="101"/>
      <c r="M36" s="49" t="s">
        <v>195</v>
      </c>
      <c r="N36" s="49" t="s">
        <v>196</v>
      </c>
      <c r="O36" s="100" t="s">
        <v>197</v>
      </c>
      <c r="P36" s="102"/>
      <c r="Q36" s="101"/>
    </row>
    <row r="37" spans="8:17">
      <c r="H37" s="48">
        <v>36</v>
      </c>
      <c r="I37" s="98" t="s">
        <v>170</v>
      </c>
      <c r="J37" s="99"/>
      <c r="K37" s="100" t="s">
        <v>198</v>
      </c>
      <c r="L37" s="101"/>
      <c r="M37" s="49" t="s">
        <v>199</v>
      </c>
      <c r="N37" s="49" t="s">
        <v>200</v>
      </c>
      <c r="O37" s="100" t="s">
        <v>201</v>
      </c>
      <c r="P37" s="102"/>
      <c r="Q37" s="101"/>
    </row>
  </sheetData>
  <mergeCells count="88">
    <mergeCell ref="I8:J8"/>
    <mergeCell ref="K8:L8"/>
    <mergeCell ref="O8:Q8"/>
    <mergeCell ref="H7:K7"/>
    <mergeCell ref="L7:Q7"/>
    <mergeCell ref="I9:J9"/>
    <mergeCell ref="K9:L9"/>
    <mergeCell ref="O9:Q9"/>
    <mergeCell ref="I10:J10"/>
    <mergeCell ref="K10:L10"/>
    <mergeCell ref="O10:Q10"/>
    <mergeCell ref="I11:J11"/>
    <mergeCell ref="K11:L11"/>
    <mergeCell ref="O11:Q11"/>
    <mergeCell ref="I12:J12"/>
    <mergeCell ref="K12:L12"/>
    <mergeCell ref="O12:Q12"/>
    <mergeCell ref="I13:J13"/>
    <mergeCell ref="K13:L13"/>
    <mergeCell ref="O13:Q13"/>
    <mergeCell ref="I14:J14"/>
    <mergeCell ref="K14:L14"/>
    <mergeCell ref="O14:Q14"/>
    <mergeCell ref="I15:J15"/>
    <mergeCell ref="K15:L15"/>
    <mergeCell ref="O15:Q15"/>
    <mergeCell ref="I16:J16"/>
    <mergeCell ref="K16:L16"/>
    <mergeCell ref="O16:Q16"/>
    <mergeCell ref="I21:J21"/>
    <mergeCell ref="K21:L21"/>
    <mergeCell ref="O21:Q21"/>
    <mergeCell ref="I19:J19"/>
    <mergeCell ref="K19:L19"/>
    <mergeCell ref="O19:Q19"/>
    <mergeCell ref="I20:J20"/>
    <mergeCell ref="K20:L20"/>
    <mergeCell ref="O20:Q20"/>
    <mergeCell ref="I24:J24"/>
    <mergeCell ref="K24:L24"/>
    <mergeCell ref="O24:Q24"/>
    <mergeCell ref="H23:K23"/>
    <mergeCell ref="L23:Q23"/>
    <mergeCell ref="I25:J25"/>
    <mergeCell ref="K25:L25"/>
    <mergeCell ref="O25:Q25"/>
    <mergeCell ref="I26:J26"/>
    <mergeCell ref="K26:L26"/>
    <mergeCell ref="O26:Q26"/>
    <mergeCell ref="I27:J27"/>
    <mergeCell ref="K27:L27"/>
    <mergeCell ref="O27:Q27"/>
    <mergeCell ref="I28:J28"/>
    <mergeCell ref="K28:L28"/>
    <mergeCell ref="O28:Q28"/>
    <mergeCell ref="I29:J29"/>
    <mergeCell ref="K29:L29"/>
    <mergeCell ref="O29:Q29"/>
    <mergeCell ref="I30:J30"/>
    <mergeCell ref="K30:L30"/>
    <mergeCell ref="O30:Q30"/>
    <mergeCell ref="I31:J31"/>
    <mergeCell ref="K31:L31"/>
    <mergeCell ref="O31:Q31"/>
    <mergeCell ref="I32:J32"/>
    <mergeCell ref="K32:L32"/>
    <mergeCell ref="O32:Q32"/>
    <mergeCell ref="I17:J17"/>
    <mergeCell ref="K17:L17"/>
    <mergeCell ref="O17:Q17"/>
    <mergeCell ref="I18:J18"/>
    <mergeCell ref="K18:L18"/>
    <mergeCell ref="O18:Q18"/>
    <mergeCell ref="I33:J33"/>
    <mergeCell ref="K33:L33"/>
    <mergeCell ref="O33:Q33"/>
    <mergeCell ref="I34:J34"/>
    <mergeCell ref="K34:L34"/>
    <mergeCell ref="O34:Q34"/>
    <mergeCell ref="I37:J37"/>
    <mergeCell ref="K37:L37"/>
    <mergeCell ref="O37:Q37"/>
    <mergeCell ref="I35:J35"/>
    <mergeCell ref="K35:L35"/>
    <mergeCell ref="O35:Q35"/>
    <mergeCell ref="I36:J36"/>
    <mergeCell ref="K36:L36"/>
    <mergeCell ref="O36:Q36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O54"/>
  <sheetViews>
    <sheetView tabSelected="1" showRuler="0" topLeftCell="A13" workbookViewId="0">
      <selection activeCell="O23" sqref="O23"/>
    </sheetView>
  </sheetViews>
  <sheetFormatPr baseColWidth="10" defaultColWidth="10.83203125" defaultRowHeight="14.5"/>
  <cols>
    <col min="1" max="2" width="3.58203125" style="3" customWidth="1"/>
    <col min="3" max="3" width="6.08203125" style="3" customWidth="1"/>
    <col min="4" max="4" width="25.5" style="3" bestFit="1" customWidth="1"/>
    <col min="5" max="5" width="5.83203125" style="3" customWidth="1"/>
    <col min="6" max="6" width="5.08203125" style="3" customWidth="1"/>
    <col min="7" max="7" width="8.33203125" style="3" customWidth="1"/>
    <col min="8" max="8" width="4.58203125" style="3" customWidth="1"/>
    <col min="9" max="9" width="8.08203125" style="3" customWidth="1"/>
    <col min="10" max="10" width="8.83203125" style="3" customWidth="1"/>
    <col min="11" max="11" width="9.6640625" style="3" customWidth="1"/>
    <col min="12" max="16384" width="10.83203125" style="3"/>
  </cols>
  <sheetData>
    <row r="1" spans="1:11">
      <c r="A1" s="13" t="s">
        <v>208</v>
      </c>
      <c r="B1" s="23"/>
      <c r="C1" s="12"/>
      <c r="D1" s="12"/>
      <c r="E1" s="12"/>
      <c r="F1" s="13" t="s">
        <v>67</v>
      </c>
      <c r="G1" s="12"/>
      <c r="H1" s="144">
        <f ca="1">+TODAY()</f>
        <v>45412</v>
      </c>
      <c r="I1" s="144"/>
      <c r="J1" s="144"/>
      <c r="K1" s="145"/>
    </row>
    <row r="2" spans="1:11">
      <c r="A2" s="19" t="s">
        <v>59</v>
      </c>
      <c r="D2" s="3" t="str">
        <f>+Expéditeur!B1</f>
        <v>Marielle Dumas</v>
      </c>
      <c r="F2" s="19" t="s">
        <v>66</v>
      </c>
      <c r="H2" s="3" t="s">
        <v>65</v>
      </c>
      <c r="K2" s="18"/>
    </row>
    <row r="3" spans="1:11">
      <c r="A3" s="19" t="s">
        <v>58</v>
      </c>
      <c r="D3" s="146">
        <f>+Expéditeur!B2</f>
        <v>556613373</v>
      </c>
      <c r="E3" s="146"/>
      <c r="F3" s="22" t="s">
        <v>64</v>
      </c>
      <c r="I3" s="149" t="str">
        <f>+_xlfn.XLOOKUP('menu déroulant'!C11,'menu déroulant'!C1:C5,'menu déroulant'!A1:A5)</f>
        <v>Commercial</v>
      </c>
      <c r="J3" s="149"/>
      <c r="K3" s="150"/>
    </row>
    <row r="4" spans="1:11">
      <c r="A4" s="19" t="s">
        <v>57</v>
      </c>
      <c r="D4" s="3" t="str">
        <f>+Expéditeur!B3</f>
        <v>m.dumas@vignerons-autrement.com</v>
      </c>
      <c r="F4" s="19"/>
      <c r="I4" s="149"/>
      <c r="J4" s="149"/>
      <c r="K4" s="150"/>
    </row>
    <row r="5" spans="1:11">
      <c r="A5" s="19" t="s">
        <v>56</v>
      </c>
      <c r="D5" s="3" t="str">
        <f>+Expéditeur!B4</f>
        <v>TERRE DE VIGNERONS</v>
      </c>
      <c r="F5" s="19"/>
      <c r="I5" s="149"/>
      <c r="J5" s="149"/>
      <c r="K5" s="150"/>
    </row>
    <row r="6" spans="1:11">
      <c r="A6" s="19"/>
      <c r="D6" s="3" t="str">
        <f>+Expéditeur!B5</f>
        <v>VILLESEQUE</v>
      </c>
      <c r="F6" s="19"/>
      <c r="I6" s="149"/>
      <c r="J6" s="149"/>
      <c r="K6" s="150"/>
    </row>
    <row r="7" spans="1:11">
      <c r="A7" s="19"/>
      <c r="D7" s="3" t="str">
        <f>+Expéditeur!B6</f>
        <v>33420 SAINT-VINCENT-DE-PERTIGNAS</v>
      </c>
      <c r="F7" s="22" t="s">
        <v>63</v>
      </c>
      <c r="I7" s="3" t="str" cm="1">
        <f t="array" ref="I7">+_xlfn.XLOOKUP('menu déroulant'!C11,Tableau3[[#All],[type]],Tableau3[[#All],[Colonne1]])</f>
        <v>net 10 days</v>
      </c>
      <c r="K7" s="18"/>
    </row>
    <row r="8" spans="1:11">
      <c r="A8" s="14" t="s">
        <v>62</v>
      </c>
      <c r="B8" s="7"/>
      <c r="C8" s="7"/>
      <c r="D8" s="7" t="str">
        <f>Expéditeur!B8</f>
        <v>FR31886929400013</v>
      </c>
      <c r="E8" s="7"/>
      <c r="F8" s="14"/>
      <c r="G8" s="7"/>
      <c r="H8" s="7"/>
      <c r="I8" s="7"/>
      <c r="J8" s="7"/>
      <c r="K8" s="6"/>
    </row>
    <row r="9" spans="1:11">
      <c r="A9" s="13" t="s">
        <v>61</v>
      </c>
      <c r="B9" s="12"/>
      <c r="C9" s="12"/>
      <c r="D9" s="12"/>
      <c r="E9" s="12"/>
      <c r="F9" s="13" t="s">
        <v>60</v>
      </c>
      <c r="G9" s="12"/>
      <c r="H9" s="12"/>
      <c r="K9" s="11"/>
    </row>
    <row r="10" spans="1:11">
      <c r="A10" s="21" t="s">
        <v>59</v>
      </c>
      <c r="D10" s="147" t="str">
        <f>IF(Recipient!B4=0,+Recipient!B1,+Recipient!B1&amp;" C/O "&amp;Recipient!B4)</f>
        <v>Jean-Charles Stiquel C/O L'AMI JAC LTD</v>
      </c>
      <c r="E10" s="148"/>
      <c r="F10" s="21" t="s">
        <v>59</v>
      </c>
      <c r="G10" s="20"/>
      <c r="H10" s="139" t="str">
        <f>+IF($D$16="Etats-Unis","Mark Newman",D10)</f>
        <v>Jean-Charles Stiquel C/O L'AMI JAC LTD</v>
      </c>
      <c r="I10" s="139"/>
      <c r="J10" s="139"/>
      <c r="K10" s="140"/>
    </row>
    <row r="11" spans="1:11">
      <c r="A11" s="19" t="s">
        <v>58</v>
      </c>
      <c r="D11" s="25">
        <f>+Recipient!B2</f>
        <v>447751060921</v>
      </c>
      <c r="F11" s="19" t="s">
        <v>58</v>
      </c>
      <c r="H11" s="138">
        <f>+IF($D$16="Etats-Unis","818 390 3888",D11)</f>
        <v>447751060921</v>
      </c>
      <c r="I11" s="138"/>
      <c r="K11" s="18"/>
    </row>
    <row r="12" spans="1:11">
      <c r="A12" s="19" t="s">
        <v>57</v>
      </c>
      <c r="D12" s="3" t="str">
        <f>IF(+Recipient!B3&lt;&gt;0,+Recipient!B3,"")</f>
        <v>jcstiquel@lamijac.com</v>
      </c>
      <c r="F12" s="19" t="s">
        <v>57</v>
      </c>
      <c r="H12" s="84" t="str">
        <f>+IF($D$16="Etats-Unis","ttb@accoladebrands.com",D12)</f>
        <v>jcstiquel@lamijac.com</v>
      </c>
      <c r="K12" s="18"/>
    </row>
    <row r="13" spans="1:11">
      <c r="A13" s="19" t="s">
        <v>56</v>
      </c>
      <c r="D13" s="95" t="s">
        <v>237</v>
      </c>
      <c r="F13" s="19" t="s">
        <v>56</v>
      </c>
      <c r="H13" s="84" t="str">
        <f>+D13</f>
        <v>Accolade Brands Inc</v>
      </c>
      <c r="K13" s="18"/>
    </row>
    <row r="14" spans="1:11">
      <c r="A14" s="19" t="s">
        <v>55</v>
      </c>
      <c r="D14" s="151" t="str">
        <f>+Recipient!B5</f>
        <v>96 Shepherds Bush Road</v>
      </c>
      <c r="E14" s="152"/>
      <c r="F14" s="19" t="s">
        <v>55</v>
      </c>
      <c r="H14" s="139" t="str">
        <f>+IF($D$16="Etats-Unis","4741 LAUREL CANYON BLVD",D14)</f>
        <v>96 Shepherds Bush Road</v>
      </c>
      <c r="I14" s="139"/>
      <c r="J14" s="139"/>
      <c r="K14" s="140"/>
    </row>
    <row r="15" spans="1:11">
      <c r="A15" s="19"/>
      <c r="D15" s="3" t="str">
        <f>+Recipient!B6</f>
        <v>W67PD London</v>
      </c>
      <c r="F15" s="19"/>
      <c r="H15" s="84" t="str">
        <f>+IF($D$16="Etats-Unis","STUDIO CITY, CA 91607",D15)</f>
        <v>W67PD London</v>
      </c>
      <c r="K15" s="18"/>
    </row>
    <row r="16" spans="1:11">
      <c r="A16" s="19" t="s">
        <v>54</v>
      </c>
      <c r="D16" s="3" t="str">
        <f>+Recipient!B7</f>
        <v>Royaume-Uni (Grande-Bretagne)</v>
      </c>
      <c r="F16" s="19" t="s">
        <v>54</v>
      </c>
      <c r="H16" s="84" t="str">
        <f>+D16</f>
        <v>Royaume-Uni (Grande-Bretagne)</v>
      </c>
      <c r="K16" s="18"/>
    </row>
    <row r="17" spans="1:11">
      <c r="A17" s="19"/>
      <c r="F17" s="85" t="str">
        <f>+IF($D$16="Etats-Unis","Fedex Account # 315569303"," ")</f>
        <v xml:space="preserve"> </v>
      </c>
      <c r="K17" s="18"/>
    </row>
    <row r="18" spans="1:11">
      <c r="A18" s="14"/>
      <c r="B18" s="7"/>
      <c r="C18" s="7"/>
      <c r="D18" s="7"/>
      <c r="F18" s="141" t="str">
        <f>+IF($D$16="Etats-Unis","Basic Import license : CA-I-15220 Tax ID # 75-3146418"," ")</f>
        <v xml:space="preserve"> </v>
      </c>
      <c r="G18" s="142"/>
      <c r="H18" s="142"/>
      <c r="I18" s="142"/>
      <c r="J18" s="142"/>
      <c r="K18" s="143"/>
    </row>
    <row r="19" spans="1:11">
      <c r="A19" s="5" t="s">
        <v>53</v>
      </c>
      <c r="B19" s="4"/>
      <c r="C19" s="4"/>
      <c r="D19" s="4"/>
      <c r="E19" s="4"/>
      <c r="F19" s="4"/>
      <c r="G19" s="4"/>
      <c r="H19" s="4"/>
      <c r="I19" s="4"/>
      <c r="K19" s="8"/>
    </row>
    <row r="20" spans="1:11" s="59" customFormat="1">
      <c r="A20" s="69" t="s">
        <v>52</v>
      </c>
      <c r="B20" s="70"/>
      <c r="C20" s="70"/>
      <c r="D20" s="70"/>
      <c r="E20" s="70"/>
      <c r="F20" s="70"/>
      <c r="G20" s="70"/>
      <c r="H20" s="70"/>
      <c r="I20" s="70"/>
      <c r="J20" s="70"/>
      <c r="K20" s="58"/>
    </row>
    <row r="21" spans="1:11" s="59" customFormat="1" ht="31.4" customHeight="1">
      <c r="A21" s="17" t="s">
        <v>51</v>
      </c>
      <c r="B21" s="17" t="s">
        <v>50</v>
      </c>
      <c r="C21" s="127" t="s">
        <v>49</v>
      </c>
      <c r="D21" s="128"/>
      <c r="E21" s="128"/>
      <c r="F21" s="129"/>
      <c r="G21" s="17" t="s">
        <v>48</v>
      </c>
      <c r="H21" s="17" t="s">
        <v>47</v>
      </c>
      <c r="I21" s="17" t="s">
        <v>46</v>
      </c>
      <c r="J21" s="17" t="s">
        <v>45</v>
      </c>
      <c r="K21" s="17" t="s">
        <v>44</v>
      </c>
    </row>
    <row r="22" spans="1:11" s="59" customFormat="1" ht="37.5" customHeight="1">
      <c r="A22" s="16">
        <f>+'Description des vins'!A2</f>
        <v>300</v>
      </c>
      <c r="B22" s="56" t="s">
        <v>43</v>
      </c>
      <c r="C22" s="130" t="str">
        <f>+'Description des vins'!N2</f>
        <v>750 ml SPARKLING WINE 12 % Alc COMTESSE DE SAINT PEY   CREMANT DE BORDEAUX ttb id 0</v>
      </c>
      <c r="D22" s="131"/>
      <c r="E22" s="131"/>
      <c r="F22" s="132"/>
      <c r="G22" s="16" cm="1">
        <f t="array" ref="G22">+_xlfn.XLOOKUP('Description des vins'!C2,Tableau1[[#All],[Color]],Tableau1[[#All],[htc]])</f>
        <v>220410</v>
      </c>
      <c r="H22" s="16" t="s">
        <v>42</v>
      </c>
      <c r="I22" s="9" t="s">
        <v>207</v>
      </c>
      <c r="J22" s="89">
        <f>+'Description des vins'!M2</f>
        <v>4.2</v>
      </c>
      <c r="K22" s="90">
        <f t="shared" ref="K22:K39" si="0">+J22*A22</f>
        <v>1260</v>
      </c>
    </row>
    <row r="23" spans="1:11" s="59" customFormat="1" ht="43" customHeight="1">
      <c r="A23" s="16">
        <f>+'Description des vins'!A3</f>
        <v>120</v>
      </c>
      <c r="B23" s="56" t="s">
        <v>43</v>
      </c>
      <c r="C23" s="130" t="str">
        <f>+'Description des vins'!N3</f>
        <v>750 ml SPARKLING WINE 13 % Alc COMTESSE DE SAINT PEY ROSE  CREMANT DE BORDEAUX ttb id 0</v>
      </c>
      <c r="D23" s="131"/>
      <c r="E23" s="131"/>
      <c r="F23" s="132"/>
      <c r="G23" s="16" cm="1">
        <f t="array" ref="G23">+_xlfn.XLOOKUP('Description des vins'!C3,Tableau1[[#All],[Color]],Tableau1[[#All],[htc]])</f>
        <v>220410</v>
      </c>
      <c r="H23" s="16" t="s">
        <v>42</v>
      </c>
      <c r="I23" s="9" t="s">
        <v>207</v>
      </c>
      <c r="J23" s="89">
        <f>+'Description des vins'!M3</f>
        <v>4.2</v>
      </c>
      <c r="K23" s="90">
        <f t="shared" si="0"/>
        <v>504</v>
      </c>
    </row>
    <row r="24" spans="1:11" s="59" customFormat="1" ht="41.5" customHeight="1">
      <c r="A24" s="16">
        <f>+'Description des vins'!A4</f>
        <v>60</v>
      </c>
      <c r="B24" s="56" t="s">
        <v>43</v>
      </c>
      <c r="C24" s="130" t="str">
        <f>+'Description des vins'!N4</f>
        <v>750 ml RED WINE 12,5 % Alc LE DROPT 2022   ATLANTIQUE ttb id 0</v>
      </c>
      <c r="D24" s="131"/>
      <c r="E24" s="131"/>
      <c r="F24" s="132"/>
      <c r="G24" s="16" cm="1">
        <f t="array" ref="G24">+_xlfn.XLOOKUP('Description des vins'!C4,Tableau1[[#All],[Color]],Tableau1[[#All],[htc]])</f>
        <v>220421</v>
      </c>
      <c r="H24" s="16" t="s">
        <v>42</v>
      </c>
      <c r="I24" s="9" t="s">
        <v>207</v>
      </c>
      <c r="J24" s="89">
        <f>+'Description des vins'!M4</f>
        <v>2.0499999999999998</v>
      </c>
      <c r="K24" s="90">
        <f t="shared" si="0"/>
        <v>122.99999999999999</v>
      </c>
    </row>
    <row r="25" spans="1:11" s="59" customFormat="1" ht="41.5" customHeight="1">
      <c r="A25" s="16">
        <f>+'Description des vins'!A5</f>
        <v>60</v>
      </c>
      <c r="B25" s="56" t="s">
        <v>43</v>
      </c>
      <c r="C25" s="130" t="str">
        <f>+'Description des vins'!N5</f>
        <v>750 ml RED WINE 13,5 % Alc CHATEAU DU BALLANDREAU 2021   BORDEAUX SUPERIEUR ttb id 0</v>
      </c>
      <c r="D25" s="131"/>
      <c r="E25" s="131"/>
      <c r="F25" s="132"/>
      <c r="G25" s="16" cm="1">
        <f t="array" ref="G25">+_xlfn.XLOOKUP('Description des vins'!C5,Tableau1[[#All],[Color]],Tableau1[[#All],[htc]])</f>
        <v>220421</v>
      </c>
      <c r="H25" s="16" t="s">
        <v>42</v>
      </c>
      <c r="I25" s="9" t="s">
        <v>207</v>
      </c>
      <c r="J25" s="89">
        <f>+'Description des vins'!M5</f>
        <v>3.4</v>
      </c>
      <c r="K25" s="90">
        <f t="shared" si="0"/>
        <v>204</v>
      </c>
    </row>
    <row r="26" spans="1:11" s="59" customFormat="1" ht="41.5" customHeight="1">
      <c r="A26" s="16">
        <f>+'Description des vins'!A6</f>
        <v>60</v>
      </c>
      <c r="B26" s="56" t="s">
        <v>43</v>
      </c>
      <c r="C26" s="130" t="str">
        <f>+'Description des vins'!N6</f>
        <v>750 ml RED WINE 13 % Alc CHATEAU TARNAS BELLAIR 2017   BORDEAUX ttb id 0</v>
      </c>
      <c r="D26" s="131"/>
      <c r="E26" s="131"/>
      <c r="F26" s="132"/>
      <c r="G26" s="16" cm="1">
        <f t="array" ref="G26">+_xlfn.XLOOKUP('Description des vins'!C6,Tableau1[[#All],[Color]],Tableau1[[#All],[htc]])</f>
        <v>220421</v>
      </c>
      <c r="H26" s="16" t="s">
        <v>42</v>
      </c>
      <c r="I26" s="9" t="s">
        <v>207</v>
      </c>
      <c r="J26" s="89">
        <f>+'Description des vins'!M6</f>
        <v>1.8</v>
      </c>
      <c r="K26" s="90">
        <f t="shared" si="0"/>
        <v>108</v>
      </c>
    </row>
    <row r="27" spans="1:11" s="59" customFormat="1" ht="41.5" hidden="1" customHeight="1">
      <c r="A27" s="16">
        <f>+'Description des vins'!A7</f>
        <v>0</v>
      </c>
      <c r="B27" s="56" t="s">
        <v>43</v>
      </c>
      <c r="C27" s="130" t="str">
        <f>+'Description des vins'!N7</f>
        <v>0 0 0 % Alc 0 0   0 ttb id 0</v>
      </c>
      <c r="D27" s="131"/>
      <c r="E27" s="131"/>
      <c r="F27" s="132"/>
      <c r="G27" s="16" t="e" cm="1">
        <f t="array" ref="G27">+_xlfn.XLOOKUP('Description des vins'!C7,Tableau1[[#All],[Color]],Tableau1[[#All],[htc]])</f>
        <v>#N/A</v>
      </c>
      <c r="H27" s="16" t="s">
        <v>42</v>
      </c>
      <c r="I27" s="9" t="s">
        <v>207</v>
      </c>
      <c r="J27" s="89">
        <f>+'Description des vins'!M7</f>
        <v>0</v>
      </c>
      <c r="K27" s="90">
        <f t="shared" si="0"/>
        <v>0</v>
      </c>
    </row>
    <row r="28" spans="1:11" s="59" customFormat="1" ht="41.25" hidden="1" customHeight="1">
      <c r="A28" s="16">
        <f>+'Description des vins'!A8</f>
        <v>0</v>
      </c>
      <c r="B28" s="56" t="s">
        <v>43</v>
      </c>
      <c r="C28" s="130" t="str">
        <f>+'Description des vins'!N8</f>
        <v xml:space="preserve">0 0 0 % Alc 0 0   0 ttb id </v>
      </c>
      <c r="D28" s="131"/>
      <c r="E28" s="131"/>
      <c r="F28" s="132"/>
      <c r="G28" s="16" t="e" cm="1">
        <f t="array" ref="G28">+_xlfn.XLOOKUP('Description des vins'!C8,Tableau1[[#All],[Color]],Tableau1[[#All],[htc]])</f>
        <v>#N/A</v>
      </c>
      <c r="H28" s="16" t="s">
        <v>42</v>
      </c>
      <c r="I28" s="9" t="s">
        <v>207</v>
      </c>
      <c r="J28" s="89">
        <f>+'Description des vins'!M8</f>
        <v>0</v>
      </c>
      <c r="K28" s="90">
        <f t="shared" si="0"/>
        <v>0</v>
      </c>
    </row>
    <row r="29" spans="1:11" s="59" customFormat="1" ht="48.75" hidden="1" customHeight="1">
      <c r="A29" s="16">
        <f>+'Description des vins'!A9</f>
        <v>0</v>
      </c>
      <c r="B29" s="56" t="s">
        <v>43</v>
      </c>
      <c r="C29" s="130" t="str">
        <f>+'Description des vins'!N9</f>
        <v xml:space="preserve">0 0 0 % Alc 0 0   0 ttb id </v>
      </c>
      <c r="D29" s="131"/>
      <c r="E29" s="131"/>
      <c r="F29" s="132"/>
      <c r="G29" s="16" t="e" cm="1">
        <f t="array" ref="G29">+_xlfn.XLOOKUP('Description des vins'!C9,Tableau1[[#All],[Color]],Tableau1[[#All],[htc]])</f>
        <v>#N/A</v>
      </c>
      <c r="H29" s="16" t="s">
        <v>42</v>
      </c>
      <c r="I29" s="9" t="s">
        <v>207</v>
      </c>
      <c r="J29" s="89">
        <f>+'Description des vins'!M9</f>
        <v>0</v>
      </c>
      <c r="K29" s="90">
        <f t="shared" si="0"/>
        <v>0</v>
      </c>
    </row>
    <row r="30" spans="1:11" s="59" customFormat="1" ht="48.75" hidden="1" customHeight="1">
      <c r="A30" s="16">
        <f>+'Description des vins'!A10</f>
        <v>0</v>
      </c>
      <c r="B30" s="56" t="s">
        <v>43</v>
      </c>
      <c r="C30" s="130" t="str">
        <f>+'Description des vins'!N10</f>
        <v xml:space="preserve">0 0 0 % Alc 0 0   0 ttb id </v>
      </c>
      <c r="D30" s="131"/>
      <c r="E30" s="131"/>
      <c r="F30" s="132"/>
      <c r="G30" s="16" t="e" cm="1">
        <f t="array" ref="G30">+_xlfn.XLOOKUP('Description des vins'!C10,Tableau1[[#All],[Color]],Tableau1[[#All],[htc]])</f>
        <v>#N/A</v>
      </c>
      <c r="H30" s="16" t="s">
        <v>42</v>
      </c>
      <c r="I30" s="9" t="s">
        <v>207</v>
      </c>
      <c r="J30" s="89">
        <f>+'Description des vins'!M10</f>
        <v>0</v>
      </c>
      <c r="K30" s="90">
        <f t="shared" si="0"/>
        <v>0</v>
      </c>
    </row>
    <row r="31" spans="1:11" s="59" customFormat="1" ht="48.75" hidden="1" customHeight="1">
      <c r="A31" s="16">
        <f>+'Description des vins'!A11</f>
        <v>0</v>
      </c>
      <c r="B31" s="56" t="s">
        <v>43</v>
      </c>
      <c r="C31" s="130" t="str">
        <f>+'Description des vins'!N11</f>
        <v xml:space="preserve">0 0 0 % Alc 0 0   0 ttb id </v>
      </c>
      <c r="D31" s="131"/>
      <c r="E31" s="131"/>
      <c r="F31" s="132"/>
      <c r="G31" s="16" t="e" cm="1">
        <f t="array" ref="G31">+_xlfn.XLOOKUP('Description des vins'!C11,Tableau1[[#All],[Color]],Tableau1[[#All],[htc]])</f>
        <v>#N/A</v>
      </c>
      <c r="H31" s="16" t="s">
        <v>42</v>
      </c>
      <c r="I31" s="9" t="s">
        <v>207</v>
      </c>
      <c r="J31" s="89">
        <f>+'Description des vins'!M11</f>
        <v>0</v>
      </c>
      <c r="K31" s="90">
        <f t="shared" si="0"/>
        <v>0</v>
      </c>
    </row>
    <row r="32" spans="1:11" s="59" customFormat="1" ht="48.75" hidden="1" customHeight="1">
      <c r="A32" s="16">
        <f>+'Description des vins'!A12</f>
        <v>0</v>
      </c>
      <c r="B32" s="56" t="s">
        <v>43</v>
      </c>
      <c r="C32" s="130" t="str">
        <f>+'Description des vins'!N12</f>
        <v xml:space="preserve">0 0 0 % Alc 0 0   0 ttb id </v>
      </c>
      <c r="D32" s="131"/>
      <c r="E32" s="131"/>
      <c r="F32" s="132"/>
      <c r="G32" s="16" t="e" cm="1">
        <f t="array" ref="G32">+_xlfn.XLOOKUP('Description des vins'!C12,Tableau1[[#All],[Color]],Tableau1[[#All],[htc]])</f>
        <v>#N/A</v>
      </c>
      <c r="H32" s="16" t="s">
        <v>42</v>
      </c>
      <c r="I32" s="9" t="s">
        <v>207</v>
      </c>
      <c r="J32" s="89">
        <f>+'Description des vins'!M12</f>
        <v>0</v>
      </c>
      <c r="K32" s="90">
        <f t="shared" si="0"/>
        <v>0</v>
      </c>
    </row>
    <row r="33" spans="1:11" s="59" customFormat="1" ht="48.75" hidden="1" customHeight="1">
      <c r="A33" s="16">
        <f>+'Description des vins'!A13</f>
        <v>0</v>
      </c>
      <c r="B33" s="56" t="s">
        <v>43</v>
      </c>
      <c r="C33" s="130" t="str">
        <f>+'Description des vins'!N13</f>
        <v xml:space="preserve">0 0 0 % Alc 0 0   0 ttb id </v>
      </c>
      <c r="D33" s="131"/>
      <c r="E33" s="131"/>
      <c r="F33" s="132"/>
      <c r="G33" s="16" t="e" cm="1">
        <f t="array" ref="G33">+_xlfn.XLOOKUP('Description des vins'!C13,Tableau1[[#All],[Color]],Tableau1[[#All],[htc]])</f>
        <v>#N/A</v>
      </c>
      <c r="H33" s="16" t="s">
        <v>42</v>
      </c>
      <c r="I33" s="9" t="s">
        <v>207</v>
      </c>
      <c r="J33" s="89">
        <f>+'Description des vins'!M13</f>
        <v>0</v>
      </c>
      <c r="K33" s="90">
        <f t="shared" si="0"/>
        <v>0</v>
      </c>
    </row>
    <row r="34" spans="1:11" s="59" customFormat="1" ht="48.75" hidden="1" customHeight="1">
      <c r="A34" s="16">
        <f>+'Description des vins'!A14</f>
        <v>0</v>
      </c>
      <c r="B34" s="56" t="s">
        <v>43</v>
      </c>
      <c r="C34" s="130" t="str">
        <f>+'Description des vins'!N14</f>
        <v xml:space="preserve">0 0 0 % Alc 0 0   0 ttb id </v>
      </c>
      <c r="D34" s="131"/>
      <c r="E34" s="131"/>
      <c r="F34" s="132"/>
      <c r="G34" s="16" t="e" cm="1">
        <f t="array" ref="G34">+_xlfn.XLOOKUP('Description des vins'!C14,Tableau1[[#All],[Color]],Tableau1[[#All],[htc]])</f>
        <v>#N/A</v>
      </c>
      <c r="H34" s="16" t="s">
        <v>42</v>
      </c>
      <c r="I34" s="9" t="s">
        <v>207</v>
      </c>
      <c r="J34" s="89">
        <f>+'Description des vins'!M14</f>
        <v>0</v>
      </c>
      <c r="K34" s="90">
        <f t="shared" si="0"/>
        <v>0</v>
      </c>
    </row>
    <row r="35" spans="1:11" s="59" customFormat="1" ht="48.75" hidden="1" customHeight="1">
      <c r="A35" s="16">
        <f>+'Description des vins'!A15</f>
        <v>0</v>
      </c>
      <c r="B35" s="56" t="s">
        <v>43</v>
      </c>
      <c r="C35" s="130" t="str">
        <f>+'Description des vins'!N15</f>
        <v xml:space="preserve">0 0 0 % Alc 0 0   0 ttb id </v>
      </c>
      <c r="D35" s="131"/>
      <c r="E35" s="131"/>
      <c r="F35" s="132"/>
      <c r="G35" s="16" t="e" cm="1">
        <f t="array" ref="G35">+_xlfn.XLOOKUP('Description des vins'!C15,Tableau1[[#All],[Color]],Tableau1[[#All],[htc]])</f>
        <v>#N/A</v>
      </c>
      <c r="H35" s="16" t="s">
        <v>42</v>
      </c>
      <c r="I35" s="9" t="s">
        <v>207</v>
      </c>
      <c r="J35" s="89">
        <f>+'Description des vins'!M15</f>
        <v>0</v>
      </c>
      <c r="K35" s="90">
        <f t="shared" si="0"/>
        <v>0</v>
      </c>
    </row>
    <row r="36" spans="1:11" s="59" customFormat="1" ht="48.75" hidden="1" customHeight="1">
      <c r="A36" s="16">
        <f>+'Description des vins'!A16</f>
        <v>0</v>
      </c>
      <c r="B36" s="56" t="s">
        <v>43</v>
      </c>
      <c r="C36" s="130" t="str">
        <f>+'Description des vins'!N16</f>
        <v xml:space="preserve">0 0 0 % Alc 0 0   0 ttb id </v>
      </c>
      <c r="D36" s="131"/>
      <c r="E36" s="131"/>
      <c r="F36" s="132"/>
      <c r="G36" s="16" t="e" cm="1">
        <f t="array" ref="G36">+_xlfn.XLOOKUP('Description des vins'!C16,Tableau1[[#All],[Color]],Tableau1[[#All],[htc]])</f>
        <v>#N/A</v>
      </c>
      <c r="H36" s="16" t="s">
        <v>42</v>
      </c>
      <c r="I36" s="9" t="s">
        <v>207</v>
      </c>
      <c r="J36" s="89">
        <f>+'Description des vins'!M16</f>
        <v>0</v>
      </c>
      <c r="K36" s="90">
        <f t="shared" si="0"/>
        <v>0</v>
      </c>
    </row>
    <row r="37" spans="1:11" s="59" customFormat="1" ht="48.75" hidden="1" customHeight="1">
      <c r="A37" s="16">
        <f>+'Description des vins'!A17</f>
        <v>0</v>
      </c>
      <c r="B37" s="56" t="s">
        <v>43</v>
      </c>
      <c r="C37" s="130" t="str">
        <f>+'Description des vins'!N17</f>
        <v xml:space="preserve">0 0 0 % Alc 0 0   0 ttb id </v>
      </c>
      <c r="D37" s="131"/>
      <c r="E37" s="131"/>
      <c r="F37" s="132"/>
      <c r="G37" s="16" t="e" cm="1">
        <f t="array" ref="G37">+_xlfn.XLOOKUP('Description des vins'!C17,Tableau1[[#All],[Color]],Tableau1[[#All],[htc]])</f>
        <v>#N/A</v>
      </c>
      <c r="H37" s="16" t="s">
        <v>42</v>
      </c>
      <c r="I37" s="9" t="s">
        <v>207</v>
      </c>
      <c r="J37" s="89">
        <f>+'Description des vins'!M17</f>
        <v>0</v>
      </c>
      <c r="K37" s="90">
        <f t="shared" si="0"/>
        <v>0</v>
      </c>
    </row>
    <row r="38" spans="1:11" s="59" customFormat="1" ht="48.75" hidden="1" customHeight="1">
      <c r="A38" s="16">
        <f>+'Description des vins'!A18</f>
        <v>0</v>
      </c>
      <c r="B38" s="56" t="s">
        <v>43</v>
      </c>
      <c r="C38" s="130" t="str">
        <f>+'Description des vins'!N18</f>
        <v xml:space="preserve">0 0 0 % Alc 0 0   0 ttb id </v>
      </c>
      <c r="D38" s="131"/>
      <c r="E38" s="131"/>
      <c r="F38" s="132"/>
      <c r="G38" s="16" t="e" cm="1">
        <f t="array" ref="G38">+_xlfn.XLOOKUP('Description des vins'!C18,Tableau1[[#All],[Color]],Tableau1[[#All],[htc]])</f>
        <v>#N/A</v>
      </c>
      <c r="H38" s="16" t="s">
        <v>42</v>
      </c>
      <c r="I38" s="9" t="s">
        <v>207</v>
      </c>
      <c r="J38" s="89">
        <f>+'Description des vins'!M18</f>
        <v>0</v>
      </c>
      <c r="K38" s="90">
        <f t="shared" si="0"/>
        <v>0</v>
      </c>
    </row>
    <row r="39" spans="1:11" s="59" customFormat="1" ht="48.75" hidden="1" customHeight="1">
      <c r="A39" s="16">
        <f>+'Description des vins'!A19</f>
        <v>0</v>
      </c>
      <c r="B39" s="56" t="s">
        <v>43</v>
      </c>
      <c r="C39" s="130" t="str">
        <f>+'Description des vins'!N19</f>
        <v xml:space="preserve">0 0 0 % Alc 0 0   0 ttb id </v>
      </c>
      <c r="D39" s="131"/>
      <c r="E39" s="131"/>
      <c r="F39" s="132"/>
      <c r="G39" s="16" t="e" cm="1">
        <f t="array" ref="G39">+_xlfn.XLOOKUP('Description des vins'!C19,Tableau1[[#All],[Color]],Tableau1[[#All],[htc]])</f>
        <v>#N/A</v>
      </c>
      <c r="H39" s="16" t="s">
        <v>42</v>
      </c>
      <c r="I39" s="9" t="s">
        <v>207</v>
      </c>
      <c r="J39" s="89">
        <f>+'Description des vins'!M19</f>
        <v>0</v>
      </c>
      <c r="K39" s="90">
        <f t="shared" si="0"/>
        <v>0</v>
      </c>
    </row>
    <row r="40" spans="1:11" s="59" customFormat="1" ht="48.75" hidden="1" customHeight="1">
      <c r="A40" s="16">
        <f>+'Description des vins'!A20</f>
        <v>0</v>
      </c>
      <c r="B40" s="56" t="s">
        <v>43</v>
      </c>
      <c r="C40" s="130" t="e">
        <f>+'Description des vins'!#REF!</f>
        <v>#REF!</v>
      </c>
      <c r="D40" s="131"/>
      <c r="E40" s="131"/>
      <c r="F40" s="132"/>
      <c r="G40" s="16">
        <v>220421</v>
      </c>
      <c r="H40" s="16" t="s">
        <v>42</v>
      </c>
      <c r="I40" s="9" t="s">
        <v>207</v>
      </c>
      <c r="J40" s="67"/>
      <c r="K40" s="68"/>
    </row>
    <row r="41" spans="1:11" s="59" customFormat="1" ht="48.75" hidden="1" customHeight="1">
      <c r="A41" s="16">
        <f>+'Description des vins'!A21</f>
        <v>0</v>
      </c>
      <c r="B41" s="56" t="s">
        <v>43</v>
      </c>
      <c r="C41" s="130" t="e">
        <f>+'Description des vins'!#REF!</f>
        <v>#REF!</v>
      </c>
      <c r="D41" s="131"/>
      <c r="E41" s="131"/>
      <c r="F41" s="132"/>
      <c r="G41" s="16">
        <v>220421</v>
      </c>
      <c r="H41" s="16" t="s">
        <v>42</v>
      </c>
      <c r="I41" s="9" t="s">
        <v>207</v>
      </c>
      <c r="J41" s="67"/>
      <c r="K41" s="68"/>
    </row>
    <row r="42" spans="1:11" s="59" customFormat="1" ht="48.75" hidden="1" customHeight="1">
      <c r="A42" s="16">
        <f>+'Description des vins'!A22</f>
        <v>0</v>
      </c>
      <c r="B42" s="56" t="s">
        <v>43</v>
      </c>
      <c r="C42" s="130" t="e">
        <f>+'Description des vins'!#REF!</f>
        <v>#REF!</v>
      </c>
      <c r="D42" s="131"/>
      <c r="E42" s="131"/>
      <c r="F42" s="132"/>
      <c r="G42" s="16">
        <v>220421</v>
      </c>
      <c r="H42" s="16" t="s">
        <v>42</v>
      </c>
      <c r="I42" s="9" t="s">
        <v>207</v>
      </c>
      <c r="J42" s="67"/>
      <c r="K42" s="68"/>
    </row>
    <row r="43" spans="1:11" s="59" customFormat="1" ht="48.75" hidden="1" customHeight="1">
      <c r="A43" s="16">
        <f>+'Description des vins'!A23</f>
        <v>0</v>
      </c>
      <c r="B43" s="56" t="s">
        <v>43</v>
      </c>
      <c r="C43" s="130" t="e">
        <f>+'Description des vins'!#REF!</f>
        <v>#REF!</v>
      </c>
      <c r="D43" s="131"/>
      <c r="E43" s="131"/>
      <c r="F43" s="132"/>
      <c r="G43" s="16">
        <v>220421</v>
      </c>
      <c r="H43" s="16" t="s">
        <v>42</v>
      </c>
      <c r="I43" s="9" t="s">
        <v>207</v>
      </c>
      <c r="J43" s="67"/>
      <c r="K43" s="68"/>
    </row>
    <row r="44" spans="1:11" s="59" customFormat="1" ht="48.75" hidden="1" customHeight="1">
      <c r="A44" s="16">
        <f>+'Description des vins'!A24</f>
        <v>0</v>
      </c>
      <c r="B44" s="56" t="s">
        <v>43</v>
      </c>
      <c r="C44" s="130" t="e">
        <f>+'Description des vins'!#REF!</f>
        <v>#REF!</v>
      </c>
      <c r="D44" s="131"/>
      <c r="E44" s="131"/>
      <c r="F44" s="132"/>
      <c r="G44" s="16">
        <v>220421</v>
      </c>
      <c r="H44" s="16" t="s">
        <v>42</v>
      </c>
      <c r="I44" s="9" t="s">
        <v>207</v>
      </c>
      <c r="J44" s="67"/>
      <c r="K44" s="68"/>
    </row>
    <row r="45" spans="1:11" s="59" customFormat="1" ht="48.75" hidden="1" customHeight="1">
      <c r="A45" s="16">
        <f>+'Description des vins'!A25</f>
        <v>0</v>
      </c>
      <c r="B45" s="56"/>
      <c r="C45" s="135"/>
      <c r="D45" s="136"/>
      <c r="E45" s="136"/>
      <c r="F45" s="137"/>
      <c r="G45" s="16"/>
      <c r="H45" s="16"/>
      <c r="I45" s="9" t="s">
        <v>207</v>
      </c>
      <c r="J45" s="15"/>
      <c r="K45" s="68"/>
    </row>
    <row r="46" spans="1:11" s="59" customFormat="1" ht="21">
      <c r="A46" s="133" t="s">
        <v>41</v>
      </c>
      <c r="B46" s="134"/>
      <c r="C46" s="58">
        <f>SUM(A22:A45)</f>
        <v>600</v>
      </c>
      <c r="D46" s="57" t="s">
        <v>40</v>
      </c>
      <c r="E46" s="74">
        <f>+packing!F14</f>
        <v>900</v>
      </c>
      <c r="F46" s="57" t="s">
        <v>39</v>
      </c>
      <c r="G46" s="58">
        <f>packing!A14</f>
        <v>100</v>
      </c>
      <c r="H46" s="57" t="s">
        <v>38</v>
      </c>
      <c r="I46" s="58" t="str" cm="1">
        <f t="array" ref="I46">+_xlfn.XLOOKUP('menu déroulant'!B32,Tableau5[[#All],[REPONSE]],Tableau5[[#All],[INCOTERM]])</f>
        <v>DDP</v>
      </c>
      <c r="J46" s="9" t="s">
        <v>36</v>
      </c>
      <c r="K46" s="90">
        <f>SUM(K22:K45)</f>
        <v>2199</v>
      </c>
    </row>
    <row r="47" spans="1:11" ht="22.5" customHeight="1">
      <c r="A47" s="5" t="str">
        <f>"packing description: "&amp;packing!H14</f>
        <v>packing description: 100 cartons de 6 bt -</v>
      </c>
      <c r="B47" s="4"/>
      <c r="C47" s="4"/>
      <c r="D47" s="4"/>
      <c r="E47" s="30"/>
      <c r="F47" s="30"/>
      <c r="G47" s="30"/>
      <c r="H47" s="30"/>
      <c r="I47" s="31"/>
      <c r="J47" s="10" t="s">
        <v>35</v>
      </c>
      <c r="K47" s="91">
        <v>0</v>
      </c>
    </row>
    <row r="48" spans="1:11">
      <c r="A48" s="13" t="s">
        <v>34</v>
      </c>
      <c r="B48" s="12"/>
      <c r="C48" s="12"/>
      <c r="D48" s="12"/>
      <c r="E48" s="12"/>
      <c r="F48" s="12"/>
      <c r="G48" s="12"/>
      <c r="H48" s="12"/>
      <c r="I48" s="11"/>
      <c r="J48" s="10" t="s">
        <v>33</v>
      </c>
      <c r="K48" s="91">
        <v>0</v>
      </c>
    </row>
    <row r="49" spans="1:15">
      <c r="A49" s="14" t="str" cm="1">
        <f t="array" ref="A49">+_xlfn.XLOOKUP('menu déroulant'!B22,Tableau4[[#All],[REPONSE]],Tableau4[[#All],[DOUANE EXPORT]])</f>
        <v>PAS DE DAE ENVOI EN CRD</v>
      </c>
      <c r="B49" s="7"/>
      <c r="C49" s="7"/>
      <c r="D49" s="7"/>
      <c r="E49" s="7"/>
      <c r="F49" s="7"/>
      <c r="G49" s="7"/>
      <c r="H49" s="7"/>
      <c r="I49" s="6"/>
      <c r="J49" s="10" t="s">
        <v>31</v>
      </c>
      <c r="K49" s="91">
        <v>0</v>
      </c>
    </row>
    <row r="50" spans="1:15">
      <c r="A50" s="13" t="s">
        <v>30</v>
      </c>
      <c r="B50" s="12"/>
      <c r="C50" s="12"/>
      <c r="D50" s="12"/>
      <c r="E50" s="12"/>
      <c r="F50" s="12"/>
      <c r="G50" s="12"/>
      <c r="H50" s="12"/>
      <c r="I50" s="11"/>
      <c r="J50" s="10" t="s">
        <v>29</v>
      </c>
      <c r="K50" s="91">
        <v>0</v>
      </c>
    </row>
    <row r="51" spans="1:15">
      <c r="A51" s="124" t="s">
        <v>28</v>
      </c>
      <c r="B51" s="125"/>
      <c r="C51" s="125"/>
      <c r="D51" s="125"/>
      <c r="E51" s="125"/>
      <c r="F51" s="125"/>
      <c r="G51" s="125"/>
      <c r="H51" s="125"/>
      <c r="I51" s="126"/>
      <c r="J51" s="9" t="s">
        <v>27</v>
      </c>
      <c r="K51" s="91">
        <f>SUM(K46:K50)</f>
        <v>2199</v>
      </c>
    </row>
    <row r="52" spans="1:15">
      <c r="A52" s="121" t="s">
        <v>26</v>
      </c>
      <c r="B52" s="122"/>
      <c r="C52" s="122"/>
      <c r="D52" s="122"/>
      <c r="E52" s="123"/>
      <c r="F52" s="119" t="str">
        <f>+IF($D$16="Etats-Unis","Shipper FDA #"," ")</f>
        <v xml:space="preserve"> </v>
      </c>
      <c r="G52" s="120"/>
      <c r="H52" s="117" t="str">
        <f>+IF($D$16="Etats-Unis",+Expéditeur!B9," ")</f>
        <v xml:space="preserve"> </v>
      </c>
      <c r="I52" s="118"/>
      <c r="J52" s="9" t="s">
        <v>25</v>
      </c>
      <c r="K52" s="92" t="s">
        <v>233</v>
      </c>
      <c r="O52" s="83"/>
    </row>
    <row r="53" spans="1:15">
      <c r="A53" s="5" t="s">
        <v>24</v>
      </c>
      <c r="B53" s="5"/>
      <c r="C53" s="4"/>
      <c r="D53" s="4"/>
      <c r="E53" s="8"/>
      <c r="F53" s="7"/>
      <c r="G53" s="7"/>
      <c r="H53" s="7"/>
      <c r="I53" s="7"/>
      <c r="J53" s="7"/>
      <c r="K53" s="6"/>
    </row>
    <row r="54" spans="1:15">
      <c r="A54" s="5" t="s">
        <v>23</v>
      </c>
      <c r="B54" s="4"/>
      <c r="C54" s="4"/>
      <c r="D54" s="4"/>
      <c r="E54" s="4"/>
      <c r="F54" s="4"/>
      <c r="G54" s="4"/>
      <c r="H54" s="4"/>
      <c r="I54" s="4" t="s">
        <v>22</v>
      </c>
      <c r="J54" s="115">
        <f ca="1">+H1</f>
        <v>45412</v>
      </c>
      <c r="K54" s="116"/>
    </row>
  </sheetData>
  <mergeCells count="40">
    <mergeCell ref="H11:I11"/>
    <mergeCell ref="H10:K10"/>
    <mergeCell ref="F18:K18"/>
    <mergeCell ref="H1:K1"/>
    <mergeCell ref="D3:E3"/>
    <mergeCell ref="D10:E10"/>
    <mergeCell ref="I3:K6"/>
    <mergeCell ref="D14:E14"/>
    <mergeCell ref="H14:K14"/>
    <mergeCell ref="C42:F42"/>
    <mergeCell ref="C25:F25"/>
    <mergeCell ref="C26:F26"/>
    <mergeCell ref="C27:F27"/>
    <mergeCell ref="C31:F31"/>
    <mergeCell ref="C36:F36"/>
    <mergeCell ref="C37:F37"/>
    <mergeCell ref="C38:F38"/>
    <mergeCell ref="C28:F28"/>
    <mergeCell ref="C41:F41"/>
    <mergeCell ref="C21:F21"/>
    <mergeCell ref="C22:F22"/>
    <mergeCell ref="A46:B46"/>
    <mergeCell ref="C30:F30"/>
    <mergeCell ref="C32:F32"/>
    <mergeCell ref="C33:F33"/>
    <mergeCell ref="C24:F24"/>
    <mergeCell ref="C23:F23"/>
    <mergeCell ref="C29:F29"/>
    <mergeCell ref="C34:F34"/>
    <mergeCell ref="C45:F45"/>
    <mergeCell ref="C35:F35"/>
    <mergeCell ref="C43:F43"/>
    <mergeCell ref="C39:F39"/>
    <mergeCell ref="C44:F44"/>
    <mergeCell ref="C40:F40"/>
    <mergeCell ref="J54:K54"/>
    <mergeCell ref="H52:I52"/>
    <mergeCell ref="F52:G52"/>
    <mergeCell ref="A52:E52"/>
    <mergeCell ref="A51:I51"/>
  </mergeCells>
  <hyperlinks>
    <hyperlink ref="H12" r:id="rId1" display="ttb@accoladebrands.com" xr:uid="{00000000-0004-0000-0500-000000000000}"/>
  </hyperlinks>
  <pageMargins left="0.23" right="0.1" top="1.47" bottom="0.75" header="0.18" footer="0.3"/>
  <pageSetup paperSize="9" orientation="portrait" r:id="rId2"/>
  <headerFooter>
    <oddHeader>&amp;C&amp;G&amp;R&amp;"-,Gras"&amp;18
&amp;K08-049INVOICE</oddHeader>
    <oddFooter>Page &amp;P de &amp;N</oddFooter>
  </headerFooter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showRuler="0" topLeftCell="D1" workbookViewId="0">
      <selection activeCell="J24" sqref="J24"/>
    </sheetView>
  </sheetViews>
  <sheetFormatPr baseColWidth="10" defaultColWidth="10.83203125" defaultRowHeight="14.5"/>
  <cols>
    <col min="1" max="1" width="60.58203125" style="3" bestFit="1" customWidth="1"/>
    <col min="2" max="2" width="31.6640625" style="3" customWidth="1"/>
    <col min="3" max="4" width="60.58203125" style="3" customWidth="1"/>
    <col min="5" max="5" width="12.08203125" style="3" bestFit="1" customWidth="1"/>
    <col min="6" max="6" width="12.08203125" style="3" customWidth="1"/>
    <col min="7" max="16384" width="10.83203125" style="3"/>
  </cols>
  <sheetData>
    <row r="1" spans="1:10">
      <c r="A1" s="22" t="s">
        <v>223</v>
      </c>
      <c r="B1" s="22" t="s">
        <v>225</v>
      </c>
      <c r="C1" s="22" t="s">
        <v>222</v>
      </c>
      <c r="D1" s="22"/>
      <c r="E1" s="22" t="s">
        <v>63</v>
      </c>
      <c r="F1" s="22"/>
      <c r="G1" s="22" t="s">
        <v>217</v>
      </c>
      <c r="H1" s="22" t="s">
        <v>216</v>
      </c>
      <c r="I1" s="22"/>
      <c r="J1" s="22" t="s">
        <v>76</v>
      </c>
    </row>
    <row r="2" spans="1:10">
      <c r="A2" s="3" t="s">
        <v>75</v>
      </c>
      <c r="B2" s="83" t="s">
        <v>74</v>
      </c>
      <c r="C2" s="3" t="s">
        <v>218</v>
      </c>
      <c r="E2" s="3" t="s">
        <v>74</v>
      </c>
      <c r="G2" s="96" t="s">
        <v>5</v>
      </c>
      <c r="H2" s="3">
        <v>220410</v>
      </c>
      <c r="J2" s="3" t="s">
        <v>73</v>
      </c>
    </row>
    <row r="3" spans="1:10">
      <c r="A3" s="3" t="s">
        <v>72</v>
      </c>
      <c r="B3" s="83" t="s">
        <v>74</v>
      </c>
      <c r="C3" s="3" t="s">
        <v>219</v>
      </c>
      <c r="E3" s="3" t="s">
        <v>71</v>
      </c>
      <c r="G3" s="3" t="s">
        <v>9</v>
      </c>
      <c r="H3" s="3">
        <v>220421</v>
      </c>
      <c r="J3" s="3" t="s">
        <v>78</v>
      </c>
    </row>
    <row r="4" spans="1:10">
      <c r="A4" s="3" t="s">
        <v>220</v>
      </c>
      <c r="B4" s="83" t="s">
        <v>226</v>
      </c>
      <c r="C4" s="3" t="s">
        <v>220</v>
      </c>
      <c r="G4" s="3" t="s">
        <v>11</v>
      </c>
      <c r="H4" s="3">
        <v>220421</v>
      </c>
      <c r="J4" s="3" t="s">
        <v>79</v>
      </c>
    </row>
    <row r="5" spans="1:10">
      <c r="A5" s="83" t="s">
        <v>224</v>
      </c>
      <c r="B5" s="83" t="s">
        <v>74</v>
      </c>
      <c r="C5" s="3" t="s">
        <v>221</v>
      </c>
      <c r="G5" s="3" t="s">
        <v>7</v>
      </c>
      <c r="H5" s="3">
        <v>220421</v>
      </c>
      <c r="J5" s="3" t="s">
        <v>8</v>
      </c>
    </row>
    <row r="6" spans="1:10">
      <c r="G6" s="83" t="s">
        <v>213</v>
      </c>
      <c r="H6" s="3">
        <v>220820</v>
      </c>
      <c r="J6" s="32" t="s">
        <v>10</v>
      </c>
    </row>
    <row r="7" spans="1:10">
      <c r="G7" s="3" t="s">
        <v>13</v>
      </c>
      <c r="J7" s="24" t="s">
        <v>6</v>
      </c>
    </row>
    <row r="8" spans="1:10">
      <c r="G8" s="3" t="s">
        <v>12</v>
      </c>
      <c r="J8" s="3" t="s">
        <v>14</v>
      </c>
    </row>
    <row r="9" spans="1:10">
      <c r="G9" s="3" t="s">
        <v>214</v>
      </c>
      <c r="J9" s="3" t="s">
        <v>15</v>
      </c>
    </row>
    <row r="10" spans="1:10">
      <c r="G10" s="3" t="s">
        <v>215</v>
      </c>
      <c r="J10" s="3" t="s">
        <v>70</v>
      </c>
    </row>
    <row r="11" spans="1:10">
      <c r="C11" s="3" t="str">
        <f>+[2]Formulaire!$B$2</f>
        <v>Commercial</v>
      </c>
      <c r="G11" s="93" t="s">
        <v>234</v>
      </c>
      <c r="H11" s="3">
        <v>220421</v>
      </c>
      <c r="J11" s="3" t="s">
        <v>16</v>
      </c>
    </row>
    <row r="12" spans="1:10">
      <c r="G12" s="3" t="s">
        <v>235</v>
      </c>
      <c r="H12" s="3">
        <v>220421</v>
      </c>
      <c r="J12" s="3" t="s">
        <v>69</v>
      </c>
    </row>
    <row r="13" spans="1:10">
      <c r="G13" s="94" t="s">
        <v>236</v>
      </c>
      <c r="H13" s="3">
        <v>220421</v>
      </c>
      <c r="J13" s="3" t="s">
        <v>68</v>
      </c>
    </row>
    <row r="16" spans="1:10">
      <c r="A16" s="83" t="s">
        <v>228</v>
      </c>
      <c r="B16" s="83" t="s">
        <v>229</v>
      </c>
    </row>
    <row r="17" spans="1:2">
      <c r="A17" s="3" t="s">
        <v>32</v>
      </c>
      <c r="B17" s="3" t="b">
        <v>1</v>
      </c>
    </row>
    <row r="18" spans="1:2">
      <c r="A18" s="83" t="s">
        <v>227</v>
      </c>
      <c r="B18" s="3" t="b">
        <v>0</v>
      </c>
    </row>
    <row r="22" spans="1:2">
      <c r="B22" s="3" t="b">
        <f>+[2]Formulaire!$B$4</f>
        <v>1</v>
      </c>
    </row>
    <row r="26" spans="1:2">
      <c r="A26" s="83" t="s">
        <v>231</v>
      </c>
      <c r="B26" s="83" t="s">
        <v>229</v>
      </c>
    </row>
    <row r="27" spans="1:2">
      <c r="A27" s="83" t="s">
        <v>37</v>
      </c>
      <c r="B27" s="3" t="b">
        <v>1</v>
      </c>
    </row>
    <row r="28" spans="1:2">
      <c r="A28" s="83" t="s">
        <v>230</v>
      </c>
      <c r="B28" s="3" t="b">
        <v>0</v>
      </c>
    </row>
    <row r="32" spans="1:2">
      <c r="B32" s="3" t="b">
        <f>+[2]Formulaire!$B$3</f>
        <v>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610D6945-5BB7-48AA-9D83-04D002F97F1C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92880E10-06C8-4946-A295-AC00C1E9A11B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6BC71065-4ACF-4ADF-A17D-89305D8812B9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DA6E7A3E-4DD1-434E-88DC-B610BCC795DB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</vt:i4>
      </vt:variant>
    </vt:vector>
  </HeadingPairs>
  <TitlesOfParts>
    <vt:vector size="8" baseType="lpstr">
      <vt:lpstr>Expéditeur</vt:lpstr>
      <vt:lpstr>Recipient</vt:lpstr>
      <vt:lpstr>packing</vt:lpstr>
      <vt:lpstr>Description des vins</vt:lpstr>
      <vt:lpstr>Détails importants</vt:lpstr>
      <vt:lpstr>facture proforma</vt:lpstr>
      <vt:lpstr>menu déroulant</vt:lpstr>
      <vt:lpstr>'facture proforma'!Impression_des_titres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cp:revision>1</cp:revision>
  <dcterms:created xsi:type="dcterms:W3CDTF">2019-10-17T17:45:59Z</dcterms:created>
  <dcterms:modified xsi:type="dcterms:W3CDTF">2024-04-30T08:48:02Z</dcterms:modified>
</cp:coreProperties>
</file>