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Regroupement_TUS\src\"/>
    </mc:Choice>
  </mc:AlternateContent>
  <xr:revisionPtr revIDLastSave="0" documentId="13_ncr:11_{CD3E99C9-801F-4B05-82D3-A73A227F59FD}" xr6:coauthVersionLast="47" xr6:coauthVersionMax="47" xr10:uidLastSave="{00000000-0000-0000-0000-000000000000}"/>
  <bookViews>
    <workbookView xWindow="-120" yWindow="-16320" windowWidth="29040" windowHeight="15840" tabRatio="887" firstSheet="2" activeTab="2" xr2:uid="{00000000-000D-0000-FFFF-FFFF00000000}"/>
  </bookViews>
  <sheets>
    <sheet name="Group-1" sheetId="17" state="hidden" r:id="rId1"/>
    <sheet name="Entete" sheetId="18" state="hidden" r:id="rId2"/>
    <sheet name="Choose_TUS" sheetId="1" r:id="rId3"/>
    <sheet name="Mesures_Four" sheetId="45" state="hidden" r:id="rId4"/>
    <sheet name="transfert 80" sheetId="46" state="hidden" r:id="rId5"/>
    <sheet name="transfert 200" sheetId="50" state="hidden" r:id="rId6"/>
    <sheet name="transfert 385" sheetId="47" state="hidden" r:id="rId7"/>
    <sheet name="transfert 535" sheetId="48" state="hidden" r:id="rId8"/>
    <sheet name="Four 80" sheetId="49" state="hidden" r:id="rId9"/>
    <sheet name="Four 200" sheetId="51" state="hidden" r:id="rId10"/>
    <sheet name="Four 385" sheetId="52" state="hidden" r:id="rId11"/>
    <sheet name="Four 535" sheetId="53" state="hidden" r:id="rId12"/>
    <sheet name="80°C" sheetId="41" state="hidden" r:id="rId13"/>
    <sheet name="200°C" sheetId="42" state="hidden" r:id="rId14"/>
    <sheet name="385°C" sheetId="40" state="hidden" r:id="rId15"/>
    <sheet name="535°C" sheetId="43" state="hidden" r:id="rId16"/>
    <sheet name="Four_PV" sheetId="44" state="hidden"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Entete!$A$121:$L$130</definedName>
    <definedName name="Entêtes_Transfert">Entete!$A$104:$L$117</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'200°C'!$M$69</definedName>
    <definedName name="MT2_30" localSheetId="14">'385°C'!$M$32</definedName>
    <definedName name="MT2_30" localSheetId="15">'535°C'!$M$35</definedName>
    <definedName name="MT2_30" localSheetId="12">'80°C'!$M$149</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Ressuage_BCH!$A$56</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05" i="20" l="1"/>
  <c r="F297" i="20"/>
  <c r="C214" i="20"/>
  <c r="C213" i="20"/>
  <c r="E213" i="20" s="1"/>
  <c r="C212" i="20"/>
  <c r="E212" i="20" s="1"/>
  <c r="C211" i="20"/>
  <c r="E211" i="20" s="1"/>
  <c r="C234" i="32" a="1"/>
  <c r="C234" i="32" s="1"/>
  <c r="R17" i="54"/>
  <c r="R16" i="54"/>
  <c r="R15" i="54"/>
  <c r="O15" i="54" s="1"/>
  <c r="C11" i="54" a="1"/>
  <c r="C11" i="54" s="1"/>
  <c r="B11" i="54" a="1"/>
  <c r="B11" i="54" s="1"/>
  <c r="A28" i="19" s="1"/>
  <c r="B10" i="54" a="1"/>
  <c r="C14" i="54" s="1" a="1"/>
  <c r="A1" i="54"/>
  <c r="J6" i="54" l="1"/>
  <c r="K6" i="54"/>
  <c r="G5" i="54"/>
  <c r="B10" i="54"/>
  <c r="O16" i="54"/>
  <c r="O17" i="54"/>
  <c r="H5" i="54"/>
  <c r="D6" i="54"/>
  <c r="L6" i="54"/>
  <c r="J5" i="54"/>
  <c r="F6" i="54"/>
  <c r="N6" i="54"/>
  <c r="C14" i="54"/>
  <c r="I5" i="54"/>
  <c r="E6" i="54"/>
  <c r="K5" i="54"/>
  <c r="G6" i="54"/>
  <c r="D5" i="54"/>
  <c r="L5" i="54"/>
  <c r="H6" i="54"/>
  <c r="M6" i="54"/>
  <c r="E5" i="54"/>
  <c r="M5" i="54"/>
  <c r="I6" i="54"/>
  <c r="F5" i="54"/>
  <c r="N5" i="54"/>
  <c r="G16" i="54" l="1"/>
  <c r="G17" i="54"/>
  <c r="G18" i="54"/>
  <c r="G15" i="54" a="1"/>
  <c r="G15" i="54" s="1"/>
  <c r="G22" i="54"/>
  <c r="F22" i="54"/>
  <c r="F17" i="54"/>
  <c r="F18" i="54"/>
  <c r="F15" i="54" a="1"/>
  <c r="F15" i="54" s="1"/>
  <c r="F16" i="54"/>
  <c r="J15" i="54" a="1"/>
  <c r="J15" i="54" s="1"/>
  <c r="J16" i="54"/>
  <c r="J22" i="54"/>
  <c r="J17" i="54"/>
  <c r="J18" i="54"/>
  <c r="E22" i="54"/>
  <c r="E17" i="54"/>
  <c r="E18" i="54"/>
  <c r="E16" i="54"/>
  <c r="E15" i="54" a="1"/>
  <c r="E15" i="54" s="1"/>
  <c r="H18" i="54"/>
  <c r="H15" i="54" a="1"/>
  <c r="H15" i="54" s="1"/>
  <c r="H16" i="54"/>
  <c r="H22" i="54"/>
  <c r="H17" i="54"/>
  <c r="I16" i="54"/>
  <c r="I22" i="54"/>
  <c r="I17" i="54"/>
  <c r="I18" i="54"/>
  <c r="I15" i="54" a="1"/>
  <c r="I15" i="54" s="1"/>
  <c r="M22" i="54"/>
  <c r="M17" i="54"/>
  <c r="M18" i="54"/>
  <c r="M16" i="54"/>
  <c r="M15" i="54" a="1"/>
  <c r="M15" i="54" s="1"/>
  <c r="L16" i="54"/>
  <c r="L15" i="54" a="1"/>
  <c r="L15" i="54" s="1"/>
  <c r="L22" i="54"/>
  <c r="L17" i="54"/>
  <c r="L18" i="54"/>
  <c r="C5" i="54"/>
  <c r="C6" i="54"/>
  <c r="K16" i="54"/>
  <c r="K22" i="54"/>
  <c r="K17" i="54"/>
  <c r="K15" i="54" a="1"/>
  <c r="K15" i="54" s="1"/>
  <c r="K18" i="54"/>
  <c r="N22" i="54"/>
  <c r="N17" i="54"/>
  <c r="N18" i="54"/>
  <c r="N15" i="54" a="1"/>
  <c r="N15" i="54" s="1"/>
  <c r="N16" i="54"/>
  <c r="D16" i="54"/>
  <c r="D15" i="54" a="1"/>
  <c r="D15" i="54" s="1"/>
  <c r="D22" i="54"/>
  <c r="D17" i="54"/>
  <c r="D18" i="54"/>
  <c r="G19" i="54" l="1"/>
  <c r="L19" i="54"/>
  <c r="D19" i="54"/>
  <c r="N19" i="54"/>
  <c r="J19" i="54"/>
  <c r="E19" i="54"/>
  <c r="M19" i="54"/>
  <c r="F19" i="54"/>
  <c r="I19" i="54"/>
  <c r="C16" i="54"/>
  <c r="C22" i="54"/>
  <c r="C17" i="54"/>
  <c r="C15" i="54" a="1"/>
  <c r="C15" i="54" s="1"/>
  <c r="C18" i="54"/>
  <c r="C21" i="54" s="1"/>
  <c r="K19" i="54"/>
  <c r="H19" i="54"/>
  <c r="C19" i="54" l="1"/>
  <c r="C20" i="54"/>
  <c r="V3" i="43" l="1"/>
  <c r="U3" i="43"/>
  <c r="T3" i="43"/>
  <c r="S3" i="43"/>
  <c r="R3" i="43"/>
  <c r="Q3" i="43"/>
  <c r="P3" i="43"/>
  <c r="O3" i="43"/>
  <c r="N3" i="43"/>
  <c r="V2" i="43"/>
  <c r="U2" i="43"/>
  <c r="T2" i="43"/>
  <c r="S2" i="43"/>
  <c r="S70" i="43" s="1"/>
  <c r="E521" i="44" s="1"/>
  <c r="R2" i="43"/>
  <c r="Q2" i="43"/>
  <c r="P2" i="43"/>
  <c r="O2" i="43"/>
  <c r="N2" i="43"/>
  <c r="A1" i="43"/>
  <c r="V3" i="40"/>
  <c r="U3" i="40"/>
  <c r="T3" i="40"/>
  <c r="S3" i="40"/>
  <c r="R3" i="40"/>
  <c r="Q3" i="40"/>
  <c r="P3" i="40"/>
  <c r="O3" i="40"/>
  <c r="N3" i="40"/>
  <c r="V2" i="40"/>
  <c r="U2" i="40"/>
  <c r="T2" i="40"/>
  <c r="S2" i="40"/>
  <c r="R2" i="40"/>
  <c r="Q2" i="40"/>
  <c r="P2" i="40"/>
  <c r="O2" i="40"/>
  <c r="N2" i="40"/>
  <c r="A1" i="40"/>
  <c r="V3" i="42"/>
  <c r="U3" i="42"/>
  <c r="T3" i="42"/>
  <c r="S3" i="42"/>
  <c r="R3" i="42"/>
  <c r="Q3" i="42"/>
  <c r="P3" i="42"/>
  <c r="O3" i="42"/>
  <c r="N3" i="42"/>
  <c r="V2" i="42"/>
  <c r="U2" i="42"/>
  <c r="T2" i="42"/>
  <c r="S2" i="42"/>
  <c r="R2" i="42"/>
  <c r="Q2" i="42"/>
  <c r="P2" i="42"/>
  <c r="O2" i="42"/>
  <c r="N2" i="42"/>
  <c r="A1" i="42"/>
  <c r="V3" i="41"/>
  <c r="U3" i="41"/>
  <c r="T3" i="41"/>
  <c r="S3" i="41"/>
  <c r="R3" i="41"/>
  <c r="Q3" i="41"/>
  <c r="P3" i="41"/>
  <c r="O3" i="41"/>
  <c r="N3" i="41"/>
  <c r="V2" i="41"/>
  <c r="U2" i="41"/>
  <c r="T2" i="41"/>
  <c r="S2" i="41"/>
  <c r="R2" i="41"/>
  <c r="Q2" i="41"/>
  <c r="P2" i="41"/>
  <c r="O2" i="41"/>
  <c r="N2" i="41"/>
  <c r="A1" i="41"/>
  <c r="H403" i="28" a="1"/>
  <c r="H403" i="28" s="1"/>
  <c r="G293" i="28"/>
  <c r="G194" i="28"/>
  <c r="G202" i="24"/>
  <c r="H202" i="24" a="1"/>
  <c r="H202" i="24" s="1"/>
  <c r="G301" i="24"/>
  <c r="H301" i="24" a="1"/>
  <c r="H301" i="24" s="1"/>
  <c r="G411" i="24"/>
  <c r="H411" i="24" a="1"/>
  <c r="H411" i="24" s="1"/>
  <c r="B11" i="7" a="1"/>
  <c r="B11" i="7" s="1"/>
  <c r="B11" i="6" a="1"/>
  <c r="B11" i="6" s="1"/>
  <c r="A1" i="8"/>
  <c r="A1" i="7"/>
  <c r="A1" i="6"/>
  <c r="G587" i="44"/>
  <c r="F587" i="44"/>
  <c r="E587" i="44"/>
  <c r="D587" i="44"/>
  <c r="F575" i="44"/>
  <c r="E566" i="44"/>
  <c r="F487" i="44"/>
  <c r="F486" i="44"/>
  <c r="F485" i="44"/>
  <c r="C485" i="44"/>
  <c r="B485" i="44"/>
  <c r="F474" i="44"/>
  <c r="E465" i="44"/>
  <c r="F385" i="44"/>
  <c r="F384" i="44"/>
  <c r="F383" i="44"/>
  <c r="C383" i="44"/>
  <c r="B383" i="44"/>
  <c r="B380" i="44" s="1"/>
  <c r="F372" i="44"/>
  <c r="E363" i="44"/>
  <c r="F283" i="44"/>
  <c r="F282" i="44"/>
  <c r="F281" i="44"/>
  <c r="C281" i="44"/>
  <c r="C357" i="44" s="1"/>
  <c r="B281" i="44"/>
  <c r="F270" i="44"/>
  <c r="E261" i="44"/>
  <c r="F183" i="44"/>
  <c r="F182" i="44"/>
  <c r="F181" i="44"/>
  <c r="C181" i="44"/>
  <c r="B181"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1" i="44"/>
  <c r="E110" i="44"/>
  <c r="E112" i="44" s="1"/>
  <c r="D110" i="44"/>
  <c r="D112" i="44" s="1"/>
  <c r="E109" i="44"/>
  <c r="D109" i="44"/>
  <c r="E108" i="44"/>
  <c r="D108" i="44"/>
  <c r="E107" i="44"/>
  <c r="D107" i="44"/>
  <c r="G106" i="44"/>
  <c r="E106" i="44"/>
  <c r="G105" i="44"/>
  <c r="G104" i="44"/>
  <c r="E75" i="44"/>
  <c r="D75" i="44"/>
  <c r="E74" i="44"/>
  <c r="D74" i="44"/>
  <c r="E73" i="44"/>
  <c r="D73" i="44"/>
  <c r="D18" i="44"/>
  <c r="D17" i="44"/>
  <c r="G15" i="44"/>
  <c r="D14" i="44"/>
  <c r="D13" i="44"/>
  <c r="G12" i="44"/>
  <c r="D12" i="44"/>
  <c r="D11" i="44"/>
  <c r="A120" i="18"/>
  <c r="A103" i="18"/>
  <c r="G585" i="44"/>
  <c r="F585" i="44"/>
  <c r="E585" i="44"/>
  <c r="D585" i="44"/>
  <c r="C488" i="44"/>
  <c r="B488" i="44"/>
  <c r="C386" i="44"/>
  <c r="B386" i="44"/>
  <c r="C284" i="44"/>
  <c r="B284" i="44"/>
  <c r="C184" i="44"/>
  <c r="B184" i="44"/>
  <c r="V76" i="43"/>
  <c r="U76" i="43"/>
  <c r="T76" i="43"/>
  <c r="S76" i="43"/>
  <c r="R76" i="43"/>
  <c r="Q76" i="43"/>
  <c r="P76" i="43"/>
  <c r="O76" i="43"/>
  <c r="N76" i="43"/>
  <c r="N75" i="43" a="1"/>
  <c r="N75" i="43" s="1"/>
  <c r="AC128" i="43"/>
  <c r="F494" i="44" s="1"/>
  <c r="AB128" i="43"/>
  <c r="F493" i="44" s="1"/>
  <c r="AA128" i="43"/>
  <c r="F495" i="44" s="1"/>
  <c r="AC127" i="43"/>
  <c r="E494" i="44" s="1"/>
  <c r="AB127" i="43"/>
  <c r="E493" i="44" s="1"/>
  <c r="AA127" i="43"/>
  <c r="E495" i="44" s="1"/>
  <c r="AC126" i="43"/>
  <c r="AB126" i="43"/>
  <c r="D493" i="44" s="1"/>
  <c r="AA126" i="43"/>
  <c r="D495" i="44" s="1"/>
  <c r="AC125" i="43"/>
  <c r="AB125" i="43"/>
  <c r="AA125" i="43"/>
  <c r="Z6" i="43" a="1"/>
  <c r="W6" i="43" a="1"/>
  <c r="W6" i="43" s="1"/>
  <c r="N6" i="43" a="1"/>
  <c r="N6" i="43" s="1"/>
  <c r="A6" i="43" a="1"/>
  <c r="A6" i="43" s="1"/>
  <c r="V73" i="40"/>
  <c r="U73" i="40"/>
  <c r="T73" i="40"/>
  <c r="S73" i="40"/>
  <c r="R73" i="40"/>
  <c r="Q73" i="40"/>
  <c r="P73" i="40"/>
  <c r="O73" i="40"/>
  <c r="N73" i="40"/>
  <c r="N72" i="40" a="1"/>
  <c r="N72" i="40" s="1"/>
  <c r="AC122" i="40"/>
  <c r="F392" i="44" s="1"/>
  <c r="AB122" i="40"/>
  <c r="F391" i="44" s="1"/>
  <c r="AA122" i="40"/>
  <c r="F393" i="44" s="1"/>
  <c r="AC121" i="40"/>
  <c r="E392" i="44" s="1"/>
  <c r="AB121" i="40"/>
  <c r="E391" i="44" s="1"/>
  <c r="AA121" i="40"/>
  <c r="AC120" i="40"/>
  <c r="D392" i="44" s="1"/>
  <c r="AB120" i="40"/>
  <c r="D391" i="44" s="1"/>
  <c r="AA120" i="40"/>
  <c r="D393" i="44" s="1"/>
  <c r="AC119" i="40"/>
  <c r="AB119" i="40"/>
  <c r="AA119" i="40"/>
  <c r="Z6" i="40" a="1"/>
  <c r="Z6" i="40" s="1"/>
  <c r="W6" i="40" a="1"/>
  <c r="W6" i="40" s="1"/>
  <c r="N6" i="40" a="1"/>
  <c r="N6" i="40" s="1"/>
  <c r="A6" i="40" a="1"/>
  <c r="A6" i="40" s="1"/>
  <c r="V110" i="42"/>
  <c r="U110" i="42"/>
  <c r="T110" i="42"/>
  <c r="S110" i="42"/>
  <c r="R110" i="42"/>
  <c r="Q110" i="42"/>
  <c r="P110" i="42"/>
  <c r="O110" i="42"/>
  <c r="N110" i="42"/>
  <c r="N109" i="42" a="1"/>
  <c r="N109" i="42" s="1"/>
  <c r="AC196" i="42"/>
  <c r="F290" i="44" s="1"/>
  <c r="AB196" i="42"/>
  <c r="F289" i="44" s="1"/>
  <c r="AA196" i="42"/>
  <c r="F291" i="44" s="1"/>
  <c r="AC195" i="42"/>
  <c r="E290" i="44" s="1"/>
  <c r="AB195" i="42"/>
  <c r="E289" i="44" s="1"/>
  <c r="AA195" i="42"/>
  <c r="E291" i="44" s="1"/>
  <c r="AC194" i="42"/>
  <c r="D290" i="44" s="1"/>
  <c r="AB194" i="42"/>
  <c r="D289" i="44" s="1"/>
  <c r="AA194" i="42"/>
  <c r="D291" i="44" s="1"/>
  <c r="AC193" i="42"/>
  <c r="AB193" i="42"/>
  <c r="AA193" i="42"/>
  <c r="Z6" i="42" a="1"/>
  <c r="W6" i="42" a="1"/>
  <c r="W6" i="42" s="1"/>
  <c r="N6" i="42" a="1"/>
  <c r="N6" i="42" s="1"/>
  <c r="A6" i="42" a="1"/>
  <c r="A6" i="42" s="1"/>
  <c r="V189" i="41"/>
  <c r="U189" i="41"/>
  <c r="T189" i="41"/>
  <c r="S189" i="41"/>
  <c r="R189" i="41"/>
  <c r="Q189" i="41"/>
  <c r="P189" i="41"/>
  <c r="O189" i="41"/>
  <c r="N189" i="41"/>
  <c r="N188" i="41" a="1"/>
  <c r="N188" i="41" s="1"/>
  <c r="AC356" i="41"/>
  <c r="F190" i="44" s="1"/>
  <c r="AB356" i="41"/>
  <c r="F189" i="44" s="1"/>
  <c r="AA356" i="41"/>
  <c r="F191" i="44" s="1"/>
  <c r="AC355" i="41"/>
  <c r="E190" i="44" s="1"/>
  <c r="AB355" i="41"/>
  <c r="E189" i="44" s="1"/>
  <c r="AA355" i="41"/>
  <c r="E191" i="44" s="1"/>
  <c r="AC354" i="41"/>
  <c r="AB354" i="41"/>
  <c r="D189" i="44" s="1"/>
  <c r="AA354" i="41"/>
  <c r="D191" i="44" s="1"/>
  <c r="AC353" i="41"/>
  <c r="AB353" i="41"/>
  <c r="AA353" i="41"/>
  <c r="Z6" i="41" a="1"/>
  <c r="W6" i="41" a="1"/>
  <c r="W6" i="41" s="1"/>
  <c r="N6" i="41" a="1"/>
  <c r="N6" i="41" s="1"/>
  <c r="A6" i="41" a="1"/>
  <c r="A6" i="41" s="1"/>
  <c r="G39" i="45"/>
  <c r="F39" i="45"/>
  <c r="E39" i="45"/>
  <c r="D39" i="45"/>
  <c r="G38" i="45"/>
  <c r="G27" i="45"/>
  <c r="F27" i="45"/>
  <c r="E27" i="45"/>
  <c r="D27" i="45"/>
  <c r="B602" i="44"/>
  <c r="C560" i="44"/>
  <c r="B482" i="44"/>
  <c r="C459" i="44"/>
  <c r="C255" i="44"/>
  <c r="D197" i="44"/>
  <c r="G108" i="44"/>
  <c r="C90" i="44"/>
  <c r="C84" i="44"/>
  <c r="E8" i="44"/>
  <c r="C419" i="44" l="1"/>
  <c r="C521" i="44"/>
  <c r="B270" i="44"/>
  <c r="C312" i="44"/>
  <c r="C422" i="44"/>
  <c r="C215" i="44"/>
  <c r="C315" i="44"/>
  <c r="C254" i="44"/>
  <c r="B178" i="44"/>
  <c r="C316" i="44"/>
  <c r="C415" i="44"/>
  <c r="P68" i="43"/>
  <c r="H518" i="44" s="1"/>
  <c r="T70" i="43"/>
  <c r="E522" i="44" s="1"/>
  <c r="V71" i="43"/>
  <c r="F524" i="44" s="1"/>
  <c r="Q71" i="43"/>
  <c r="F519" i="44" s="1"/>
  <c r="U69" i="43"/>
  <c r="O71" i="43"/>
  <c r="F517" i="44" s="1"/>
  <c r="N7" i="43" a="1"/>
  <c r="N7" i="43" s="1"/>
  <c r="R70" i="43"/>
  <c r="E520" i="44" s="1"/>
  <c r="T69" i="43"/>
  <c r="T71" i="43"/>
  <c r="F522" i="44" s="1"/>
  <c r="U70" i="43"/>
  <c r="E523" i="44" s="1"/>
  <c r="U71" i="43"/>
  <c r="F523" i="44" s="1"/>
  <c r="P71" i="43"/>
  <c r="F518" i="44" s="1"/>
  <c r="P70" i="43"/>
  <c r="N68" i="43"/>
  <c r="V68" i="43"/>
  <c r="H524" i="44" s="1"/>
  <c r="R69" i="43"/>
  <c r="D520" i="44" s="1"/>
  <c r="N70" i="43"/>
  <c r="V70" i="43"/>
  <c r="E524" i="44" s="1"/>
  <c r="R71" i="43"/>
  <c r="F520" i="44" s="1"/>
  <c r="O68" i="43"/>
  <c r="H517" i="44" s="1"/>
  <c r="S69" i="43"/>
  <c r="S72" i="43" s="1"/>
  <c r="O70" i="43"/>
  <c r="E517" i="44" s="1"/>
  <c r="S71" i="43"/>
  <c r="F521" i="44" s="1"/>
  <c r="R68" i="43"/>
  <c r="H520" i="44" s="1"/>
  <c r="N69" i="43"/>
  <c r="V69" i="43"/>
  <c r="D524" i="44" s="1"/>
  <c r="N71" i="43"/>
  <c r="S68" i="43"/>
  <c r="H521" i="44" s="1"/>
  <c r="O69" i="43"/>
  <c r="D517" i="44" s="1"/>
  <c r="Q68" i="43"/>
  <c r="H519" i="44" s="1"/>
  <c r="Q70" i="43"/>
  <c r="E519" i="44" s="1"/>
  <c r="T68" i="43"/>
  <c r="H522" i="44" s="1"/>
  <c r="P69" i="43"/>
  <c r="D518" i="44" s="1"/>
  <c r="U68" i="43"/>
  <c r="H523" i="44" s="1"/>
  <c r="Q69" i="43"/>
  <c r="D519" i="44" s="1"/>
  <c r="U68" i="40"/>
  <c r="F421" i="44" s="1"/>
  <c r="P68" i="40"/>
  <c r="F416" i="44" s="1"/>
  <c r="R67" i="40"/>
  <c r="E418" i="44" s="1"/>
  <c r="P66" i="40"/>
  <c r="D416" i="44" s="1"/>
  <c r="T67" i="40"/>
  <c r="E420" i="44" s="1"/>
  <c r="O68" i="40"/>
  <c r="F415" i="44" s="1"/>
  <c r="V68" i="40"/>
  <c r="F422" i="44" s="1"/>
  <c r="N68" i="40"/>
  <c r="F414" i="44" s="1"/>
  <c r="O65" i="40"/>
  <c r="H415" i="44" s="1"/>
  <c r="O67" i="40"/>
  <c r="E415" i="44" s="1"/>
  <c r="T68" i="40"/>
  <c r="F420" i="44" s="1"/>
  <c r="S67" i="40"/>
  <c r="S66" i="40"/>
  <c r="D419" i="44" s="1"/>
  <c r="S68" i="40"/>
  <c r="F419" i="44" s="1"/>
  <c r="Q67" i="40"/>
  <c r="E417" i="44" s="1"/>
  <c r="N7" i="40" a="1"/>
  <c r="N7" i="40" s="1"/>
  <c r="U65" i="40"/>
  <c r="H421" i="44" s="1"/>
  <c r="Q66" i="40"/>
  <c r="D417" i="44" s="1"/>
  <c r="U67" i="40"/>
  <c r="Q68" i="40"/>
  <c r="F417" i="44" s="1"/>
  <c r="N65" i="40"/>
  <c r="H414" i="44" s="1"/>
  <c r="V65" i="40"/>
  <c r="H422" i="44" s="1"/>
  <c r="R66" i="40"/>
  <c r="D418" i="44" s="1"/>
  <c r="N67" i="40"/>
  <c r="E414" i="44" s="1"/>
  <c r="V67" i="40"/>
  <c r="E422" i="44" s="1"/>
  <c r="R68" i="40"/>
  <c r="F418" i="44" s="1"/>
  <c r="P65" i="40"/>
  <c r="H416" i="44" s="1"/>
  <c r="T66" i="40"/>
  <c r="D420" i="44" s="1"/>
  <c r="P67" i="40"/>
  <c r="E416" i="44" s="1"/>
  <c r="Q65" i="40"/>
  <c r="H417" i="44" s="1"/>
  <c r="U66" i="40"/>
  <c r="D421" i="44" s="1"/>
  <c r="R65" i="40"/>
  <c r="H418" i="44" s="1"/>
  <c r="N66" i="40"/>
  <c r="D414" i="44" s="1"/>
  <c r="V66" i="40"/>
  <c r="D422" i="44" s="1"/>
  <c r="S65" i="40"/>
  <c r="H419" i="44" s="1"/>
  <c r="O66" i="40"/>
  <c r="D415" i="44" s="1"/>
  <c r="T65" i="40"/>
  <c r="H420" i="44" s="1"/>
  <c r="Q102" i="42"/>
  <c r="H315" i="44" s="1"/>
  <c r="T105" i="42"/>
  <c r="F318" i="44" s="1"/>
  <c r="U105" i="42"/>
  <c r="F319" i="44" s="1"/>
  <c r="S104" i="42"/>
  <c r="E317" i="44" s="1"/>
  <c r="R102" i="42"/>
  <c r="H316" i="44" s="1"/>
  <c r="O105" i="42"/>
  <c r="F313" i="44" s="1"/>
  <c r="U103" i="42"/>
  <c r="D319" i="44" s="1"/>
  <c r="P104" i="42"/>
  <c r="E314" i="44" s="1"/>
  <c r="Q105" i="42"/>
  <c r="F315" i="44" s="1"/>
  <c r="R104" i="42"/>
  <c r="Q104" i="42"/>
  <c r="S102" i="42"/>
  <c r="H317" i="44" s="1"/>
  <c r="P103" i="42"/>
  <c r="D314" i="44" s="1"/>
  <c r="Q103" i="42"/>
  <c r="D315" i="44" s="1"/>
  <c r="N105" i="42"/>
  <c r="V105" i="42"/>
  <c r="F320" i="44" s="1"/>
  <c r="T104" i="42"/>
  <c r="E318" i="44" s="1"/>
  <c r="P105" i="42"/>
  <c r="F314" i="44" s="1"/>
  <c r="N7" i="42" a="1"/>
  <c r="N7" i="42" s="1"/>
  <c r="U102" i="42"/>
  <c r="H319" i="44" s="1"/>
  <c r="N102" i="42"/>
  <c r="H312" i="44" s="1"/>
  <c r="V102" i="42"/>
  <c r="H320" i="44" s="1"/>
  <c r="R103" i="42"/>
  <c r="D316" i="44" s="1"/>
  <c r="N104" i="42"/>
  <c r="V104" i="42"/>
  <c r="E320" i="44" s="1"/>
  <c r="R105" i="42"/>
  <c r="F316" i="44" s="1"/>
  <c r="U104" i="42"/>
  <c r="O102" i="42"/>
  <c r="H313" i="44" s="1"/>
  <c r="S103" i="42"/>
  <c r="O104" i="42"/>
  <c r="E313" i="44" s="1"/>
  <c r="S105" i="42"/>
  <c r="F317" i="44" s="1"/>
  <c r="T102" i="42"/>
  <c r="H318" i="44" s="1"/>
  <c r="P102" i="42"/>
  <c r="H314" i="44" s="1"/>
  <c r="T103" i="42"/>
  <c r="D318" i="44" s="1"/>
  <c r="N103" i="42"/>
  <c r="V103" i="42"/>
  <c r="O103" i="42"/>
  <c r="S184" i="41"/>
  <c r="F218" i="44" s="1"/>
  <c r="R183" i="41"/>
  <c r="E217" i="44" s="1"/>
  <c r="T181" i="41"/>
  <c r="H219" i="44" s="1"/>
  <c r="Q184" i="41"/>
  <c r="F216" i="44" s="1"/>
  <c r="S181" i="41"/>
  <c r="H218" i="44" s="1"/>
  <c r="U184" i="41"/>
  <c r="F220" i="44" s="1"/>
  <c r="P183" i="41"/>
  <c r="E215" i="44" s="1"/>
  <c r="Q181" i="41"/>
  <c r="H216" i="44" s="1"/>
  <c r="R184" i="41"/>
  <c r="F217" i="44" s="1"/>
  <c r="R181" i="41"/>
  <c r="H217" i="44" s="1"/>
  <c r="Q183" i="41"/>
  <c r="E216" i="44" s="1"/>
  <c r="T184" i="41"/>
  <c r="F219" i="44" s="1"/>
  <c r="S183" i="41"/>
  <c r="E218" i="44" s="1"/>
  <c r="N184" i="41"/>
  <c r="F213" i="44" s="1"/>
  <c r="V184" i="41"/>
  <c r="F221" i="44" s="1"/>
  <c r="O183" i="41"/>
  <c r="E214" i="44" s="1"/>
  <c r="O182" i="41"/>
  <c r="O184" i="41"/>
  <c r="F214" i="44" s="1"/>
  <c r="N7" i="41" a="1"/>
  <c r="N7" i="41" s="1"/>
  <c r="U181" i="41"/>
  <c r="H220" i="44" s="1"/>
  <c r="Q182" i="41"/>
  <c r="U183" i="41"/>
  <c r="E220" i="44" s="1"/>
  <c r="P184" i="41"/>
  <c r="F215" i="44" s="1"/>
  <c r="N181" i="41"/>
  <c r="H213" i="44" s="1"/>
  <c r="V181" i="41"/>
  <c r="H221" i="44" s="1"/>
  <c r="R182" i="41"/>
  <c r="D217" i="44" s="1"/>
  <c r="N183" i="41"/>
  <c r="V183" i="41"/>
  <c r="E221" i="44" s="1"/>
  <c r="P182" i="41"/>
  <c r="T183" i="41"/>
  <c r="E219" i="44" s="1"/>
  <c r="O181" i="41"/>
  <c r="H214" i="44" s="1"/>
  <c r="S182" i="41"/>
  <c r="D218" i="44" s="1"/>
  <c r="P181" i="41"/>
  <c r="H215" i="44" s="1"/>
  <c r="T182" i="41"/>
  <c r="U182" i="41"/>
  <c r="N182" i="41"/>
  <c r="D213" i="44" s="1"/>
  <c r="V182" i="41"/>
  <c r="D221" i="44" s="1"/>
  <c r="W76" i="43"/>
  <c r="W73" i="40"/>
  <c r="W110" i="42"/>
  <c r="W189" i="41"/>
  <c r="Z6" i="43"/>
  <c r="AA124" i="43" a="1"/>
  <c r="AA124" i="43" s="1"/>
  <c r="AA118" i="40" a="1"/>
  <c r="AA118" i="40" s="1"/>
  <c r="Z6" i="42"/>
  <c r="AA192" i="42" a="1"/>
  <c r="AA192" i="42" s="1"/>
  <c r="Z6" i="41"/>
  <c r="AA352" i="41" a="1"/>
  <c r="AA352" i="41" s="1"/>
  <c r="D190" i="44"/>
  <c r="D399" i="44"/>
  <c r="C219" i="44"/>
  <c r="C356" i="44"/>
  <c r="B278" i="44"/>
  <c r="E584" i="44"/>
  <c r="B372" i="44"/>
  <c r="C320" i="44"/>
  <c r="D501" i="44"/>
  <c r="C559" i="44"/>
  <c r="B575" i="44"/>
  <c r="G584" i="44"/>
  <c r="C517" i="44"/>
  <c r="C220" i="44"/>
  <c r="D500" i="44"/>
  <c r="H614" i="44"/>
  <c r="H612" i="44"/>
  <c r="C216" i="44"/>
  <c r="D296" i="44"/>
  <c r="E393" i="44"/>
  <c r="C414" i="44"/>
  <c r="C418" i="44"/>
  <c r="D494" i="44"/>
  <c r="C523" i="44"/>
  <c r="C519" i="44"/>
  <c r="C420" i="44"/>
  <c r="C416" i="44"/>
  <c r="C317" i="44"/>
  <c r="C313" i="44"/>
  <c r="C221" i="44"/>
  <c r="C217" i="44"/>
  <c r="C213" i="44"/>
  <c r="C218" i="44"/>
  <c r="C524" i="44"/>
  <c r="C520" i="44"/>
  <c r="C516" i="44"/>
  <c r="C421" i="44"/>
  <c r="C417" i="44"/>
  <c r="C318" i="44"/>
  <c r="C314" i="44"/>
  <c r="C214" i="44"/>
  <c r="C522" i="44"/>
  <c r="C518" i="44"/>
  <c r="D297" i="44"/>
  <c r="C319" i="44"/>
  <c r="F584" i="44"/>
  <c r="C458" i="44"/>
  <c r="B474" i="44"/>
  <c r="D398" i="44"/>
  <c r="D584" i="44"/>
  <c r="D196" i="44"/>
  <c r="P72" i="43" l="1"/>
  <c r="E518" i="44"/>
  <c r="G518" i="44" s="1"/>
  <c r="D521" i="44"/>
  <c r="G521" i="44" s="1"/>
  <c r="R72" i="43"/>
  <c r="G520" i="44"/>
  <c r="G517" i="44"/>
  <c r="O72" i="43"/>
  <c r="S69" i="40"/>
  <c r="G519" i="44"/>
  <c r="Q72" i="43"/>
  <c r="E419" i="44"/>
  <c r="G419" i="44" s="1"/>
  <c r="G418" i="44"/>
  <c r="R69" i="40"/>
  <c r="V69" i="40"/>
  <c r="U69" i="40"/>
  <c r="E421" i="44"/>
  <c r="G421" i="44" s="1"/>
  <c r="G420" i="44"/>
  <c r="G422" i="44"/>
  <c r="G417" i="44"/>
  <c r="N69" i="40"/>
  <c r="G414" i="44"/>
  <c r="G416" i="44"/>
  <c r="Q69" i="40"/>
  <c r="G415" i="44"/>
  <c r="W66" i="40"/>
  <c r="N75" i="40" s="1"/>
  <c r="E463" i="44" s="1"/>
  <c r="F469" i="44" s="1"/>
  <c r="P69" i="40"/>
  <c r="N70" i="40"/>
  <c r="E464" i="44" s="1"/>
  <c r="F592" i="44" s="1"/>
  <c r="W65" i="40"/>
  <c r="O69" i="40"/>
  <c r="T69" i="40"/>
  <c r="W67" i="40"/>
  <c r="E470" i="44" s="1"/>
  <c r="N71" i="40"/>
  <c r="W71" i="40" s="1"/>
  <c r="D403" i="44" s="1"/>
  <c r="T106" i="42"/>
  <c r="U106" i="42"/>
  <c r="W103" i="42"/>
  <c r="N112" i="42" s="1"/>
  <c r="E361" i="44" s="1"/>
  <c r="F367" i="44" s="1"/>
  <c r="G318" i="44"/>
  <c r="G314" i="44"/>
  <c r="N106" i="42"/>
  <c r="D312" i="44"/>
  <c r="E319" i="44"/>
  <c r="G319" i="44" s="1"/>
  <c r="G221" i="44"/>
  <c r="U185" i="41"/>
  <c r="V185" i="41"/>
  <c r="G217" i="44"/>
  <c r="R185" i="41"/>
  <c r="W182" i="41"/>
  <c r="D199" i="44" s="1"/>
  <c r="E199" i="44" s="1"/>
  <c r="S185" i="41"/>
  <c r="N187" i="41"/>
  <c r="W187" i="41" s="1"/>
  <c r="D201" i="44" s="1"/>
  <c r="D220" i="44"/>
  <c r="G220" i="44" s="1"/>
  <c r="G218" i="44"/>
  <c r="N107" i="42"/>
  <c r="F516" i="44"/>
  <c r="N74" i="43"/>
  <c r="W74" i="43" s="1"/>
  <c r="D505" i="44" s="1"/>
  <c r="P185" i="41"/>
  <c r="D215" i="44"/>
  <c r="G215" i="44" s="1"/>
  <c r="R106" i="42"/>
  <c r="E316" i="44"/>
  <c r="G316" i="44" s="1"/>
  <c r="F312" i="44"/>
  <c r="N108" i="42"/>
  <c r="W108" i="42" s="1"/>
  <c r="D301" i="44" s="1"/>
  <c r="P106" i="42"/>
  <c r="V106" i="42"/>
  <c r="D320" i="44"/>
  <c r="G320" i="44" s="1"/>
  <c r="E315" i="44"/>
  <c r="G315" i="44" s="1"/>
  <c r="Q106" i="42"/>
  <c r="D313" i="44"/>
  <c r="G313" i="44" s="1"/>
  <c r="O106" i="42"/>
  <c r="G524" i="44"/>
  <c r="T185" i="41"/>
  <c r="D219" i="44"/>
  <c r="G219" i="44" s="1"/>
  <c r="D214" i="44"/>
  <c r="G214" i="44" s="1"/>
  <c r="O185" i="41"/>
  <c r="W181" i="41"/>
  <c r="E254" i="44" s="1"/>
  <c r="E255" i="44" s="1"/>
  <c r="E516" i="44"/>
  <c r="W70" i="43"/>
  <c r="N79" i="43" s="1"/>
  <c r="D317" i="44"/>
  <c r="G317" i="44" s="1"/>
  <c r="S106" i="42"/>
  <c r="V72" i="43"/>
  <c r="W102" i="42"/>
  <c r="E356" i="44" s="1"/>
  <c r="E357" i="44" s="1"/>
  <c r="W68" i="43"/>
  <c r="E559" i="44" s="1"/>
  <c r="E560" i="44" s="1"/>
  <c r="H516" i="44"/>
  <c r="E312" i="44"/>
  <c r="W104" i="42"/>
  <c r="N113" i="42" s="1"/>
  <c r="D523" i="44"/>
  <c r="G523" i="44" s="1"/>
  <c r="U72" i="43"/>
  <c r="T72" i="43"/>
  <c r="D522" i="44"/>
  <c r="G522" i="44" s="1"/>
  <c r="W183" i="41"/>
  <c r="N192" i="41" s="1"/>
  <c r="E213" i="44"/>
  <c r="G213" i="44" s="1"/>
  <c r="N186" i="41"/>
  <c r="Q185" i="41"/>
  <c r="D216" i="44"/>
  <c r="G216" i="44" s="1"/>
  <c r="N185" i="41"/>
  <c r="N72" i="43"/>
  <c r="D516" i="44"/>
  <c r="N73" i="43"/>
  <c r="W69" i="43"/>
  <c r="N78" i="43" s="1"/>
  <c r="D400" i="44" l="1"/>
  <c r="E400" i="44" s="1"/>
  <c r="E458" i="44"/>
  <c r="E459" i="44" s="1"/>
  <c r="W70" i="40"/>
  <c r="F471" i="44"/>
  <c r="D401" i="44"/>
  <c r="E401" i="44" s="1"/>
  <c r="D402" i="44"/>
  <c r="E402" i="44" s="1"/>
  <c r="N76" i="40"/>
  <c r="E462" i="44" s="1"/>
  <c r="D299" i="44"/>
  <c r="E299" i="44" s="1"/>
  <c r="F369" i="44"/>
  <c r="G312" i="44"/>
  <c r="N191" i="41"/>
  <c r="E259" i="44" s="1"/>
  <c r="F265" i="44" s="1"/>
  <c r="F267" i="44"/>
  <c r="E591" i="44"/>
  <c r="D298" i="44"/>
  <c r="E298" i="44" s="1"/>
  <c r="D300" i="44"/>
  <c r="E300" i="44" s="1"/>
  <c r="E360" i="44"/>
  <c r="E367" i="44" s="1"/>
  <c r="E368" i="44"/>
  <c r="E260" i="44"/>
  <c r="D592" i="44" s="1"/>
  <c r="W186" i="41"/>
  <c r="E362" i="44"/>
  <c r="E592" i="44" s="1"/>
  <c r="W107" i="42"/>
  <c r="E564" i="44"/>
  <c r="F570" i="44" s="1"/>
  <c r="D503" i="44"/>
  <c r="E503" i="44" s="1"/>
  <c r="F572" i="44"/>
  <c r="E563" i="44"/>
  <c r="E570" i="44" s="1"/>
  <c r="D504" i="44"/>
  <c r="E504" i="44" s="1"/>
  <c r="E571" i="44"/>
  <c r="W73" i="43"/>
  <c r="E565" i="44"/>
  <c r="G592" i="44" s="1"/>
  <c r="E258" i="44"/>
  <c r="E265" i="44" s="1"/>
  <c r="E266" i="44"/>
  <c r="D200" i="44"/>
  <c r="E200" i="44" s="1"/>
  <c r="D502" i="44"/>
  <c r="E502" i="44" s="1"/>
  <c r="G516" i="44"/>
  <c r="D198" i="44"/>
  <c r="E198" i="44" s="1"/>
  <c r="F591" i="44"/>
  <c r="F586" i="44" l="1"/>
  <c r="F590" i="44"/>
  <c r="E469" i="44"/>
  <c r="E472" i="44" s="1"/>
  <c r="D598" i="44" s="1"/>
  <c r="F588" i="44"/>
  <c r="F472" i="44"/>
  <c r="F598" i="44" s="1"/>
  <c r="E466" i="44"/>
  <c r="F593" i="44" s="1"/>
  <c r="F370" i="44"/>
  <c r="F597" i="44" s="1"/>
  <c r="F268" i="44"/>
  <c r="F596" i="44" s="1"/>
  <c r="D591" i="44"/>
  <c r="D586" i="44"/>
  <c r="E364" i="44"/>
  <c r="E593" i="44" s="1"/>
  <c r="E590" i="44"/>
  <c r="E370" i="44"/>
  <c r="D597" i="44" s="1"/>
  <c r="E586" i="44"/>
  <c r="F573" i="44"/>
  <c r="F599" i="44" s="1"/>
  <c r="G591" i="44"/>
  <c r="G586" i="44"/>
  <c r="E268" i="44"/>
  <c r="E262" i="44"/>
  <c r="D593" i="44" s="1"/>
  <c r="D590" i="44"/>
  <c r="G590" i="44"/>
  <c r="E567" i="44"/>
  <c r="G593" i="44" s="1"/>
  <c r="E573" i="44"/>
  <c r="D599" i="44" s="1"/>
  <c r="E474" i="44" l="1"/>
  <c r="F600" i="44"/>
  <c r="E575" i="44"/>
  <c r="G588" i="44"/>
  <c r="D600" i="44"/>
  <c r="D596" i="44"/>
  <c r="D588" i="44"/>
  <c r="E270" i="44"/>
  <c r="E372" i="44"/>
  <c r="E588" i="44"/>
  <c r="E602" i="44" l="1"/>
  <c r="B612" i="44" s="1"/>
  <c r="K18" i="11" l="1"/>
  <c r="J18" i="11"/>
  <c r="I18" i="11"/>
  <c r="H18" i="11"/>
  <c r="G18" i="11"/>
  <c r="F18" i="11"/>
  <c r="E18" i="11"/>
  <c r="D18" i="11"/>
  <c r="C18" i="11"/>
  <c r="K17" i="11"/>
  <c r="J17" i="11"/>
  <c r="I17" i="11"/>
  <c r="H17" i="11"/>
  <c r="G17" i="11"/>
  <c r="F17" i="11"/>
  <c r="E17" i="11"/>
  <c r="D17" i="11"/>
  <c r="C17" i="11"/>
  <c r="K16" i="11"/>
  <c r="J16" i="11"/>
  <c r="I16" i="11"/>
  <c r="H16" i="11"/>
  <c r="G16" i="11"/>
  <c r="F16" i="11"/>
  <c r="E16" i="11"/>
  <c r="D16" i="11"/>
  <c r="C16" i="11"/>
  <c r="K18" i="10"/>
  <c r="J18" i="10"/>
  <c r="I18" i="10"/>
  <c r="H18" i="10"/>
  <c r="G18" i="10"/>
  <c r="F18" i="10"/>
  <c r="E18" i="10"/>
  <c r="D18" i="10"/>
  <c r="C18" i="10"/>
  <c r="K17" i="10"/>
  <c r="J17" i="10"/>
  <c r="I17" i="10"/>
  <c r="H17" i="10"/>
  <c r="G17" i="10"/>
  <c r="F17" i="10"/>
  <c r="E17" i="10"/>
  <c r="D17" i="10"/>
  <c r="C17" i="10"/>
  <c r="K16" i="10"/>
  <c r="J16" i="10"/>
  <c r="I16" i="10"/>
  <c r="H16" i="10"/>
  <c r="G16" i="10"/>
  <c r="F16" i="10"/>
  <c r="E16" i="10"/>
  <c r="D16" i="10"/>
  <c r="C16" i="10"/>
  <c r="D22" i="9"/>
  <c r="E22" i="9"/>
  <c r="F22" i="9"/>
  <c r="G22" i="9"/>
  <c r="H22" i="9"/>
  <c r="I22" i="9"/>
  <c r="J22" i="9"/>
  <c r="K22" i="9"/>
  <c r="D16" i="9"/>
  <c r="E16" i="9"/>
  <c r="F16" i="9"/>
  <c r="G16" i="9"/>
  <c r="H16" i="9"/>
  <c r="I16" i="9"/>
  <c r="J16" i="9"/>
  <c r="K16" i="9"/>
  <c r="D17" i="9"/>
  <c r="E17" i="9"/>
  <c r="F17" i="9"/>
  <c r="G17" i="9"/>
  <c r="H17" i="9"/>
  <c r="I17" i="9"/>
  <c r="J17" i="9"/>
  <c r="K17" i="9"/>
  <c r="D18" i="9"/>
  <c r="E18" i="9"/>
  <c r="F18" i="9"/>
  <c r="G18" i="9"/>
  <c r="H18" i="9"/>
  <c r="I18" i="9"/>
  <c r="J18" i="9"/>
  <c r="K18" i="9"/>
  <c r="C22" i="9"/>
  <c r="C18" i="9"/>
  <c r="C17" i="9"/>
  <c r="C16" i="9"/>
  <c r="C447" i="28"/>
  <c r="B425" i="28"/>
  <c r="C395" i="28"/>
  <c r="C342" i="28"/>
  <c r="B316" i="28"/>
  <c r="B284" i="28"/>
  <c r="B11" i="9" a="1"/>
  <c r="B11" i="9" s="1"/>
  <c r="C301" i="28"/>
  <c r="C300" i="28"/>
  <c r="H293" i="28" a="1"/>
  <c r="H293" i="28" s="1"/>
  <c r="B291" i="28"/>
  <c r="C246" i="28"/>
  <c r="B218" i="28"/>
  <c r="C188" i="28"/>
  <c r="H194" i="28" a="1"/>
  <c r="H194" i="28" s="1"/>
  <c r="B192" i="28" a="1"/>
  <c r="B192" i="28" s="1"/>
  <c r="A192" i="28" a="1"/>
  <c r="A192" i="28" s="1"/>
  <c r="C202" i="28"/>
  <c r="C201" i="28"/>
  <c r="L17" i="11"/>
  <c r="L16" i="11"/>
  <c r="A1" i="11"/>
  <c r="O16" i="11"/>
  <c r="G498" i="28" s="1"/>
  <c r="L17" i="10"/>
  <c r="L16" i="10"/>
  <c r="O16" i="10"/>
  <c r="F498" i="28" s="1"/>
  <c r="O16" i="9"/>
  <c r="L17" i="9" s="1"/>
  <c r="A1" i="9"/>
  <c r="A1" i="10"/>
  <c r="E56" i="38"/>
  <c r="D96" i="38" a="1"/>
  <c r="D96" i="38" s="1"/>
  <c r="C254" i="38"/>
  <c r="E303" i="38"/>
  <c r="B226" i="38"/>
  <c r="C234" i="38" a="1"/>
  <c r="C234" i="38" s="1"/>
  <c r="G122" i="38"/>
  <c r="H202" i="38" a="1"/>
  <c r="H202" i="38" s="1"/>
  <c r="G202" i="38" a="1"/>
  <c r="G202" i="38" s="1"/>
  <c r="C196" i="38"/>
  <c r="A167" i="38" a="1"/>
  <c r="A167" i="38" s="1"/>
  <c r="F28" i="39"/>
  <c r="C28" i="39"/>
  <c r="B28" i="39"/>
  <c r="B23" i="39"/>
  <c r="A23" i="39"/>
  <c r="H19" i="39"/>
  <c r="G28" i="39" s="1"/>
  <c r="H14" i="39"/>
  <c r="H13" i="39"/>
  <c r="C19" i="39"/>
  <c r="C13" i="39"/>
  <c r="C14" i="39"/>
  <c r="B14" i="39"/>
  <c r="A1" i="37"/>
  <c r="E306" i="38"/>
  <c r="E304" i="38"/>
  <c r="A200" i="38" a="1"/>
  <c r="A200" i="38" s="1"/>
  <c r="G121" i="38"/>
  <c r="G120" i="38"/>
  <c r="G119" i="38"/>
  <c r="D19" i="38"/>
  <c r="G18" i="38"/>
  <c r="D18" i="38"/>
  <c r="G16" i="38"/>
  <c r="D16" i="38"/>
  <c r="G15" i="38"/>
  <c r="D15" i="38"/>
  <c r="G13" i="38"/>
  <c r="D13" i="38"/>
  <c r="G12" i="38"/>
  <c r="D12" i="38"/>
  <c r="E10" i="38"/>
  <c r="P91" i="37"/>
  <c r="P90" i="37"/>
  <c r="P89" i="37"/>
  <c r="M91" i="37" s="1"/>
  <c r="B11" i="37" a="1"/>
  <c r="B11" i="37" s="1"/>
  <c r="A28" i="39" s="1"/>
  <c r="B10" i="37" a="1"/>
  <c r="B10" i="37" s="1"/>
  <c r="G497" i="28" l="1"/>
  <c r="F497" i="28"/>
  <c r="D19" i="9"/>
  <c r="F19" i="11"/>
  <c r="C19" i="11"/>
  <c r="J19" i="11"/>
  <c r="K19" i="11"/>
  <c r="H19" i="11"/>
  <c r="D19" i="11"/>
  <c r="E497" i="28"/>
  <c r="G19" i="10"/>
  <c r="L16" i="9"/>
  <c r="E498" i="28"/>
  <c r="F19" i="10"/>
  <c r="E19" i="9"/>
  <c r="F19" i="9"/>
  <c r="D19" i="10"/>
  <c r="K19" i="9"/>
  <c r="H19" i="10"/>
  <c r="J19" i="10"/>
  <c r="J19" i="9"/>
  <c r="E19" i="11"/>
  <c r="I19" i="9"/>
  <c r="I19" i="11"/>
  <c r="C19" i="10"/>
  <c r="K19" i="10"/>
  <c r="G19" i="11"/>
  <c r="G19" i="9"/>
  <c r="I19" i="10"/>
  <c r="H19" i="9"/>
  <c r="E19" i="10"/>
  <c r="C205" i="28"/>
  <c r="M90" i="37"/>
  <c r="M89" i="37"/>
  <c r="C210" i="38" l="1"/>
  <c r="A51" i="35"/>
  <c r="A50" i="35"/>
  <c r="A49" i="35"/>
  <c r="A48" i="35"/>
  <c r="A47" i="35"/>
  <c r="A46" i="35"/>
  <c r="A45" i="35"/>
  <c r="A44" i="35"/>
  <c r="A43" i="35"/>
  <c r="A42" i="35"/>
  <c r="A167" i="32" a="1"/>
  <c r="A167" i="32" s="1"/>
  <c r="C254" i="32"/>
  <c r="E303" i="32"/>
  <c r="C196" i="32"/>
  <c r="A1" i="31"/>
  <c r="G506" i="24"/>
  <c r="F506" i="24"/>
  <c r="E506" i="24"/>
  <c r="G505" i="24"/>
  <c r="F505" i="24"/>
  <c r="E505" i="24"/>
  <c r="C455" i="24"/>
  <c r="B433" i="24"/>
  <c r="B402" i="24"/>
  <c r="C350" i="24"/>
  <c r="B324" i="24"/>
  <c r="B291" i="24"/>
  <c r="C254" i="24"/>
  <c r="B226" i="24"/>
  <c r="C196" i="24"/>
  <c r="B200" i="24"/>
  <c r="F22" i="4"/>
  <c r="E22" i="4"/>
  <c r="D22" i="4"/>
  <c r="S15" i="8"/>
  <c r="P16" i="8" s="1"/>
  <c r="S15" i="7"/>
  <c r="P15" i="7" s="1"/>
  <c r="S15" i="6"/>
  <c r="P16" i="6" s="1"/>
  <c r="O15" i="31"/>
  <c r="L15" i="31" s="1"/>
  <c r="I22" i="3"/>
  <c r="H22" i="3"/>
  <c r="G22" i="3"/>
  <c r="F22" i="3"/>
  <c r="E22" i="3"/>
  <c r="D22" i="3"/>
  <c r="I22" i="4"/>
  <c r="H22" i="4"/>
  <c r="G22" i="4"/>
  <c r="B11" i="31" a="1"/>
  <c r="B11" i="31" s="1"/>
  <c r="C11" i="31" a="1"/>
  <c r="C11" i="31" s="1"/>
  <c r="E306" i="32"/>
  <c r="E304" i="32"/>
  <c r="A200" i="32" a="1"/>
  <c r="A200" i="32" s="1"/>
  <c r="G122" i="32"/>
  <c r="G121" i="32"/>
  <c r="G120" i="32"/>
  <c r="G119" i="32"/>
  <c r="D19" i="32"/>
  <c r="G18" i="32"/>
  <c r="D18" i="32"/>
  <c r="G16" i="32"/>
  <c r="D16" i="32"/>
  <c r="G15" i="32"/>
  <c r="D15" i="32"/>
  <c r="G13" i="32"/>
  <c r="D13" i="32"/>
  <c r="G12" i="32"/>
  <c r="D12" i="32"/>
  <c r="E10" i="32"/>
  <c r="O17" i="31"/>
  <c r="O16" i="31"/>
  <c r="C14" i="31" a="1"/>
  <c r="C14" i="31" s="1"/>
  <c r="C6" i="31" s="1"/>
  <c r="B10" i="31" a="1"/>
  <c r="B10" i="31" s="1"/>
  <c r="B50" i="29"/>
  <c r="B49" i="29"/>
  <c r="B48" i="29"/>
  <c r="B47" i="29"/>
  <c r="B46" i="29"/>
  <c r="B45" i="29"/>
  <c r="B44" i="29"/>
  <c r="B43" i="29"/>
  <c r="B42" i="29"/>
  <c r="H202" i="32" a="1"/>
  <c r="H202" i="32" s="1"/>
  <c r="G202" i="32" a="1"/>
  <c r="G202" i="32" s="1"/>
  <c r="B432" i="28" a="1"/>
  <c r="B432" i="28" s="1"/>
  <c r="C411" i="28"/>
  <c r="C410" i="28"/>
  <c r="B323" i="28" a="1"/>
  <c r="B323" i="28" s="1"/>
  <c r="B225" i="28" a="1"/>
  <c r="B225" i="28" s="1"/>
  <c r="A164" i="28" a="1"/>
  <c r="A164" i="28" s="1"/>
  <c r="G118" i="28"/>
  <c r="E96" i="28" a="1"/>
  <c r="E96" i="28" s="1"/>
  <c r="C79" i="28"/>
  <c r="C73" i="28"/>
  <c r="G500" i="28"/>
  <c r="F500" i="28"/>
  <c r="E500" i="28"/>
  <c r="B402" i="28"/>
  <c r="B292" i="28"/>
  <c r="G117" i="28"/>
  <c r="G116" i="28"/>
  <c r="G115" i="28"/>
  <c r="D19" i="28"/>
  <c r="G18" i="28"/>
  <c r="D18" i="28"/>
  <c r="G16" i="28"/>
  <c r="D16" i="28"/>
  <c r="G15" i="28"/>
  <c r="D15" i="28"/>
  <c r="G13" i="28"/>
  <c r="D13" i="28"/>
  <c r="G12" i="28"/>
  <c r="D12" i="28"/>
  <c r="E10" i="28"/>
  <c r="D98" i="32" l="1" a="1"/>
  <c r="D98" i="32" s="1"/>
  <c r="C96" i="38" a="1"/>
  <c r="C96" i="38" s="1"/>
  <c r="P16" i="7"/>
  <c r="L16" i="31"/>
  <c r="L17" i="31"/>
  <c r="C88" i="37" a="1"/>
  <c r="I202" i="38"/>
  <c r="C209" i="38"/>
  <c r="I202" i="32"/>
  <c r="P15" i="8"/>
  <c r="P15" i="6"/>
  <c r="F5" i="31"/>
  <c r="E6" i="31"/>
  <c r="C210" i="32"/>
  <c r="C209" i="32"/>
  <c r="I5" i="31"/>
  <c r="J5" i="31"/>
  <c r="I6" i="31"/>
  <c r="C5" i="31"/>
  <c r="K5" i="31"/>
  <c r="J6" i="31"/>
  <c r="H6" i="31"/>
  <c r="D5" i="31"/>
  <c r="K6" i="31"/>
  <c r="E5" i="31"/>
  <c r="D6" i="31"/>
  <c r="G5" i="31"/>
  <c r="F6" i="31"/>
  <c r="H5" i="31"/>
  <c r="G6" i="31"/>
  <c r="C14" i="11" a="1"/>
  <c r="C14" i="11" s="1"/>
  <c r="E414" i="28" s="1" a="1"/>
  <c r="E414" i="28" s="1"/>
  <c r="B11" i="11" a="1"/>
  <c r="B10" i="11" a="1"/>
  <c r="B10" i="11" s="1"/>
  <c r="O18" i="11"/>
  <c r="O17" i="11"/>
  <c r="C14" i="10" a="1"/>
  <c r="C14" i="10" s="1"/>
  <c r="B11" i="10" a="1"/>
  <c r="B10" i="10" a="1"/>
  <c r="O18" i="10"/>
  <c r="O17" i="10"/>
  <c r="C14" i="9" a="1"/>
  <c r="C14" i="9" s="1"/>
  <c r="O18" i="9"/>
  <c r="O17" i="9"/>
  <c r="B10" i="9" a="1"/>
  <c r="A48" i="3"/>
  <c r="C104" i="28" s="1"/>
  <c r="A47" i="3"/>
  <c r="C103" i="28" s="1"/>
  <c r="A46" i="3"/>
  <c r="C102" i="28" s="1"/>
  <c r="A45" i="3"/>
  <c r="C101" i="28" s="1"/>
  <c r="A44" i="3"/>
  <c r="C100" i="28" s="1"/>
  <c r="A43" i="3"/>
  <c r="C99" i="28" s="1"/>
  <c r="A42" i="3"/>
  <c r="C98" i="28" s="1"/>
  <c r="A41" i="3"/>
  <c r="C97" i="28" s="1"/>
  <c r="A40" i="3"/>
  <c r="C96" i="28" s="1"/>
  <c r="G508" i="24"/>
  <c r="F508" i="24"/>
  <c r="E508" i="24"/>
  <c r="B410" i="24"/>
  <c r="B300" i="24"/>
  <c r="B201"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B440" i="24" a="1"/>
  <c r="B440" i="24" s="1"/>
  <c r="B331" i="24" a="1"/>
  <c r="B331" i="24" s="1"/>
  <c r="B233" i="24" a="1"/>
  <c r="B233" i="24" s="1"/>
  <c r="C14" i="8" a="1"/>
  <c r="C14" i="8" s="1"/>
  <c r="B11" i="8" a="1"/>
  <c r="B11" i="8" s="1"/>
  <c r="C10" i="8" a="1"/>
  <c r="C10" i="8" s="1"/>
  <c r="B10" i="8"/>
  <c r="C14" i="7" a="1"/>
  <c r="C14" i="7" s="1"/>
  <c r="C10" i="7" a="1"/>
  <c r="C10" i="7" s="1"/>
  <c r="B10" i="7"/>
  <c r="C10" i="6" a="1"/>
  <c r="C10" i="6" s="1"/>
  <c r="B10" i="6"/>
  <c r="C14" i="6" a="1"/>
  <c r="C14" i="6" s="1"/>
  <c r="S17" i="8"/>
  <c r="S16" i="8"/>
  <c r="S17" i="7"/>
  <c r="S16" i="7"/>
  <c r="S17" i="6"/>
  <c r="S16" i="6"/>
  <c r="C419" i="24"/>
  <c r="C418" i="24"/>
  <c r="C309" i="24"/>
  <c r="C308" i="24"/>
  <c r="C210" i="24"/>
  <c r="C209" i="24"/>
  <c r="B10" i="10" l="1"/>
  <c r="E304" i="28"/>
  <c r="B10" i="9"/>
  <c r="E205" i="28"/>
  <c r="E6" i="37"/>
  <c r="G5" i="37"/>
  <c r="L6" i="37"/>
  <c r="F5" i="37"/>
  <c r="K6" i="37"/>
  <c r="E5" i="37"/>
  <c r="J6" i="37"/>
  <c r="L5" i="37"/>
  <c r="D5" i="37"/>
  <c r="I6" i="37"/>
  <c r="K5" i="37"/>
  <c r="H6" i="37"/>
  <c r="J5" i="37"/>
  <c r="G6" i="37"/>
  <c r="I5" i="37"/>
  <c r="F6" i="37"/>
  <c r="H5" i="37"/>
  <c r="D6" i="37"/>
  <c r="C88" i="37"/>
  <c r="I15" i="31" a="1"/>
  <c r="I15" i="31" s="1"/>
  <c r="F22" i="31"/>
  <c r="J15" i="31" a="1"/>
  <c r="J15" i="31" s="1"/>
  <c r="E18" i="31"/>
  <c r="H236" i="32" s="1" a="1"/>
  <c r="H236" i="32" s="1"/>
  <c r="G15" i="31" a="1"/>
  <c r="G15" i="31" s="1"/>
  <c r="E15" i="31" a="1"/>
  <c r="E15" i="31" s="1"/>
  <c r="G22" i="31"/>
  <c r="H16" i="31"/>
  <c r="G239" i="32" s="1" a="1"/>
  <c r="G239" i="32" s="1"/>
  <c r="E17" i="31"/>
  <c r="F236" i="32" s="1" a="1"/>
  <c r="F236" i="32" s="1"/>
  <c r="F17" i="31"/>
  <c r="F237" i="32" s="1" a="1"/>
  <c r="F237" i="32" s="1"/>
  <c r="G16" i="31"/>
  <c r="G238" i="32" s="1" a="1"/>
  <c r="G238" i="32" s="1"/>
  <c r="H15" i="31" a="1"/>
  <c r="H15" i="31" s="1"/>
  <c r="G18" i="31"/>
  <c r="H238" i="32" s="1" a="1"/>
  <c r="H238" i="32" s="1"/>
  <c r="H17" i="31"/>
  <c r="F239" i="32" s="1" a="1"/>
  <c r="F239" i="32" s="1"/>
  <c r="J17" i="31"/>
  <c r="F241" i="32" s="1" a="1"/>
  <c r="F241" i="32" s="1"/>
  <c r="J22" i="31"/>
  <c r="J16" i="31"/>
  <c r="G241" i="32" s="1" a="1"/>
  <c r="G241" i="32" s="1"/>
  <c r="J18" i="31"/>
  <c r="H241" i="32" s="1" a="1"/>
  <c r="H241" i="32" s="1"/>
  <c r="F15" i="31" a="1"/>
  <c r="F15" i="31" s="1"/>
  <c r="I16" i="31"/>
  <c r="G240" i="32" s="1" a="1"/>
  <c r="G240" i="32" s="1"/>
  <c r="F16" i="31"/>
  <c r="G237" i="32" s="1" a="1"/>
  <c r="G237" i="32" s="1"/>
  <c r="E16" i="31"/>
  <c r="G236" i="32" s="1" a="1"/>
  <c r="G236" i="32" s="1"/>
  <c r="E22" i="31"/>
  <c r="K22" i="31"/>
  <c r="K16" i="31"/>
  <c r="G242" i="32" s="1" a="1"/>
  <c r="G242" i="32" s="1"/>
  <c r="K18" i="31"/>
  <c r="H242" i="32" s="1" a="1"/>
  <c r="H242" i="32" s="1"/>
  <c r="K15" i="31" a="1"/>
  <c r="K15" i="31" s="1"/>
  <c r="K17" i="31"/>
  <c r="F242" i="32" s="1" a="1"/>
  <c r="F242" i="32" s="1"/>
  <c r="D22" i="31"/>
  <c r="D17" i="31"/>
  <c r="F235" i="32" s="1" a="1"/>
  <c r="F235" i="32" s="1"/>
  <c r="D18" i="31"/>
  <c r="H235" i="32" s="1" a="1"/>
  <c r="H235" i="32" s="1"/>
  <c r="D16" i="31"/>
  <c r="G235" i="32" s="1" a="1"/>
  <c r="G235" i="32" s="1"/>
  <c r="D15" i="31" a="1"/>
  <c r="D15" i="31" s="1"/>
  <c r="I17" i="31"/>
  <c r="F240" i="32" s="1" a="1"/>
  <c r="F240" i="32" s="1"/>
  <c r="I18" i="31"/>
  <c r="H240" i="32" s="1" a="1"/>
  <c r="H240" i="32" s="1"/>
  <c r="I22" i="31"/>
  <c r="H22" i="31"/>
  <c r="H18" i="31"/>
  <c r="H239" i="32" s="1" a="1"/>
  <c r="H239" i="32" s="1"/>
  <c r="F18" i="31"/>
  <c r="H237" i="32" s="1" a="1"/>
  <c r="H237" i="32" s="1"/>
  <c r="G17" i="31"/>
  <c r="F238" i="32" s="1" a="1"/>
  <c r="F238" i="32" s="1"/>
  <c r="C15" i="31" a="1"/>
  <c r="C15" i="31" s="1"/>
  <c r="C16" i="31"/>
  <c r="C22" i="31"/>
  <c r="C17" i="31"/>
  <c r="C18" i="31"/>
  <c r="H234" i="32" s="1" a="1"/>
  <c r="H234" i="32" s="1"/>
  <c r="B11" i="11"/>
  <c r="G403" i="28" s="1"/>
  <c r="B11" i="10"/>
  <c r="K5" i="10"/>
  <c r="I6" i="10"/>
  <c r="J6" i="10"/>
  <c r="E5" i="10"/>
  <c r="I5" i="10"/>
  <c r="H6" i="10"/>
  <c r="G6" i="10"/>
  <c r="F6" i="11"/>
  <c r="E5" i="9"/>
  <c r="F6" i="9"/>
  <c r="H6" i="9"/>
  <c r="I5" i="9"/>
  <c r="I6" i="9"/>
  <c r="J5" i="10"/>
  <c r="J5" i="9"/>
  <c r="J6" i="9"/>
  <c r="E6" i="9"/>
  <c r="F5" i="9"/>
  <c r="G6" i="9"/>
  <c r="H5" i="9"/>
  <c r="K5" i="9"/>
  <c r="K6" i="9"/>
  <c r="D6" i="10"/>
  <c r="D5" i="9"/>
  <c r="D6" i="9"/>
  <c r="G5" i="9"/>
  <c r="H6" i="11"/>
  <c r="G5" i="11"/>
  <c r="H5" i="11"/>
  <c r="G6" i="11"/>
  <c r="I5" i="11"/>
  <c r="J5" i="11"/>
  <c r="I6" i="11"/>
  <c r="K5" i="11"/>
  <c r="D5" i="11"/>
  <c r="K6" i="11"/>
  <c r="J6" i="11"/>
  <c r="E5" i="11"/>
  <c r="D6" i="11"/>
  <c r="F5" i="11"/>
  <c r="E6" i="11"/>
  <c r="D5" i="10"/>
  <c r="K6" i="10"/>
  <c r="F5" i="10"/>
  <c r="E6" i="10"/>
  <c r="G5" i="10"/>
  <c r="F6" i="10"/>
  <c r="H5" i="10"/>
  <c r="C5" i="9"/>
  <c r="C6" i="9"/>
  <c r="E5" i="6"/>
  <c r="J6" i="6"/>
  <c r="F5" i="6"/>
  <c r="G5" i="6"/>
  <c r="N5" i="6"/>
  <c r="I6" i="6"/>
  <c r="I5" i="8"/>
  <c r="D6" i="8"/>
  <c r="E6" i="8"/>
  <c r="L6" i="8"/>
  <c r="H5" i="8"/>
  <c r="M6" i="8"/>
  <c r="M5" i="6"/>
  <c r="I411" i="24"/>
  <c r="J5" i="8"/>
  <c r="F6" i="8"/>
  <c r="N6" i="8"/>
  <c r="D5" i="8"/>
  <c r="L5" i="8"/>
  <c r="H6" i="8"/>
  <c r="K5" i="8"/>
  <c r="G6" i="8"/>
  <c r="O6" i="8"/>
  <c r="E5" i="8"/>
  <c r="M5" i="8"/>
  <c r="I6" i="8"/>
  <c r="F5" i="8"/>
  <c r="N5" i="8"/>
  <c r="J6" i="8"/>
  <c r="G5" i="8"/>
  <c r="O5" i="8"/>
  <c r="K6" i="8"/>
  <c r="I301" i="24"/>
  <c r="F5" i="7"/>
  <c r="N5" i="7"/>
  <c r="J6" i="7"/>
  <c r="G5" i="7"/>
  <c r="O5" i="7"/>
  <c r="K6" i="7"/>
  <c r="G6" i="7"/>
  <c r="M5" i="7"/>
  <c r="I6" i="7"/>
  <c r="D6" i="7"/>
  <c r="O6" i="7"/>
  <c r="H5" i="7"/>
  <c r="L6" i="7"/>
  <c r="I5" i="7"/>
  <c r="E6" i="7"/>
  <c r="M6" i="7"/>
  <c r="J5" i="7"/>
  <c r="F6" i="7"/>
  <c r="N6" i="7"/>
  <c r="K5" i="7"/>
  <c r="D5" i="7"/>
  <c r="L5" i="7"/>
  <c r="H6" i="7"/>
  <c r="E5" i="7"/>
  <c r="I202" i="24"/>
  <c r="K6" i="6"/>
  <c r="H5" i="6"/>
  <c r="D6" i="6"/>
  <c r="L6" i="6"/>
  <c r="M6" i="6"/>
  <c r="J5" i="6"/>
  <c r="F6" i="6"/>
  <c r="N6" i="6"/>
  <c r="O5" i="6"/>
  <c r="I5" i="6"/>
  <c r="K5" i="6"/>
  <c r="G6" i="6"/>
  <c r="O6" i="6"/>
  <c r="E6" i="6"/>
  <c r="D5" i="6"/>
  <c r="L5" i="6"/>
  <c r="H6" i="6"/>
  <c r="C5" i="8"/>
  <c r="C6" i="8"/>
  <c r="C5" i="7"/>
  <c r="C6" i="7"/>
  <c r="C6" i="6"/>
  <c r="C5" i="6"/>
  <c r="F297" i="32" l="1"/>
  <c r="G234" i="32" a="1"/>
  <c r="G234" i="32" s="1"/>
  <c r="C212" i="32"/>
  <c r="E212" i="32" s="1" a="1"/>
  <c r="E212" i="32" s="1"/>
  <c r="C211" i="32"/>
  <c r="E211" i="32" s="1" a="1"/>
  <c r="E211" i="32" s="1"/>
  <c r="F234" i="32" a="1"/>
  <c r="F234" i="32" s="1"/>
  <c r="C213" i="32"/>
  <c r="E213" i="32" s="1" a="1"/>
  <c r="E213" i="32" s="1"/>
  <c r="C11" i="7" a="1"/>
  <c r="C11" i="7" s="1"/>
  <c r="C11" i="6" a="1"/>
  <c r="C11" i="6" s="1"/>
  <c r="C11" i="9" a="1"/>
  <c r="F304" i="28"/>
  <c r="D304" i="28"/>
  <c r="G91" i="37"/>
  <c r="F238" i="38" s="1" a="1"/>
  <c r="F238" i="38" s="1"/>
  <c r="L89" i="37" a="1"/>
  <c r="L89" i="37" s="1"/>
  <c r="L96" i="37"/>
  <c r="L91" i="37"/>
  <c r="F243" i="38" s="1" a="1"/>
  <c r="F243" i="38" s="1"/>
  <c r="L90" i="37"/>
  <c r="L92" i="37"/>
  <c r="H243" i="38" s="1" a="1"/>
  <c r="H243" i="38" s="1"/>
  <c r="I92" i="37"/>
  <c r="H240" i="38" s="1" a="1"/>
  <c r="H240" i="38" s="1"/>
  <c r="I91" i="37"/>
  <c r="F240" i="38" s="1" a="1"/>
  <c r="F240" i="38" s="1"/>
  <c r="I96" i="37"/>
  <c r="I90" i="37"/>
  <c r="I89" i="37" a="1"/>
  <c r="I89" i="37" s="1"/>
  <c r="E90" i="37"/>
  <c r="E89" i="37" a="1"/>
  <c r="E89" i="37" s="1"/>
  <c r="E96" i="37"/>
  <c r="E92" i="37"/>
  <c r="H236" i="38" s="1" a="1"/>
  <c r="H236" i="38" s="1"/>
  <c r="E91" i="37"/>
  <c r="F236" i="38" s="1" a="1"/>
  <c r="F236" i="38" s="1"/>
  <c r="J91" i="37"/>
  <c r="F241" i="38" s="1" a="1"/>
  <c r="F241" i="38" s="1"/>
  <c r="J89" i="37" a="1"/>
  <c r="J89" i="37" s="1"/>
  <c r="J90" i="37"/>
  <c r="J92" i="37"/>
  <c r="H241" i="38" s="1" a="1"/>
  <c r="H241" i="38" s="1"/>
  <c r="J96" i="37"/>
  <c r="F89" i="37" a="1"/>
  <c r="F89" i="37" s="1"/>
  <c r="F96" i="37"/>
  <c r="F92" i="37"/>
  <c r="H237" i="38" s="1" a="1"/>
  <c r="H237" i="38" s="1"/>
  <c r="F90" i="37"/>
  <c r="F91" i="37"/>
  <c r="F237" i="38" s="1" a="1"/>
  <c r="F237" i="38" s="1"/>
  <c r="C6" i="37"/>
  <c r="C5" i="37"/>
  <c r="K90" i="37"/>
  <c r="K89" i="37" a="1"/>
  <c r="K89" i="37" s="1"/>
  <c r="K96" i="37"/>
  <c r="K91" i="37"/>
  <c r="F242" i="38" s="1" a="1"/>
  <c r="F242" i="38" s="1"/>
  <c r="K92" i="37"/>
  <c r="H242" i="38" s="1" a="1"/>
  <c r="H242" i="38" s="1"/>
  <c r="G96" i="37"/>
  <c r="G92" i="37"/>
  <c r="H238" i="38" s="1" a="1"/>
  <c r="H238" i="38" s="1"/>
  <c r="G90" i="37"/>
  <c r="G89" i="37" a="1"/>
  <c r="G89" i="37" s="1"/>
  <c r="H96" i="37"/>
  <c r="H90" i="37"/>
  <c r="H92" i="37"/>
  <c r="H239" i="38" s="1" a="1"/>
  <c r="H239" i="38" s="1"/>
  <c r="H89" i="37" a="1"/>
  <c r="H89" i="37" s="1"/>
  <c r="H91" i="37"/>
  <c r="F239" i="38" s="1" a="1"/>
  <c r="F239" i="38" s="1"/>
  <c r="D90" i="37"/>
  <c r="D96" i="37"/>
  <c r="D89" i="37" a="1"/>
  <c r="D89" i="37" s="1"/>
  <c r="D91" i="37"/>
  <c r="F235" i="38" s="1" a="1"/>
  <c r="F235" i="38" s="1"/>
  <c r="D92" i="37"/>
  <c r="H235" i="38" s="1" a="1"/>
  <c r="H235" i="38" s="1"/>
  <c r="F19" i="31"/>
  <c r="I237" i="32" s="1" a="1"/>
  <c r="I237" i="32" s="1"/>
  <c r="H19" i="31"/>
  <c r="I239" i="32" s="1" a="1"/>
  <c r="I239" i="32" s="1"/>
  <c r="E19" i="31"/>
  <c r="I236" i="32" s="1" a="1"/>
  <c r="I236" i="32" s="1"/>
  <c r="C21" i="31"/>
  <c r="C214" i="32" s="1"/>
  <c r="I19" i="31"/>
  <c r="I240" i="32" s="1" a="1"/>
  <c r="I240" i="32" s="1"/>
  <c r="G19" i="31"/>
  <c r="I238" i="32" s="1" a="1"/>
  <c r="I238" i="32" s="1"/>
  <c r="K19" i="31"/>
  <c r="I242" i="32" s="1" a="1"/>
  <c r="I242" i="32" s="1"/>
  <c r="D19" i="31"/>
  <c r="I235" i="32" s="1" a="1"/>
  <c r="I235" i="32" s="1"/>
  <c r="J19" i="31"/>
  <c r="I241" i="32" s="1" a="1"/>
  <c r="I241" i="32" s="1"/>
  <c r="C19" i="31"/>
  <c r="I234" i="32" s="1" a="1"/>
  <c r="I234" i="32" s="1"/>
  <c r="C20" i="31"/>
  <c r="E305" i="32" s="1"/>
  <c r="I403" i="28"/>
  <c r="I293" i="28"/>
  <c r="I194" i="28"/>
  <c r="J22" i="10"/>
  <c r="E22" i="10"/>
  <c r="I22" i="10"/>
  <c r="O21" i="8"/>
  <c r="L21" i="8"/>
  <c r="F21" i="6"/>
  <c r="H22" i="10"/>
  <c r="K22" i="10"/>
  <c r="D22" i="10"/>
  <c r="F22" i="11"/>
  <c r="G22" i="10"/>
  <c r="J22" i="11"/>
  <c r="I22" i="11"/>
  <c r="E22" i="11"/>
  <c r="F22" i="10"/>
  <c r="G22" i="11"/>
  <c r="D22" i="11"/>
  <c r="K22" i="11"/>
  <c r="H22" i="11"/>
  <c r="C6" i="11"/>
  <c r="C5" i="11"/>
  <c r="C5" i="10"/>
  <c r="C6" i="10"/>
  <c r="G21" i="8"/>
  <c r="N21" i="7"/>
  <c r="E21" i="6"/>
  <c r="J21" i="6"/>
  <c r="F21" i="8"/>
  <c r="N21" i="8"/>
  <c r="D21" i="8"/>
  <c r="H21" i="8"/>
  <c r="E21" i="7"/>
  <c r="O21" i="7"/>
  <c r="K21" i="7"/>
  <c r="G21" i="7"/>
  <c r="E21" i="8"/>
  <c r="J21" i="7"/>
  <c r="I21" i="6"/>
  <c r="G21" i="6"/>
  <c r="N21" i="6"/>
  <c r="M21" i="6"/>
  <c r="K21" i="8"/>
  <c r="I21" i="8"/>
  <c r="M21" i="8"/>
  <c r="F21" i="7"/>
  <c r="M21" i="7"/>
  <c r="K21" i="6"/>
  <c r="J21" i="8"/>
  <c r="L21" i="7"/>
  <c r="D21" i="7"/>
  <c r="I21" i="7"/>
  <c r="H21" i="7"/>
  <c r="H21" i="6"/>
  <c r="O21" i="6"/>
  <c r="L21" i="6"/>
  <c r="C21" i="6"/>
  <c r="D21" i="6"/>
  <c r="C11" i="8" a="1"/>
  <c r="C21" i="8"/>
  <c r="C21" i="7"/>
  <c r="F213" i="32" l="1"/>
  <c r="C11" i="9"/>
  <c r="C15" i="9" s="1"/>
  <c r="G15" i="9"/>
  <c r="H15" i="9"/>
  <c r="J15" i="9"/>
  <c r="F15" i="9"/>
  <c r="E15" i="9"/>
  <c r="K15" i="9"/>
  <c r="D15" i="9"/>
  <c r="I15" i="9"/>
  <c r="G93" i="37"/>
  <c r="I238" i="38" s="1" a="1"/>
  <c r="I238" i="38" s="1"/>
  <c r="G238" i="38" a="1"/>
  <c r="G238" i="38" s="1"/>
  <c r="G237" i="38" a="1"/>
  <c r="G237" i="38" s="1"/>
  <c r="F93" i="37"/>
  <c r="I237" i="38" s="1" a="1"/>
  <c r="I237" i="38" s="1"/>
  <c r="G239" i="38" a="1"/>
  <c r="G239" i="38" s="1"/>
  <c r="H93" i="37"/>
  <c r="I239" i="38" s="1" a="1"/>
  <c r="I239" i="38" s="1"/>
  <c r="G242" i="38" a="1"/>
  <c r="G242" i="38" s="1"/>
  <c r="K93" i="37"/>
  <c r="I242" i="38" s="1" a="1"/>
  <c r="I242" i="38" s="1"/>
  <c r="G243" i="38" a="1"/>
  <c r="G243" i="38" s="1"/>
  <c r="L93" i="37"/>
  <c r="I243" i="38" s="1" a="1"/>
  <c r="I243" i="38" s="1"/>
  <c r="C89" i="37" a="1"/>
  <c r="C89" i="37" s="1"/>
  <c r="C90" i="37"/>
  <c r="C96" i="37"/>
  <c r="C91" i="37"/>
  <c r="C92" i="37"/>
  <c r="C95" i="37" s="1"/>
  <c r="C214" i="38" s="1"/>
  <c r="G236" i="38" a="1"/>
  <c r="G236" i="38" s="1"/>
  <c r="E93" i="37"/>
  <c r="I236" i="38" s="1" a="1"/>
  <c r="I236" i="38" s="1"/>
  <c r="G235" i="38" a="1"/>
  <c r="G235" i="38" s="1"/>
  <c r="D93" i="37"/>
  <c r="I235" i="38" s="1" a="1"/>
  <c r="I235" i="38" s="1"/>
  <c r="G241" i="38" a="1"/>
  <c r="G241" i="38" s="1"/>
  <c r="J93" i="37"/>
  <c r="I241" i="38" s="1" a="1"/>
  <c r="I241" i="38" s="1"/>
  <c r="G240" i="38" a="1"/>
  <c r="G240" i="38" s="1"/>
  <c r="I93" i="37"/>
  <c r="I240" i="38" s="1" a="1"/>
  <c r="I240" i="38" s="1"/>
  <c r="F212" i="32"/>
  <c r="D212" i="32"/>
  <c r="D211" i="32"/>
  <c r="F211" i="32"/>
  <c r="B232" i="28" a="1"/>
  <c r="B232" i="28" s="1"/>
  <c r="C11" i="11" a="1"/>
  <c r="C22" i="11"/>
  <c r="B439" i="28" s="1" a="1"/>
  <c r="B439" i="28" s="1"/>
  <c r="C11" i="10" a="1"/>
  <c r="C22" i="10"/>
  <c r="B330" i="28" s="1" a="1"/>
  <c r="B330" i="28" s="1"/>
  <c r="C228" i="28"/>
  <c r="J227" i="28"/>
  <c r="I226" i="28"/>
  <c r="J228" i="28"/>
  <c r="I227" i="28"/>
  <c r="H226" i="28"/>
  <c r="I228" i="28"/>
  <c r="H227" i="28"/>
  <c r="G226" i="28"/>
  <c r="H228" i="28"/>
  <c r="G227" i="28"/>
  <c r="F226" i="28"/>
  <c r="G228" i="28"/>
  <c r="F227" i="28"/>
  <c r="E226" i="28"/>
  <c r="F228" i="28"/>
  <c r="E227" i="28"/>
  <c r="D226" i="28"/>
  <c r="E228" i="28"/>
  <c r="D227" i="28"/>
  <c r="C226" i="28"/>
  <c r="D228" i="28"/>
  <c r="C227" i="28"/>
  <c r="J226" i="28"/>
  <c r="B447" i="24" a="1"/>
  <c r="B447" i="24" s="1"/>
  <c r="C11" i="8"/>
  <c r="C17" i="8" s="1"/>
  <c r="I15" i="8"/>
  <c r="O16" i="8"/>
  <c r="M15" i="8"/>
  <c r="D15" i="8"/>
  <c r="K16" i="8"/>
  <c r="J17" i="8"/>
  <c r="E15" i="8"/>
  <c r="M17" i="8"/>
  <c r="J15" i="8"/>
  <c r="I16" i="8"/>
  <c r="N15" i="8"/>
  <c r="H15" i="8"/>
  <c r="E17" i="8"/>
  <c r="N17" i="8"/>
  <c r="G16" i="8"/>
  <c r="L17" i="8"/>
  <c r="E16" i="8"/>
  <c r="N16" i="8"/>
  <c r="G15" i="8"/>
  <c r="K17" i="8"/>
  <c r="I17" i="8"/>
  <c r="L16" i="8"/>
  <c r="F15" i="8"/>
  <c r="D17" i="8"/>
  <c r="L15" i="8"/>
  <c r="F16" i="8"/>
  <c r="H17" i="8"/>
  <c r="J16" i="8"/>
  <c r="K15" i="8"/>
  <c r="M16" i="8"/>
  <c r="G17" i="8"/>
  <c r="O15" i="8"/>
  <c r="D16" i="8"/>
  <c r="F17" i="8"/>
  <c r="O17" i="8"/>
  <c r="H16" i="8"/>
  <c r="B338" i="24" a="1"/>
  <c r="B338" i="24" s="1"/>
  <c r="B240" i="24" a="1"/>
  <c r="B240" i="24" s="1"/>
  <c r="L17" i="7"/>
  <c r="D17" i="7"/>
  <c r="K16" i="7"/>
  <c r="J15" i="7"/>
  <c r="H16" i="7"/>
  <c r="G15" i="7"/>
  <c r="E17" i="7"/>
  <c r="D16" i="7"/>
  <c r="K17" i="7"/>
  <c r="J16" i="7"/>
  <c r="I15" i="7"/>
  <c r="N17" i="7"/>
  <c r="F17" i="7"/>
  <c r="M16" i="7"/>
  <c r="E16" i="7"/>
  <c r="L15" i="7"/>
  <c r="D15" i="7"/>
  <c r="L16" i="7"/>
  <c r="J17" i="7"/>
  <c r="I16" i="7"/>
  <c r="H15" i="7"/>
  <c r="I17" i="7"/>
  <c r="O15" i="7"/>
  <c r="M17" i="7"/>
  <c r="K15" i="7"/>
  <c r="H17" i="7"/>
  <c r="O16" i="7"/>
  <c r="G16" i="7"/>
  <c r="N15" i="7"/>
  <c r="F15" i="7"/>
  <c r="O17" i="7"/>
  <c r="G17" i="7"/>
  <c r="N16" i="7"/>
  <c r="F16" i="7"/>
  <c r="M15" i="7"/>
  <c r="E15" i="7"/>
  <c r="D213" i="32" l="1"/>
  <c r="C11" i="11"/>
  <c r="C15" i="11" s="1"/>
  <c r="I15" i="11"/>
  <c r="H15" i="11"/>
  <c r="J15" i="11"/>
  <c r="K15" i="11"/>
  <c r="D15" i="11"/>
  <c r="E15" i="11"/>
  <c r="F15" i="11"/>
  <c r="G15" i="11"/>
  <c r="C11" i="10"/>
  <c r="C15" i="10" s="1"/>
  <c r="E15" i="10"/>
  <c r="F15" i="10"/>
  <c r="G15" i="10"/>
  <c r="H15" i="10"/>
  <c r="I15" i="10"/>
  <c r="K15" i="10"/>
  <c r="D15" i="10"/>
  <c r="J15" i="10"/>
  <c r="F297" i="38"/>
  <c r="C93" i="37"/>
  <c r="I234" i="38" s="1" a="1"/>
  <c r="I234" i="38" s="1"/>
  <c r="D28" i="39"/>
  <c r="E28" i="39" s="1"/>
  <c r="H28" i="39" s="1"/>
  <c r="I28" i="39" s="1"/>
  <c r="H234" i="38" a="1"/>
  <c r="H234" i="38" s="1"/>
  <c r="E307" i="38"/>
  <c r="C213" i="38"/>
  <c r="F234" i="38" a="1"/>
  <c r="F234" i="38" s="1"/>
  <c r="E308" i="38"/>
  <c r="C212" i="38"/>
  <c r="E212" i="38" s="1" a="1"/>
  <c r="E212" i="38" s="1"/>
  <c r="F212" i="38" s="1"/>
  <c r="C211" i="38"/>
  <c r="E211" i="38" s="1" a="1"/>
  <c r="E211" i="38" s="1"/>
  <c r="F211" i="38" s="1"/>
  <c r="G234" i="38" a="1"/>
  <c r="G234" i="38" s="1"/>
  <c r="C94" i="37"/>
  <c r="E305" i="38" s="1"/>
  <c r="H18" i="7"/>
  <c r="K18" i="8"/>
  <c r="C229" i="28"/>
  <c r="F229" i="28"/>
  <c r="J229" i="28"/>
  <c r="E229" i="28"/>
  <c r="I229" i="28"/>
  <c r="H229" i="28"/>
  <c r="E501" i="28"/>
  <c r="E502" i="28"/>
  <c r="D229" i="28"/>
  <c r="G229" i="28"/>
  <c r="H18" i="8"/>
  <c r="C16" i="8"/>
  <c r="D18" i="8"/>
  <c r="L18" i="8"/>
  <c r="E18" i="8"/>
  <c r="J18" i="8"/>
  <c r="O18" i="8"/>
  <c r="I18" i="8"/>
  <c r="F18" i="8"/>
  <c r="G18" i="8"/>
  <c r="N18" i="8"/>
  <c r="M18" i="8"/>
  <c r="C15" i="8"/>
  <c r="C421" i="24" s="1"/>
  <c r="C20" i="8"/>
  <c r="C423" i="24"/>
  <c r="F18" i="7"/>
  <c r="O18" i="7"/>
  <c r="L18" i="7"/>
  <c r="J18" i="7"/>
  <c r="K18" i="7"/>
  <c r="N18" i="7"/>
  <c r="G18" i="7"/>
  <c r="E18" i="7"/>
  <c r="M18" i="7"/>
  <c r="I18" i="7"/>
  <c r="C16" i="7"/>
  <c r="C15" i="7"/>
  <c r="C17" i="7"/>
  <c r="C20" i="7" s="1"/>
  <c r="D18" i="7"/>
  <c r="K17" i="6"/>
  <c r="J236" i="24" s="1"/>
  <c r="J16" i="6"/>
  <c r="I235" i="24" s="1"/>
  <c r="I15" i="6"/>
  <c r="H234" i="24" s="1"/>
  <c r="J17" i="6"/>
  <c r="I236" i="24" s="1"/>
  <c r="I17" i="6"/>
  <c r="H236" i="24" s="1"/>
  <c r="H16" i="6"/>
  <c r="G235" i="24" s="1"/>
  <c r="O15" i="6"/>
  <c r="N234" i="24" s="1"/>
  <c r="G15" i="6"/>
  <c r="F234" i="24" s="1"/>
  <c r="D17" i="6"/>
  <c r="C236" i="24" s="1"/>
  <c r="I16" i="6"/>
  <c r="H235" i="24" s="1"/>
  <c r="H15" i="6"/>
  <c r="G234" i="24" s="1"/>
  <c r="H17" i="6"/>
  <c r="G236" i="24" s="1"/>
  <c r="O16" i="6"/>
  <c r="N235" i="24" s="1"/>
  <c r="G16" i="6"/>
  <c r="F235" i="24" s="1"/>
  <c r="N15" i="6"/>
  <c r="M234" i="24" s="1"/>
  <c r="F15" i="6"/>
  <c r="E234" i="24" s="1"/>
  <c r="O17" i="6"/>
  <c r="N236" i="24" s="1"/>
  <c r="G17" i="6"/>
  <c r="F236" i="24" s="1"/>
  <c r="N16" i="6"/>
  <c r="M235" i="24" s="1"/>
  <c r="F16" i="6"/>
  <c r="E235" i="24" s="1"/>
  <c r="M15" i="6"/>
  <c r="L234" i="24" s="1"/>
  <c r="E15" i="6"/>
  <c r="D234" i="24" s="1"/>
  <c r="L17" i="6"/>
  <c r="K236" i="24" s="1"/>
  <c r="K16" i="6"/>
  <c r="J235" i="24" s="1"/>
  <c r="J15" i="6"/>
  <c r="I234" i="24" s="1"/>
  <c r="N17" i="6"/>
  <c r="M236" i="24" s="1"/>
  <c r="F17" i="6"/>
  <c r="E236" i="24" s="1"/>
  <c r="M16" i="6"/>
  <c r="L235" i="24" s="1"/>
  <c r="E16" i="6"/>
  <c r="D235" i="24" s="1"/>
  <c r="L15" i="6"/>
  <c r="K234" i="24" s="1"/>
  <c r="D15" i="6"/>
  <c r="C234" i="24" s="1"/>
  <c r="M17" i="6"/>
  <c r="L236" i="24" s="1"/>
  <c r="E17" i="6"/>
  <c r="D236" i="24" s="1"/>
  <c r="L16" i="6"/>
  <c r="K235" i="24" s="1"/>
  <c r="D16" i="6"/>
  <c r="C235" i="24" s="1"/>
  <c r="K15" i="6"/>
  <c r="J234" i="24" s="1"/>
  <c r="E213" i="38" l="1" a="1"/>
  <c r="E213" i="38" s="1"/>
  <c r="F213" i="38" s="1"/>
  <c r="D211" i="38"/>
  <c r="D212" i="38"/>
  <c r="C21" i="9"/>
  <c r="B228" i="28"/>
  <c r="B227" i="28"/>
  <c r="B226" i="28"/>
  <c r="E504" i="28"/>
  <c r="E204" i="28" a="1"/>
  <c r="E204" i="28" s="1"/>
  <c r="C204" i="28"/>
  <c r="E203" i="28" a="1"/>
  <c r="E203" i="28" s="1"/>
  <c r="C203" i="28"/>
  <c r="G502" i="28"/>
  <c r="G501" i="28"/>
  <c r="F501" i="28"/>
  <c r="F502" i="28"/>
  <c r="C21" i="10"/>
  <c r="F503" i="28" s="1"/>
  <c r="C19" i="9"/>
  <c r="B229" i="28" s="1"/>
  <c r="C20" i="9"/>
  <c r="C18" i="8"/>
  <c r="B441" i="24" s="1" a="1"/>
  <c r="B441" i="24" s="1"/>
  <c r="G512" i="24"/>
  <c r="C422" i="24"/>
  <c r="C19" i="8"/>
  <c r="G507" i="24" s="1"/>
  <c r="G510" i="24"/>
  <c r="G509" i="24"/>
  <c r="E422" i="24" a="1"/>
  <c r="E422" i="24" s="1"/>
  <c r="F422" i="24" s="1"/>
  <c r="E421" i="24" a="1"/>
  <c r="E421" i="24" s="1"/>
  <c r="F421" i="24" s="1"/>
  <c r="C420" i="24"/>
  <c r="E420" i="24" a="1"/>
  <c r="E420" i="24" s="1"/>
  <c r="F420" i="24" s="1"/>
  <c r="B446" i="24"/>
  <c r="G511" i="24"/>
  <c r="B337" i="24"/>
  <c r="E310" i="24" a="1"/>
  <c r="E310" i="24" s="1"/>
  <c r="C310" i="24"/>
  <c r="F512" i="24"/>
  <c r="C313" i="24"/>
  <c r="C312" i="24"/>
  <c r="E311" i="24" a="1"/>
  <c r="E311" i="24" s="1"/>
  <c r="C311" i="24"/>
  <c r="E312" i="24" a="1"/>
  <c r="E312" i="24" s="1"/>
  <c r="F509" i="24"/>
  <c r="L18" i="6"/>
  <c r="K237" i="24" s="1"/>
  <c r="N18" i="6"/>
  <c r="M237" i="24" s="1"/>
  <c r="I18" i="6"/>
  <c r="H237" i="24" s="1"/>
  <c r="H18" i="6"/>
  <c r="G237" i="24" s="1"/>
  <c r="J18" i="6"/>
  <c r="I237" i="24" s="1"/>
  <c r="O18" i="6"/>
  <c r="N237" i="24" s="1"/>
  <c r="D18" i="6"/>
  <c r="C237" i="24" s="1"/>
  <c r="F18" i="6"/>
  <c r="E237" i="24" s="1"/>
  <c r="G18" i="6"/>
  <c r="F237" i="24" s="1"/>
  <c r="C18" i="7"/>
  <c r="B332" i="24" s="1" a="1"/>
  <c r="B332" i="24" s="1"/>
  <c r="C19" i="7"/>
  <c r="E18" i="6"/>
  <c r="D237" i="24" s="1"/>
  <c r="K18" i="6"/>
  <c r="J237" i="24" s="1"/>
  <c r="M18" i="6"/>
  <c r="L237" i="24" s="1"/>
  <c r="C17" i="6"/>
  <c r="C16" i="6"/>
  <c r="C15" i="6"/>
  <c r="D213" i="38" l="1"/>
  <c r="E503" i="28"/>
  <c r="C206" i="28"/>
  <c r="C21" i="11"/>
  <c r="G503" i="28" s="1"/>
  <c r="C415" i="28"/>
  <c r="C413" i="28"/>
  <c r="E412" i="28" a="1"/>
  <c r="E412" i="28" s="1"/>
  <c r="C412" i="28"/>
  <c r="G504" i="28"/>
  <c r="E413" i="28" a="1"/>
  <c r="E413" i="28" s="1"/>
  <c r="B329" i="28"/>
  <c r="F504" i="28"/>
  <c r="C304" i="28"/>
  <c r="E303" i="28" a="1"/>
  <c r="E303" i="28" s="1"/>
  <c r="C303" i="28"/>
  <c r="E302" i="28" a="1"/>
  <c r="E302" i="28" s="1"/>
  <c r="C302" i="28"/>
  <c r="C305" i="28"/>
  <c r="B231" i="28"/>
  <c r="E499" i="28"/>
  <c r="B230" i="28"/>
  <c r="D203" i="28"/>
  <c r="F203" i="28"/>
  <c r="D205" i="28"/>
  <c r="F205" i="28"/>
  <c r="C414" i="28"/>
  <c r="D204" i="28"/>
  <c r="F204" i="28"/>
  <c r="C20" i="11"/>
  <c r="B433" i="28" a="1"/>
  <c r="B433" i="28" s="1"/>
  <c r="B324" i="28" a="1"/>
  <c r="B324" i="28" s="1"/>
  <c r="C20" i="10"/>
  <c r="D421" i="24"/>
  <c r="B445" i="24"/>
  <c r="D422" i="24"/>
  <c r="D420" i="24"/>
  <c r="F311" i="24"/>
  <c r="D311" i="24"/>
  <c r="B336" i="24"/>
  <c r="F507" i="24"/>
  <c r="F310" i="24"/>
  <c r="D310" i="24"/>
  <c r="D312" i="24"/>
  <c r="F312" i="24"/>
  <c r="C20" i="6"/>
  <c r="C214" i="24"/>
  <c r="B236" i="24"/>
  <c r="C211" i="24"/>
  <c r="E512" i="24"/>
  <c r="E211" i="24" a="1"/>
  <c r="E211" i="24" s="1"/>
  <c r="E212" i="24" a="1"/>
  <c r="E212" i="24" s="1"/>
  <c r="C212" i="24"/>
  <c r="B234" i="24"/>
  <c r="E510" i="24"/>
  <c r="E509" i="24"/>
  <c r="E213" i="24" a="1"/>
  <c r="E213" i="24" s="1"/>
  <c r="B235" i="24"/>
  <c r="C213" i="24"/>
  <c r="C18" i="6"/>
  <c r="B237" i="24" s="1"/>
  <c r="C19" i="6"/>
  <c r="F413" i="28" l="1"/>
  <c r="D413" i="28"/>
  <c r="F499" i="28"/>
  <c r="B328" i="28"/>
  <c r="D414" i="28"/>
  <c r="F414" i="28"/>
  <c r="G499" i="28"/>
  <c r="B437" i="28"/>
  <c r="F412" i="28"/>
  <c r="D412" i="28"/>
  <c r="D302" i="28"/>
  <c r="F302" i="28"/>
  <c r="B438" i="28"/>
  <c r="F303" i="28"/>
  <c r="D303" i="28"/>
  <c r="D212" i="24"/>
  <c r="F212" i="24"/>
  <c r="F211" i="24"/>
  <c r="D211" i="24"/>
  <c r="D213" i="24"/>
  <c r="F213" i="24"/>
  <c r="E507" i="24"/>
  <c r="B238" i="24"/>
  <c r="B239" i="24"/>
  <c r="E511" i="24"/>
  <c r="A56" i="4" l="1"/>
  <c r="C108" i="24" s="1"/>
  <c r="A55" i="4"/>
  <c r="C107" i="24" s="1"/>
  <c r="A54" i="4"/>
  <c r="C106" i="24" s="1"/>
  <c r="A53" i="4"/>
  <c r="C105" i="24" s="1"/>
  <c r="A52" i="4"/>
  <c r="C104" i="24" s="1"/>
  <c r="A51" i="4"/>
  <c r="C103" i="24" s="1"/>
  <c r="A50" i="4"/>
  <c r="C102" i="24" s="1"/>
  <c r="A49" i="4"/>
  <c r="C101" i="24" s="1"/>
  <c r="A48" i="4"/>
  <c r="C100" i="24" s="1"/>
  <c r="A47" i="4"/>
  <c r="C99" i="24" s="1"/>
  <c r="A46" i="4"/>
  <c r="C98" i="24" s="1"/>
  <c r="A45" i="4"/>
  <c r="C97" i="24" s="1"/>
  <c r="A44" i="4"/>
  <c r="C96" i="24" s="1"/>
  <c r="F34" i="19" l="1"/>
  <c r="G34" i="19" s="1"/>
  <c r="F31" i="19"/>
  <c r="G31" i="19" s="1"/>
  <c r="F28" i="19"/>
  <c r="G28" i="19" s="1"/>
  <c r="A24" i="19"/>
  <c r="K36" i="19"/>
  <c r="K37" i="19" s="1"/>
  <c r="B34" i="19"/>
  <c r="B31" i="19"/>
  <c r="B15" i="19"/>
  <c r="I11" i="19" s="1"/>
  <c r="B14" i="19"/>
  <c r="H11" i="19" s="1"/>
  <c r="B13" i="19"/>
  <c r="C13" i="19" s="1" a="1"/>
  <c r="C13" i="19" s="1"/>
  <c r="C22" i="19" s="1"/>
  <c r="G122" i="20"/>
  <c r="G121" i="20"/>
  <c r="G120" i="20"/>
  <c r="G119" i="20"/>
  <c r="E306" i="20"/>
  <c r="E304" i="20"/>
  <c r="C234" i="20" a="1"/>
  <c r="H202" i="20" a="1"/>
  <c r="H202" i="20" s="1"/>
  <c r="G202" i="20" a="1"/>
  <c r="G202" i="20" s="1"/>
  <c r="A200" i="20" a="1"/>
  <c r="A200" i="20" s="1"/>
  <c r="A167" i="20" a="1"/>
  <c r="A167" i="20" s="1"/>
  <c r="D96" i="20" a="1"/>
  <c r="D96" i="20" s="1"/>
  <c r="G18" i="20"/>
  <c r="D19" i="20"/>
  <c r="D18" i="20"/>
  <c r="G16" i="20"/>
  <c r="G15" i="20"/>
  <c r="D16" i="20"/>
  <c r="D15" i="20"/>
  <c r="G13" i="20"/>
  <c r="G12" i="20"/>
  <c r="D13" i="20"/>
  <c r="D12" i="20"/>
  <c r="E10" i="20"/>
  <c r="E303" i="20"/>
  <c r="C234" i="20" l="1"/>
  <c r="I245" i="20"/>
  <c r="I243" i="20"/>
  <c r="I241" i="20"/>
  <c r="I239" i="20"/>
  <c r="I237" i="20"/>
  <c r="I235" i="20"/>
  <c r="G245" i="20"/>
  <c r="F245" i="20"/>
  <c r="H245" i="20"/>
  <c r="H243" i="20"/>
  <c r="H241" i="20"/>
  <c r="H239" i="20"/>
  <c r="H237" i="20"/>
  <c r="H235" i="20"/>
  <c r="G239" i="20"/>
  <c r="F239" i="20"/>
  <c r="I244" i="20"/>
  <c r="I242" i="20"/>
  <c r="I240" i="20"/>
  <c r="I238" i="20"/>
  <c r="I236" i="20"/>
  <c r="I234" i="20"/>
  <c r="G237" i="20"/>
  <c r="F235" i="20"/>
  <c r="H244" i="20"/>
  <c r="H242" i="20"/>
  <c r="H240" i="20"/>
  <c r="H238" i="20"/>
  <c r="H236" i="20"/>
  <c r="H234" i="20"/>
  <c r="G235" i="20"/>
  <c r="F241" i="20"/>
  <c r="G244" i="20"/>
  <c r="G242" i="20"/>
  <c r="G240" i="20"/>
  <c r="G238" i="20"/>
  <c r="G236" i="20"/>
  <c r="G234" i="20"/>
  <c r="G241" i="20"/>
  <c r="F237" i="20"/>
  <c r="F244" i="20"/>
  <c r="F242" i="20"/>
  <c r="F240" i="20"/>
  <c r="F238" i="20"/>
  <c r="F236" i="20"/>
  <c r="F234" i="20"/>
  <c r="G243" i="20"/>
  <c r="F243" i="20"/>
  <c r="C209" i="20"/>
  <c r="C210" i="20"/>
  <c r="H10" i="19"/>
  <c r="C15" i="19" a="1"/>
  <c r="C15" i="19" s="1"/>
  <c r="C20" i="19" s="1"/>
  <c r="I15" i="19"/>
  <c r="C14" i="19" a="1"/>
  <c r="C14" i="19" s="1"/>
  <c r="C21" i="19" s="1"/>
  <c r="G13" i="19"/>
  <c r="C31" i="19"/>
  <c r="G10" i="19"/>
  <c r="H14" i="19"/>
  <c r="C34" i="19"/>
  <c r="I10" i="19"/>
  <c r="G11" i="19"/>
  <c r="C28" i="19"/>
  <c r="I202" i="20"/>
  <c r="D31" i="19"/>
  <c r="D34" i="19"/>
  <c r="D28" i="19"/>
  <c r="E31" i="19" l="1"/>
  <c r="I31" i="19" s="1"/>
  <c r="E34" i="19"/>
  <c r="I34" i="19" s="1"/>
  <c r="E28" i="19"/>
  <c r="I28" i="19" s="1"/>
  <c r="H31" i="19" l="1"/>
  <c r="H28" i="19"/>
  <c r="H34" i="19"/>
  <c r="A34" i="19" l="1"/>
  <c r="A31" i="19"/>
  <c r="E309" i="38" l="1"/>
  <c r="E307" i="32"/>
  <c r="E307" i="20"/>
  <c r="F212" i="20"/>
  <c r="F213" i="20"/>
  <c r="D212" i="20" l="1"/>
  <c r="D213" i="20"/>
  <c r="D211" i="20"/>
  <c r="F211" i="20"/>
  <c r="A53" i="2" l="1"/>
  <c r="A52" i="2"/>
  <c r="A51" i="2"/>
  <c r="A50" i="2"/>
  <c r="A49" i="2"/>
  <c r="A48" i="2"/>
  <c r="A47" i="2"/>
  <c r="A46" i="2"/>
  <c r="A45" i="2"/>
  <c r="A44" i="2"/>
  <c r="A43" i="2"/>
  <c r="A42" i="2"/>
  <c r="C96" i="20" l="1" a="1"/>
  <c r="C96" i="20" s="1"/>
  <c r="F511" i="24" l="1"/>
  <c r="F510" i="2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<sst xmlns="http://schemas.openxmlformats.org/spreadsheetml/2006/main" count="2507" uniqueCount="556">
  <si>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</si>
  <si>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</si>
  <si>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</si>
  <si>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</si>
  <si>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</si>
  <si>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</si>
  <si>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</si>
  <si>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</si>
  <si>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</si>
  <si>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</si>
  <si>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</si>
  <si>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</si>
  <si>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</si>
  <si>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</si>
  <si>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</si>
  <si>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</si>
  <si>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</si>
  <si>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</si>
  <si>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</si>
  <si>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</si>
  <si>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</si>
  <si>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</si>
  <si>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</si>
  <si>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</si>
  <si>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</si>
  <si>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</si>
  <si>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</si>
  <si>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</si>
  <si>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</si>
  <si>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</si>
  <si>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</si>
  <si>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</si>
  <si>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</si>
  <si>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</si>
  <si>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</si>
  <si>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</si>
  <si>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</si>
  <si>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</si>
  <si>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</si>
  <si>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</si>
  <si>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</si>
  <si>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</si>
  <si>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</si>
  <si>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</si>
  <si>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</si>
  <si>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</si>
  <si>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</si>
  <si>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</si>
  <si>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</si>
  <si>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</si>
  <si>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</si>
  <si>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</si>
  <si>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</si>
  <si>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</si>
  <si>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</si>
  <si>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</si>
  <si>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</si>
  <si>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</si>
  <si>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</si>
  <si>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</si>
  <si>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</si>
  <si>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</si>
  <si>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</si>
  <si>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</si>
  <si>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</si>
  <si>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</si>
  <si>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</si>
  <si>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</si>
  <si>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</si>
  <si>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</si>
  <si>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</si>
  <si>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</si>
  <si>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</si>
  <si>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</si>
  <si>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</si>
  <si>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</si>
  <si>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</si>
  <si>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</si>
  <si>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</si>
  <si>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</si>
  <si>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</si>
  <si>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</si>
  <si>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</si>
  <si>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</si>
  <si>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</si>
  <si>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</si>
  <si>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</si>
  <si>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</si>
  <si>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</si>
  <si>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</si>
  <si>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</si>
  <si>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</si>
  <si>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</si>
  <si>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</si>
  <si>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</si>
  <si>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</si>
  <si>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</si>
  <si>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</si>
  <si>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</si>
  <si>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</si>
  <si>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</si>
  <si>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</si>
  <si>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</si>
  <si>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</si>
  <si>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</si>
  <si>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</si>
  <si>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</si>
  <si>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</si>
  <si>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</si>
  <si>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</si>
  <si>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</si>
  <si>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</si>
  <si>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</si>
  <si>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</si>
  <si>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</si>
  <si>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</si>
  <si>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</si>
  <si>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</si>
  <si>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</si>
  <si>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</si>
  <si>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</si>
  <si>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</si>
  <si>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</si>
  <si>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</si>
  <si>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</si>
  <si>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</si>
  <si>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</si>
  <si>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</si>
  <si>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</si>
  <si>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</si>
  <si>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</si>
  <si>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</si>
  <si>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</si>
  <si>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</si>
  <si>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</si>
  <si>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</si>
  <si>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</si>
  <si>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</si>
  <si>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</si>
  <si>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</si>
  <si>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</si>
  <si>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</si>
  <si>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</si>
  <si>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</si>
  <si>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</si>
  <si>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</si>
  <si>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</si>
  <si>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</si>
  <si>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</si>
  <si>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</si>
  <si>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</si>
  <si>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</si>
  <si>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</si>
  <si>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</si>
  <si>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</si>
  <si>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</si>
  <si>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</si>
  <si>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</si>
  <si>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</si>
  <si>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</si>
  <si>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</si>
  <si>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</si>
  <si>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</si>
  <si>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</si>
  <si>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</si>
  <si>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</si>
  <si>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</si>
  <si>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</si>
  <si>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</si>
  <si>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</si>
  <si>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</si>
  <si>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</si>
  <si>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</si>
  <si>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</si>
  <si>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</si>
  <si>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</si>
  <si>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</si>
  <si>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</si>
  <si>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</si>
  <si>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</si>
  <si>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</si>
  <si>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</si>
  <si>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</si>
  <si>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</si>
  <si>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</si>
  <si>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</si>
  <si>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</si>
  <si>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</si>
  <si>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</si>
  <si>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</si>
  <si>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</si>
  <si>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</si>
  <si>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</si>
  <si>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</si>
  <si>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</si>
  <si>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</si>
  <si>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</si>
  <si>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</si>
  <si>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</si>
  <si>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</si>
  <si>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</si>
  <si>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</si>
  <si>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</si>
  <si>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</si>
  <si>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</si>
  <si>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</si>
  <si>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</si>
  <si>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</si>
  <si>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</si>
  <si>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</si>
  <si>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</si>
  <si>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</si>
  <si>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</si>
  <si>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</si>
  <si>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</si>
  <si>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</si>
  <si>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3 – Courbe</t>
  </si>
  <si>
    <t>9. Conclusions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</si>
  <si>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</si>
  <si>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</si>
  <si>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</si>
  <si>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</si>
  <si>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</si>
  <si>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</si>
  <si>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</si>
  <si>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</si>
  <si>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</si>
  <si>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</si>
  <si>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</si>
  <si>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</si>
  <si>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</si>
  <si>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</si>
  <si>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</si>
  <si>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</si>
  <si>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</si>
  <si>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</si>
  <si>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</si>
  <si>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</si>
  <si>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</si>
  <si>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</si>
  <si>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</si>
  <si>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</si>
  <si>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</si>
  <si>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</si>
  <si>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</si>
  <si>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</si>
  <si>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</si>
  <si>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</si>
  <si>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</si>
  <si>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</si>
  <si>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</si>
  <si>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</si>
  <si>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</si>
  <si>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</si>
  <si>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</si>
  <si>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</si>
  <si>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</si>
  <si>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</si>
  <si>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</si>
  <si>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</si>
  <si>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</si>
  <si>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</si>
  <si>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</si>
  <si>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</si>
  <si>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</si>
  <si>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</si>
  <si>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</si>
  <si>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</si>
  <si>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</si>
  <si>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</si>
  <si>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</si>
  <si>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</si>
  <si>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</si>
  <si>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</si>
  <si>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</si>
  <si>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</si>
  <si>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</si>
  <si>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</si>
  <si>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</si>
  <si>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</si>
  <si>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</si>
  <si>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</si>
  <si>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</si>
  <si>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</si>
  <si>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</si>
  <si>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</si>
  <si>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</si>
  <si>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6. Résultats et exploitation des résultats à 50°C</t>
  </si>
  <si>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</si>
  <si>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</si>
  <si>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</si>
  <si>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</si>
  <si>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</si>
  <si>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</si>
  <si>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</si>
  <si>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</si>
  <si>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</si>
  <si>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</si>
  <si>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</si>
  <si>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</si>
  <si>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</si>
  <si>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</si>
  <si>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</si>
  <si>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</si>
  <si>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</si>
  <si>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</si>
  <si>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</si>
  <si>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</si>
  <si>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</si>
  <si>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</si>
  <si>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</si>
  <si>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</si>
  <si>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</si>
  <si>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</si>
  <si>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</si>
  <si>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</si>
  <si>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</si>
  <si>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</si>
  <si>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</si>
  <si>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</si>
  <si>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</si>
  <si>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</si>
  <si>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</si>
  <si>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</si>
  <si>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</si>
  <si>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</si>
  <si>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r>
      <t xml:space="preserve">La cabine de ressuage BEAUCHASTEL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</si>
  <si>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La sonde du régulateur est sité a l'entré de la cabine de ressuage</t>
  </si>
  <si>
    <t>Identification fabricant : ?</t>
  </si>
  <si>
    <t>La cabine de ressuage dispose de 1 sonde de température résidentes.</t>
  </si>
  <si>
    <t>Volume intérieur : ?</t>
  </si>
  <si>
    <t>Dimensions utiles de la cabine de ressuage (L*P*H) : ?</t>
  </si>
  <si>
    <t>Dimensions intérieures de la cabine de ressuage (L*P*H) : ?</t>
  </si>
  <si>
    <t>Volume utile : ?</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</si>
  <si>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</si>
  <si>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</si>
  <si>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</si>
  <si>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</si>
  <si>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</si>
  <si>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</si>
  <si>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</si>
  <si>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</si>
  <si>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</si>
  <si>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</si>
  <si>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</si>
  <si>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</si>
  <si>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</si>
  <si>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</si>
  <si>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</si>
  <si>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</si>
  <si>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</si>
  <si>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</si>
  <si>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</si>
  <si>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</si>
  <si>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</si>
  <si>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</si>
  <si>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</si>
  <si>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</si>
  <si>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</si>
  <si>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</si>
  <si>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</si>
  <si>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</si>
  <si>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</si>
  <si>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</si>
  <si>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</si>
  <si>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</si>
  <si>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</si>
  <si>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</si>
  <si>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</si>
  <si>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</si>
  <si>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</si>
  <si>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</si>
  <si>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</si>
  <si>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</si>
  <si>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</si>
  <si>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</si>
  <si>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</si>
  <si>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</si>
  <si>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</si>
  <si>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</si>
  <si>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</si>
  <si>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</si>
  <si>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</si>
  <si>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</si>
  <si>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</si>
  <si>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</si>
  <si>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</si>
  <si>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</si>
  <si>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</si>
  <si>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</si>
  <si>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</si>
  <si>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</si>
  <si>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</si>
  <si>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</si>
  <si>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</si>
  <si>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</si>
  <si>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</si>
  <si>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</si>
  <si>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</si>
  <si>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</si>
  <si>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</si>
  <si>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</si>
  <si>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</si>
  <si>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</si>
  <si>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</si>
  <si>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</si>
  <si>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</si>
  <si>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</si>
  <si>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</si>
  <si>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</si>
  <si>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</si>
  <si>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</si>
  <si>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</si>
  <si>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</si>
  <si>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</si>
  <si>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</si>
  <si>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</si>
  <si>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</si>
  <si>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</si>
  <si>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</si>
  <si>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</si>
  <si>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</si>
  <si>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</si>
  <si>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</si>
  <si>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</si>
  <si>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</si>
  <si>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</si>
  <si>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</si>
  <si>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</si>
  <si>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</si>
  <si>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</si>
  <si>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</si>
  <si>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</si>
  <si>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</si>
  <si>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</si>
  <si>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</si>
  <si>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</si>
  <si>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</si>
  <si>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</si>
  <si>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</si>
  <si>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</si>
  <si>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</si>
  <si>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</si>
  <si>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</si>
  <si>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</si>
  <si>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</si>
  <si>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</si>
  <si>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</si>
  <si>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</si>
  <si>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</si>
  <si>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</si>
  <si>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</si>
  <si>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</si>
  <si>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</si>
  <si>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</si>
  <si>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</si>
  <si>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</si>
  <si>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</si>
  <si>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</si>
  <si>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</si>
  <si>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</si>
  <si>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</si>
  <si>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</si>
  <si>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</si>
  <si>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</si>
  <si>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</si>
  <si>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</si>
  <si>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</si>
  <si>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</si>
  <si>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</si>
  <si>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</si>
  <si>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</si>
  <si>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</si>
  <si>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</si>
  <si>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</si>
  <si>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</si>
  <si>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</si>
  <si>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</si>
  <si>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</si>
  <si>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</si>
  <si>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</si>
  <si>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</si>
  <si>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</si>
  <si>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</si>
  <si>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</si>
  <si>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</si>
  <si>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</si>
  <si>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</si>
  <si>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IMP 472 ind N du 13-10-2023 (PV TUS INTERNE FOUR THERMIDOR)</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</si>
  <si>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</si>
  <si>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</si>
  <si>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</si>
  <si>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</si>
  <si>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</si>
  <si>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</si>
  <si>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</si>
  <si>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</si>
  <si>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</si>
  <si>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</si>
  <si>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</si>
  <si>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</si>
  <si>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</si>
  <si>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</si>
  <si>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</si>
  <si>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</si>
  <si>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</si>
  <si>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</si>
  <si>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</si>
  <si>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</si>
  <si>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</si>
  <si>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</si>
  <si>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</si>
  <si>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</si>
  <si>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</si>
  <si>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</si>
  <si>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</si>
  <si>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</si>
  <si>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</si>
  <si>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</si>
  <si>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</si>
  <si>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</si>
  <si>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</si>
  <si>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</si>
  <si>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</si>
  <si>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</si>
  <si>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</si>
  <si>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</si>
  <si>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</si>
  <si>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</si>
  <si>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</si>
  <si>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</si>
  <si>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</si>
  <si>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</si>
  <si>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</si>
  <si>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</si>
  <si>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</si>
  <si>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</si>
  <si>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</si>
  <si>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</si>
  <si>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</si>
  <si>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</si>
  <si>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</si>
  <si>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</si>
  <si>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</si>
  <si>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</si>
  <si>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</si>
  <si>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</si>
  <si>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</si>
  <si>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</si>
  <si>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</si>
  <si>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</si>
  <si>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a</t>
  </si>
  <si>
    <t>LV</t>
  </si>
  <si>
    <t>Rapport d’homogénéité (T.U.S.)
Étude de polymérisation peinture ENATT</t>
  </si>
  <si>
    <t>Annuelle</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</si>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</sst>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6"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b/>
      <sz val="18"/>
      <color rgb="FF000000"/>
      <name val="Calibri"/>
      <family val="2"/>
      <scheme val="minor"/>
    </font>
    <font>
      <b/>
      <sz val="18"/>
      <color rgb="FF70AD47"/>
      <name val="Calibri"/>
      <family val="2"/>
      <scheme val="minor"/>
    </font>
    <font>
      <sz val="11"/>
      <color rgb="FF000000"/>
      <name val="Calibri"/>
      <family val="2"/>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sz val="14"/>
      <color rgb="FF000000"/>
      <name val="Calibri"/>
      <family val="2"/>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s>
  <fills count="24">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9">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7" borderId="28" xfId="0" applyFont="1" applyFill="1" applyBorder="1" applyAlignment="1">
      <alignment horizontal="center" vertical="center"/>
    </xf>
    <xf numFmtId="0" fontId="9" fillId="0" borderId="32" xfId="0" applyFont="1" applyBorder="1" applyAlignment="1">
      <alignment horizontal="center" vertical="center" wrapText="1"/>
    </xf>
    <xf numFmtId="0" fontId="13" fillId="0" borderId="0" xfId="0" applyFont="1" applyAlignment="1">
      <alignment horizontal="center" vertical="center" wrapText="1"/>
    </xf>
    <xf numFmtId="0" fontId="9" fillId="0" borderId="33"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4" xfId="0" applyNumberFormat="1" applyFont="1" applyBorder="1" applyAlignment="1">
      <alignment horizontal="center" vertical="center"/>
    </xf>
    <xf numFmtId="0" fontId="9" fillId="0" borderId="35" xfId="0" applyFont="1" applyBorder="1" applyAlignment="1">
      <alignment horizontal="center" vertical="center"/>
    </xf>
    <xf numFmtId="2" fontId="9" fillId="0" borderId="35" xfId="0" quotePrefix="1" applyNumberFormat="1" applyFont="1" applyBorder="1" applyAlignment="1">
      <alignment horizontal="center" vertical="center"/>
    </xf>
    <xf numFmtId="165" fontId="9" fillId="0" borderId="36" xfId="0" applyNumberFormat="1" applyFont="1" applyBorder="1" applyAlignment="1">
      <alignment horizontal="center" vertical="center"/>
    </xf>
    <xf numFmtId="165" fontId="9" fillId="0" borderId="35" xfId="0" applyNumberFormat="1" applyFont="1" applyBorder="1" applyAlignment="1">
      <alignment horizontal="center" vertical="center"/>
    </xf>
    <xf numFmtId="0" fontId="15" fillId="0" borderId="35" xfId="1" applyFont="1" applyFill="1" applyBorder="1" applyAlignment="1">
      <alignment horizontal="center" vertical="center"/>
    </xf>
    <xf numFmtId="2" fontId="9" fillId="0" borderId="35" xfId="0" applyNumberFormat="1" applyFont="1" applyBorder="1" applyAlignment="1">
      <alignment horizontal="center" vertical="center"/>
    </xf>
    <xf numFmtId="0" fontId="16" fillId="9" borderId="37"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8" xfId="2" applyFont="1" applyBorder="1" applyAlignment="1">
      <alignment horizontal="right" vertical="center"/>
    </xf>
    <xf numFmtId="14" fontId="16" fillId="9" borderId="39"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6" fillId="0" borderId="0" xfId="0" applyFont="1" applyAlignment="1">
      <alignment horizontal="left" vertical="center" readingOrder="1"/>
    </xf>
    <xf numFmtId="0" fontId="36"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41" fillId="0" borderId="0" xfId="0" applyFont="1" applyAlignment="1">
      <alignment horizontal="left" vertical="center" readingOrder="1"/>
    </xf>
    <xf numFmtId="0" fontId="41" fillId="0" borderId="0" xfId="0" applyFont="1" applyAlignment="1">
      <alignment horizontal="left" vertical="center" wrapText="1" readingOrder="1"/>
    </xf>
    <xf numFmtId="0" fontId="20" fillId="0" borderId="0" xfId="0" applyFont="1" applyAlignment="1">
      <alignment vertical="top" wrapText="1" readingOrder="1"/>
    </xf>
    <xf numFmtId="0" fontId="42" fillId="0" borderId="0" xfId="0" applyFont="1" applyAlignment="1">
      <alignment vertical="top" wrapText="1" readingOrder="1"/>
    </xf>
    <xf numFmtId="14" fontId="20" fillId="0" borderId="0" xfId="0" applyNumberFormat="1" applyFont="1" applyAlignment="1">
      <alignment horizontal="left" vertical="top" wrapText="1" readingOrder="1"/>
    </xf>
    <xf numFmtId="0" fontId="43"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9" fillId="0" borderId="0" xfId="0" applyFont="1" applyAlignment="1">
      <alignment vertical="center"/>
    </xf>
    <xf numFmtId="0" fontId="0" fillId="0" borderId="40" xfId="0" applyBorder="1" applyAlignment="1">
      <alignment horizontal="center"/>
    </xf>
    <xf numFmtId="0" fontId="0" fillId="0" borderId="40"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2" xfId="0" applyFont="1" applyBorder="1" applyAlignment="1">
      <alignment horizontal="center" vertical="center"/>
    </xf>
    <xf numFmtId="0" fontId="9" fillId="0" borderId="33" xfId="0" applyFont="1" applyBorder="1" applyAlignment="1">
      <alignment horizontal="center" vertical="center"/>
    </xf>
    <xf numFmtId="0" fontId="9" fillId="0" borderId="44" xfId="0" applyFont="1" applyBorder="1" applyAlignment="1">
      <alignment horizontal="center" vertical="center" wrapText="1"/>
    </xf>
    <xf numFmtId="0" fontId="9" fillId="0" borderId="43" xfId="0" applyFont="1" applyBorder="1" applyAlignment="1">
      <alignment horizontal="center" vertical="center"/>
    </xf>
    <xf numFmtId="49" fontId="9" fillId="0" borderId="35" xfId="0" applyNumberFormat="1" applyFont="1" applyBorder="1" applyAlignment="1">
      <alignment horizontal="center" vertical="center"/>
    </xf>
    <xf numFmtId="1" fontId="9" fillId="0" borderId="35" xfId="0" applyNumberFormat="1" applyFont="1" applyBorder="1" applyAlignment="1">
      <alignment horizontal="center" vertical="center"/>
    </xf>
    <xf numFmtId="166" fontId="9" fillId="0" borderId="34"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6" xfId="0" applyNumberFormat="1" applyBorder="1" applyAlignment="1">
      <alignment horizontal="center"/>
    </xf>
    <xf numFmtId="0" fontId="0" fillId="0" borderId="47" xfId="0" applyBorder="1"/>
    <xf numFmtId="2" fontId="0" fillId="0" borderId="48" xfId="0" applyNumberFormat="1" applyBorder="1" applyAlignment="1">
      <alignment horizontal="center"/>
    </xf>
    <xf numFmtId="2" fontId="0" fillId="0" borderId="49" xfId="0" applyNumberFormat="1" applyBorder="1" applyAlignment="1">
      <alignment horizontal="center"/>
    </xf>
    <xf numFmtId="0" fontId="0" fillId="0" borderId="45" xfId="0" applyBorder="1"/>
    <xf numFmtId="0" fontId="39" fillId="0" borderId="1" xfId="0" applyFont="1" applyBorder="1"/>
    <xf numFmtId="2" fontId="6" fillId="14" borderId="1" xfId="1" applyNumberFormat="1" applyFill="1" applyBorder="1" applyAlignment="1">
      <alignment horizontal="center"/>
    </xf>
    <xf numFmtId="0" fontId="6" fillId="14" borderId="1" xfId="1" applyFill="1" applyBorder="1"/>
    <xf numFmtId="2" fontId="46" fillId="0" borderId="0" xfId="0" applyNumberFormat="1" applyFont="1" applyAlignment="1">
      <alignment horizontal="center"/>
    </xf>
    <xf numFmtId="0" fontId="39"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9" fillId="0" borderId="0" xfId="0" applyFont="1" applyAlignment="1">
      <alignment horizontal="center"/>
    </xf>
    <xf numFmtId="0" fontId="47" fillId="0" borderId="1" xfId="0" applyFont="1" applyBorder="1" applyAlignment="1">
      <alignment horizontal="center"/>
    </xf>
    <xf numFmtId="166" fontId="47"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8"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9" fillId="0" borderId="1" xfId="0" applyNumberFormat="1" applyFont="1" applyBorder="1" applyAlignment="1">
      <alignment horizontal="center"/>
    </xf>
    <xf numFmtId="2" fontId="39"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9"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2" fillId="0" borderId="0" xfId="0" applyFont="1" applyAlignment="1">
      <alignment horizontal="left" vertical="center" readingOrder="1"/>
    </xf>
    <xf numFmtId="0" fontId="0" fillId="0" borderId="0" xfId="0" applyAlignment="1">
      <alignment vertical="top"/>
    </xf>
    <xf numFmtId="0" fontId="43" fillId="0" borderId="0" xfId="0" applyFont="1"/>
    <xf numFmtId="0" fontId="51" fillId="0" borderId="0" xfId="0" applyFont="1"/>
    <xf numFmtId="0" fontId="52" fillId="0" borderId="0" xfId="0" applyFont="1"/>
    <xf numFmtId="0" fontId="45" fillId="0" borderId="0" xfId="0" applyFont="1" applyAlignment="1">
      <alignment horizontal="right" vertical="center"/>
    </xf>
    <xf numFmtId="0" fontId="0" fillId="0" borderId="0" xfId="0" applyAlignment="1">
      <alignment horizontal="right" vertical="center"/>
    </xf>
    <xf numFmtId="0" fontId="53" fillId="0" borderId="0" xfId="0" applyFont="1" applyAlignment="1">
      <alignment horizontal="center" vertical="center" readingOrder="1"/>
    </xf>
    <xf numFmtId="0" fontId="23" fillId="15" borderId="0" xfId="0" applyFont="1" applyFill="1" applyAlignment="1">
      <alignment horizontal="left" vertical="center"/>
    </xf>
    <xf numFmtId="0" fontId="45"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5"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9" fillId="0" borderId="0" xfId="0" applyFont="1" applyAlignment="1">
      <alignment horizontal="center" vertical="center"/>
    </xf>
    <xf numFmtId="0" fontId="55" fillId="21" borderId="0" xfId="0" applyFont="1" applyFill="1" applyAlignment="1">
      <alignment horizontal="center" vertical="center"/>
    </xf>
    <xf numFmtId="0" fontId="55" fillId="21" borderId="1" xfId="0" applyFont="1" applyFill="1" applyBorder="1" applyAlignment="1">
      <alignment horizontal="center" vertical="center"/>
    </xf>
    <xf numFmtId="0" fontId="56"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7" fillId="21" borderId="1" xfId="0" applyNumberFormat="1" applyFont="1" applyFill="1" applyBorder="1" applyAlignment="1">
      <alignment horizontal="center"/>
    </xf>
    <xf numFmtId="0" fontId="0" fillId="10" borderId="0" xfId="0" applyFill="1"/>
    <xf numFmtId="0" fontId="58" fillId="21" borderId="1" xfId="0" applyFont="1" applyFill="1" applyBorder="1" applyAlignment="1">
      <alignment horizontal="center" vertical="center"/>
    </xf>
    <xf numFmtId="0" fontId="55" fillId="0" borderId="0" xfId="0" applyFont="1" applyAlignment="1">
      <alignment horizontal="right" vertical="center"/>
    </xf>
    <xf numFmtId="0" fontId="55" fillId="0" borderId="0" xfId="0" applyFont="1" applyAlignment="1">
      <alignment horizontal="center" vertical="center"/>
    </xf>
    <xf numFmtId="0" fontId="57" fillId="21" borderId="0" xfId="0" applyFont="1" applyFill="1" applyAlignment="1">
      <alignment horizontal="center" vertical="center"/>
    </xf>
    <xf numFmtId="0" fontId="55" fillId="12" borderId="0" xfId="0" applyFont="1" applyFill="1" applyAlignment="1">
      <alignment horizontal="center" vertical="center"/>
    </xf>
    <xf numFmtId="0" fontId="61"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5" xfId="0" applyFill="1" applyBorder="1" applyAlignment="1">
      <alignment horizontal="center" vertical="center"/>
    </xf>
    <xf numFmtId="0" fontId="4" fillId="13" borderId="45" xfId="0" applyFont="1" applyFill="1" applyBorder="1" applyAlignment="1">
      <alignment horizontal="center" vertical="center"/>
    </xf>
    <xf numFmtId="0" fontId="0" fillId="0" borderId="45" xfId="0" applyBorder="1" applyAlignment="1">
      <alignment horizontal="center" vertical="center"/>
    </xf>
    <xf numFmtId="0" fontId="4" fillId="0" borderId="45"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62" fillId="22" borderId="0" xfId="0" applyFont="1" applyFill="1"/>
    <xf numFmtId="14" fontId="62" fillId="22" borderId="0" xfId="0" applyNumberFormat="1" applyFont="1" applyFill="1" applyAlignment="1">
      <alignment horizontal="center" vertical="center" wrapText="1"/>
    </xf>
    <xf numFmtId="0" fontId="62" fillId="0" borderId="0" xfId="0" applyFont="1" applyAlignment="1">
      <alignment horizontal="center"/>
    </xf>
    <xf numFmtId="0" fontId="63" fillId="13" borderId="1" xfId="0" quotePrefix="1" applyFont="1" applyFill="1" applyBorder="1" applyAlignment="1">
      <alignment horizontal="center" vertical="center"/>
    </xf>
    <xf numFmtId="0" fontId="64" fillId="3" borderId="8" xfId="0" quotePrefix="1" applyFont="1" applyFill="1" applyBorder="1" applyAlignment="1">
      <alignment horizontal="center" vertical="center"/>
    </xf>
    <xf numFmtId="0" fontId="64"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49" fontId="0" fillId="15" borderId="1" xfId="0" applyNumberFormat="1" applyFill="1" applyBorder="1" applyAlignment="1" applyProtection="1">
      <alignment horizontal="center" vertical="center"/>
      <protection locked="0"/>
    </xf>
    <xf numFmtId="2" fontId="0" fillId="15" borderId="1" xfId="0" applyNumberFormat="1" applyFill="1" applyBorder="1" applyAlignment="1" applyProtection="1">
      <alignment horizontal="center" vertical="center"/>
      <protection locked="0"/>
    </xf>
    <xf numFmtId="0" fontId="4" fillId="15" borderId="1" xfId="0" applyFon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4" fillId="0" borderId="0" xfId="0" applyFont="1" applyAlignment="1">
      <alignment horizontal="left" vertical="center"/>
    </xf>
    <xf numFmtId="0" fontId="4" fillId="0" borderId="0" xfId="0" applyFont="1" applyAlignment="1">
      <alignment horizontal="center" vertical="center"/>
    </xf>
    <xf numFmtId="0" fontId="63" fillId="0" borderId="0" xfId="0" applyFont="1" applyAlignment="1">
      <alignment horizontal="center" vertical="center"/>
    </xf>
    <xf numFmtId="0" fontId="4" fillId="0" borderId="0" xfId="0" applyFont="1" applyAlignment="1">
      <alignment horizontal="left" vertical="center"/>
    </xf>
    <xf numFmtId="0" fontId="64" fillId="0" borderId="0" xfId="0" applyFont="1" applyAlignment="1">
      <alignment horizontal="center" vertical="center"/>
    </xf>
    <xf numFmtId="0" fontId="64" fillId="0" borderId="0" xfId="0" applyFont="1" applyAlignment="1">
      <alignment vertical="center" wrapText="1"/>
    </xf>
    <xf numFmtId="0" fontId="64"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4" fillId="0" borderId="0" xfId="0" applyFont="1" applyAlignment="1">
      <alignment vertical="center"/>
    </xf>
    <xf numFmtId="0" fontId="4" fillId="0" borderId="0" xfId="0" applyFont="1" applyAlignment="1">
      <alignment vertical="center"/>
    </xf>
    <xf numFmtId="0" fontId="64" fillId="0" borderId="0" xfId="0" quotePrefix="1" applyFont="1" applyAlignment="1">
      <alignment vertical="center"/>
    </xf>
    <xf numFmtId="0" fontId="0" fillId="0" borderId="27" xfId="0" applyBorder="1"/>
    <xf numFmtId="0" fontId="0" fillId="0" borderId="19" xfId="0" applyBorder="1"/>
    <xf numFmtId="0" fontId="0" fillId="0" borderId="38" xfId="0" applyBorder="1"/>
    <xf numFmtId="0" fontId="0" fillId="0" borderId="52" xfId="0" applyBorder="1"/>
    <xf numFmtId="0" fontId="0" fillId="0" borderId="39"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4"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55"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62" fillId="22" borderId="0" xfId="0" applyFont="1" applyFill="1" applyAlignment="1">
      <alignment horizontal="center"/>
    </xf>
    <xf numFmtId="0" fontId="60" fillId="15" borderId="0" xfId="0" applyFont="1" applyFill="1" applyAlignment="1">
      <alignment horizontal="center" vertical="center"/>
    </xf>
    <xf numFmtId="0" fontId="60"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5"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62" fillId="22" borderId="0" xfId="0" applyFont="1" applyFill="1" applyAlignment="1">
      <alignment horizontal="center" vertical="center"/>
    </xf>
    <xf numFmtId="0" fontId="62" fillId="0" borderId="0" xfId="0" applyFont="1" applyAlignment="1">
      <alignment horizontal="center"/>
    </xf>
    <xf numFmtId="0" fontId="0" fillId="13" borderId="1" xfId="0" applyFill="1" applyBorder="1" applyAlignment="1">
      <alignment horizontal="center" vertic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20" fontId="0" fillId="15" borderId="50"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65" fillId="0" borderId="37" xfId="0" applyFont="1" applyBorder="1" applyAlignment="1">
      <alignment horizontal="center" vertical="center"/>
    </xf>
    <xf numFmtId="0" fontId="65" fillId="0" borderId="51" xfId="0" applyFont="1" applyBorder="1" applyAlignment="1">
      <alignment horizontal="center" vertical="center"/>
    </xf>
    <xf numFmtId="0" fontId="65" fillId="0" borderId="25" xfId="0" applyFont="1" applyBorder="1" applyAlignment="1">
      <alignment horizontal="center" vertical="center"/>
    </xf>
    <xf numFmtId="0" fontId="65" fillId="0" borderId="27" xfId="0" applyFont="1" applyBorder="1" applyAlignment="1">
      <alignment horizontal="center" vertical="center"/>
    </xf>
    <xf numFmtId="0" fontId="65" fillId="0" borderId="0" xfId="0" applyFont="1" applyAlignment="1">
      <alignment horizontal="center" vertical="center"/>
    </xf>
    <xf numFmtId="0" fontId="65" fillId="0" borderId="19" xfId="0" applyFont="1" applyBorder="1" applyAlignment="1">
      <alignment horizontal="center" vertical="center"/>
    </xf>
    <xf numFmtId="0" fontId="65" fillId="0" borderId="38" xfId="0" applyFont="1" applyBorder="1" applyAlignment="1">
      <alignment horizontal="center" vertical="center"/>
    </xf>
    <xf numFmtId="0" fontId="65" fillId="0" borderId="52" xfId="0" applyFont="1" applyBorder="1" applyAlignment="1">
      <alignment horizontal="center" vertical="center"/>
    </xf>
    <xf numFmtId="0" fontId="65" fillId="0" borderId="39" xfId="0" applyFont="1" applyBorder="1" applyAlignment="1">
      <alignment horizontal="center" vertical="center"/>
    </xf>
    <xf numFmtId="22" fontId="49" fillId="0" borderId="27" xfId="0" applyNumberFormat="1" applyFont="1" applyBorder="1" applyAlignment="1">
      <alignment horizontal="center"/>
    </xf>
    <xf numFmtId="22" fontId="49"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0" fontId="0" fillId="11" borderId="0" xfId="0" applyFill="1" applyAlignment="1">
      <alignment horizontal="center" vertical="center" textRotation="90"/>
    </xf>
    <xf numFmtId="0" fontId="0" fillId="16" borderId="0" xfId="0" applyFill="1" applyAlignment="1">
      <alignment horizontal="center" vertical="center" textRotation="90"/>
    </xf>
    <xf numFmtId="22" fontId="0" fillId="0" borderId="0" xfId="0" applyNumberFormat="1" applyAlignment="1">
      <alignment horizontal="center"/>
    </xf>
    <xf numFmtId="22" fontId="50" fillId="0" borderId="27" xfId="0" applyNumberFormat="1" applyFont="1" applyBorder="1" applyAlignment="1">
      <alignment horizontal="center"/>
    </xf>
    <xf numFmtId="22" fontId="50" fillId="0" borderId="0" xfId="0" applyNumberFormat="1" applyFont="1" applyAlignment="1">
      <alignment horizontal="center"/>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20" fillId="0" borderId="0" xfId="0" applyFont="1" applyAlignment="1">
      <alignment horizontal="left" vertical="top" wrapText="1" readingOrder="1"/>
    </xf>
    <xf numFmtId="0" fontId="42"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19" borderId="1" xfId="0" applyFill="1" applyBorder="1" applyAlignment="1">
      <alignment horizont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0" fontId="39" fillId="20" borderId="1" xfId="0" applyFont="1" applyFill="1" applyBorder="1" applyAlignment="1">
      <alignment horizontal="center"/>
    </xf>
    <xf numFmtId="2" fontId="39" fillId="21" borderId="1" xfId="0" applyNumberFormat="1" applyFont="1"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39" fillId="0" borderId="0" xfId="0" applyFont="1" applyAlignment="1">
      <alignment horizontal="left" vertical="center"/>
    </xf>
    <xf numFmtId="0" fontId="0" fillId="20" borderId="1" xfId="0" applyFill="1" applyBorder="1" applyAlignment="1">
      <alignment horizontal="center"/>
    </xf>
    <xf numFmtId="1" fontId="39" fillId="12" borderId="1" xfId="0" applyNumberFormat="1" applyFont="1" applyFill="1" applyBorder="1" applyAlignment="1">
      <alignment horizontal="center" vertical="center"/>
    </xf>
    <xf numFmtId="0" fontId="39" fillId="21" borderId="1" xfId="0" applyFont="1" applyFill="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2" fontId="39" fillId="12" borderId="1" xfId="0" applyNumberFormat="1" applyFont="1" applyFill="1" applyBorder="1" applyAlignment="1">
      <alignment horizontal="center" vertical="center"/>
    </xf>
    <xf numFmtId="0" fontId="39" fillId="12" borderId="1" xfId="0" applyFont="1" applyFill="1" applyBorder="1" applyAlignment="1">
      <alignment horizontal="center" vertic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9" fillId="0" borderId="16" xfId="0" applyFont="1" applyBorder="1" applyAlignment="1">
      <alignment horizontal="center" vertical="center"/>
    </xf>
    <xf numFmtId="0" fontId="39" fillId="20" borderId="1" xfId="0" applyFont="1" applyFill="1" applyBorder="1" applyAlignment="1">
      <alignment horizontal="center" vertical="center" wrapText="1"/>
    </xf>
    <xf numFmtId="0" fontId="39" fillId="0" borderId="0" xfId="0" applyFont="1" applyAlignment="1">
      <alignment horizontal="right" vertical="center"/>
    </xf>
    <xf numFmtId="0" fontId="39" fillId="20" borderId="1" xfId="0" applyFont="1" applyFill="1" applyBorder="1" applyAlignment="1">
      <alignment horizontal="center" vertical="center"/>
    </xf>
    <xf numFmtId="0" fontId="0" fillId="19" borderId="14" xfId="0" applyFill="1" applyBorder="1" applyAlignment="1">
      <alignment horizontal="center" vertical="center"/>
    </xf>
    <xf numFmtId="0" fontId="39" fillId="0" borderId="16" xfId="0" applyFont="1" applyBorder="1" applyAlignment="1">
      <alignment horizontal="right" vertical="center"/>
    </xf>
    <xf numFmtId="0" fontId="39" fillId="0" borderId="15" xfId="0" applyFont="1" applyBorder="1" applyAlignment="1">
      <alignment horizontal="left" vertical="center"/>
    </xf>
    <xf numFmtId="0" fontId="0" fillId="0" borderId="10" xfId="0" applyBorder="1" applyAlignment="1">
      <alignment horizontal="center"/>
    </xf>
    <xf numFmtId="2" fontId="0" fillId="0" borderId="10" xfId="0" applyNumberFormat="1" applyBorder="1" applyAlignment="1">
      <alignment horizontal="center"/>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9" fillId="20" borderId="1" xfId="0" applyFont="1" applyFill="1" applyBorder="1" applyAlignment="1">
      <alignment horizontal="center" wrapText="1"/>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0" borderId="0" xfId="0" applyAlignment="1">
      <alignment horizontal="left"/>
    </xf>
    <xf numFmtId="0" fontId="0" fillId="0" borderId="0" xfId="0" applyAlignment="1">
      <alignment horizontal="left" wrapText="1"/>
    </xf>
    <xf numFmtId="0" fontId="55" fillId="0" borderId="0" xfId="0" applyFont="1" applyAlignment="1">
      <alignment horizontal="center" vertical="center" wrapText="1"/>
    </xf>
    <xf numFmtId="14" fontId="0" fillId="10" borderId="1" xfId="0" applyNumberFormat="1" applyFill="1" applyBorder="1" applyAlignment="1">
      <alignment horizontal="center" vertical="center"/>
    </xf>
    <xf numFmtId="0" fontId="55" fillId="20" borderId="2" xfId="0" applyFont="1" applyFill="1" applyBorder="1" applyAlignment="1">
      <alignment horizontal="center"/>
    </xf>
    <xf numFmtId="0" fontId="55" fillId="20" borderId="14" xfId="0" applyFont="1" applyFill="1" applyBorder="1" applyAlignment="1">
      <alignment horizontal="center"/>
    </xf>
    <xf numFmtId="0" fontId="55" fillId="20" borderId="3" xfId="0" applyFont="1" applyFill="1" applyBorder="1" applyAlignment="1">
      <alignment horizontal="center"/>
    </xf>
    <xf numFmtId="0" fontId="55" fillId="21" borderId="1" xfId="0" applyFont="1" applyFill="1" applyBorder="1" applyAlignment="1">
      <alignment horizontal="center"/>
    </xf>
    <xf numFmtId="0" fontId="55" fillId="21" borderId="2" xfId="0" applyFont="1" applyFill="1" applyBorder="1" applyAlignment="1">
      <alignment horizontal="center"/>
    </xf>
    <xf numFmtId="0" fontId="55" fillId="21" borderId="3" xfId="0" applyFont="1" applyFill="1" applyBorder="1" applyAlignment="1">
      <alignment horizontal="center"/>
    </xf>
    <xf numFmtId="0" fontId="57" fillId="12" borderId="0" xfId="0" applyFont="1" applyFill="1" applyAlignment="1">
      <alignment horizontal="center" vertical="center"/>
    </xf>
    <xf numFmtId="0" fontId="55" fillId="0" borderId="0" xfId="0" applyFont="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7" borderId="1" xfId="0" applyFill="1" applyBorder="1" applyAlignment="1">
      <alignment horizontal="center" vertical="center"/>
    </xf>
    <xf numFmtId="0" fontId="5" fillId="0" borderId="0" xfId="0" applyFont="1" applyAlignment="1">
      <alignment horizontal="center" vertical="center"/>
    </xf>
    <xf numFmtId="0" fontId="0" fillId="2" borderId="1"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24" fillId="0" borderId="0" xfId="0" applyFont="1" applyAlignment="1">
      <alignment horizontal="center"/>
    </xf>
    <xf numFmtId="0" fontId="36" fillId="0" borderId="0" xfId="0" applyFont="1" applyAlignment="1">
      <alignment horizontal="center" vertical="center" wrapText="1" readingOrder="1"/>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3" fillId="0" borderId="0" xfId="0" applyFont="1" applyAlignment="1">
      <alignment horizontal="center" vertical="center" wrapText="1"/>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9" fillId="0" borderId="0" xfId="0" applyFont="1" applyAlignment="1">
      <alignment horizontal="center" vertical="center"/>
    </xf>
    <xf numFmtId="0" fontId="13" fillId="0" borderId="0" xfId="0" applyFont="1" applyAlignment="1">
      <alignment horizontal="left"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0" borderId="19" xfId="0" applyFont="1" applyBorder="1" applyAlignment="1">
      <alignment horizontal="center"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0" fontId="18" fillId="0" borderId="0" xfId="0" applyFont="1" applyAlignment="1">
      <alignment horizontal="left" vertical="center" readingOrder="1"/>
    </xf>
    <xf numFmtId="0" fontId="17" fillId="0" borderId="0" xfId="0" applyFont="1" applyAlignment="1">
      <alignment horizontal="center" vertical="center" wrapText="1"/>
    </xf>
    <xf numFmtId="0" fontId="17" fillId="0" borderId="0" xfId="0" applyFont="1" applyAlignment="1">
      <alignment horizontal="center" vertical="center"/>
    </xf>
    <xf numFmtId="2" fontId="0" fillId="12" borderId="14" xfId="0" applyNumberFormat="1" applyFill="1" applyBorder="1" applyAlignment="1">
      <alignment horizontal="center" vertical="center"/>
    </xf>
    <xf numFmtId="0" fontId="0" fillId="0" borderId="0" xfId="0" applyAlignment="1"/>
    <xf numFmtId="14" fontId="0" fillId="0" borderId="10" xfId="0" applyNumberFormat="1" applyBorder="1" applyAlignment="1">
      <alignment horizontal="center"/>
    </xf>
    <xf numFmtId="14" fontId="0" fillId="0" borderId="10" xfId="0" applyNumberFormat="1" applyFill="1" applyBorder="1" applyAlignment="1">
      <alignment horizontal="center"/>
    </xf>
    <xf numFmtId="14" fontId="0" fillId="0" borderId="0" xfId="0" applyNumberFormat="1" applyFill="1" applyAlignment="1">
      <alignment horizontal="center"/>
    </xf>
    <xf numFmtId="0" fontId="0" fillId="11" borderId="11" xfId="0" applyFill="1" applyBorder="1" applyAlignment="1">
      <alignment horizontal="center" vertical="center" textRotation="90"/>
    </xf>
    <xf numFmtId="0" fontId="0" fillId="11" borderId="16" xfId="0" applyFill="1" applyBorder="1" applyAlignment="1">
      <alignment horizontal="center" vertical="center" textRotation="90"/>
    </xf>
    <xf numFmtId="0" fontId="0" fillId="3" borderId="11" xfId="0" applyFill="1" applyBorder="1" applyAlignment="1">
      <alignment horizontal="center" vertical="center" textRotation="90"/>
    </xf>
    <xf numFmtId="0" fontId="0" fillId="3" borderId="16" xfId="0" applyFill="1" applyBorder="1" applyAlignment="1">
      <alignment horizontal="center" vertical="center" textRotation="90"/>
    </xf>
    <xf numFmtId="0" fontId="0" fillId="3" borderId="13" xfId="0" applyFill="1" applyBorder="1" applyAlignment="1">
      <alignment horizontal="center" vertical="center" textRotation="90"/>
    </xf>
    <xf numFmtId="0" fontId="0" fillId="2" borderId="1" xfId="0" applyFill="1" applyBorder="1" applyAlignment="1">
      <alignment vertical="center"/>
    </xf>
  </cellXfs>
  <cellStyles count="3">
    <cellStyle name="Neutre" xfId="2" builtinId="28"/>
    <cellStyle name="Normal" xfId="0" builtinId="0"/>
    <cellStyle name="Satisfaisant" xfId="1" builtinId="26"/>
  </cellStyles>
  <dxfs count="191">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ill>
        <patternFill>
          <bgColor theme="5" tint="0.59996337778862885"/>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90"/>
      <tableStyleElement type="headerRow" dxfId="189"/>
      <tableStyleElement type="firstRowStripe" dxfId="188"/>
      <tableStyleElement type="secondRowStripe" dxfId="187"/>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cat>
            <c:numRef>
              <c:f>'transfert 80'!$A$2:$E$2</c:f>
              <c:numCache>
                <c:formatCode>General</c:formatCode>
                <c:ptCount val="5"/>
              </c:numCache>
            </c:numRef>
          </c:cat>
          <c:val>
            <c:numRef>
              <c:f>'transfert 80'!$F$2</c:f>
              <c:numCache>
                <c:formatCode>General</c:formatCode>
                <c:ptCount val="1"/>
              </c:numCache>
            </c:numRef>
          </c:val>
          <c:smooth val="0"/>
          <c:extLst xmlns:c15="http://schemas.microsoft.com/office/drawing/2012/char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cat>
            <c:numRef>
              <c:f>'transfert 80'!$A$2:$E$2</c:f>
              <c:numCache>
                <c:formatCode>General</c:formatCode>
                <c:ptCount val="5"/>
              </c:numCache>
            </c:numRef>
          </c:cat>
          <c:val>
            <c:numRef>
              <c:f>'transfert 80'!$G$2</c:f>
              <c:numCache>
                <c:formatCode>General</c:formatCode>
                <c:ptCount val="1"/>
              </c:numCache>
            </c:numRef>
          </c:val>
          <c:smooth val="0"/>
          <c:extLs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cat>
            <c:numRef>
              <c:f>'transfert 80'!$A$2:$E$2</c:f>
              <c:numCache>
                <c:formatCode>General</c:formatCode>
                <c:ptCount val="5"/>
              </c:numCache>
            </c:numRef>
          </c:cat>
          <c:val>
            <c:numRef>
              <c:f>'transfert 80'!$H$2</c:f>
              <c:numCache>
                <c:formatCode>General</c:formatCode>
                <c:ptCount val="1"/>
              </c:numCache>
            </c:numRef>
          </c:val>
          <c:smooth val="0"/>
          <c:extLs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cat>
            <c:numRef>
              <c:f>'transfert 80'!$A$2:$E$2</c:f>
              <c:numCache>
                <c:formatCode>General</c:formatCode>
                <c:ptCount val="5"/>
              </c:numCache>
            </c:numRef>
          </c:cat>
          <c:val>
            <c:numRef>
              <c:f>'transfert 80'!$I$2</c:f>
              <c:numCache>
                <c:formatCode>General</c:formatCode>
                <c:ptCount val="1"/>
              </c:numCache>
            </c:numRef>
          </c:val>
          <c:smooth val="0"/>
          <c:extLs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cat>
            <c:numRef>
              <c:f>'transfert 80'!$A$2:$E$2</c:f>
              <c:numCache>
                <c:formatCode>General</c:formatCode>
                <c:ptCount val="5"/>
              </c:numCache>
            </c:numRef>
          </c:cat>
          <c:val>
            <c:numRef>
              <c:f>'transfert 80'!$J$2</c:f>
              <c:numCache>
                <c:formatCode>General</c:formatCode>
                <c:ptCount val="1"/>
              </c:numCache>
            </c:numRef>
          </c:val>
          <c:smooth val="0"/>
          <c:extLs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cat>
            <c:numRef>
              <c:f>'transfert 80'!$A$2:$E$2</c:f>
              <c:numCache>
                <c:formatCode>General</c:formatCode>
                <c:ptCount val="5"/>
              </c:numCache>
            </c:numRef>
          </c:cat>
          <c:val>
            <c:numRef>
              <c:f>'transfert 80'!$F$2</c:f>
              <c:numCache>
                <c:formatCode>General</c:formatCode>
                <c:ptCount val="1"/>
              </c:numCache>
            </c:numRef>
          </c:val>
          <c:smooth val="0"/>
          <c:extLst xmlns:c15="http://schemas.microsoft.com/office/drawing/2012/char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cat>
            <c:numRef>
              <c:f>'transfert 80'!$A$2:$E$2</c:f>
              <c:numCache>
                <c:formatCode>General</c:formatCode>
                <c:ptCount val="5"/>
              </c:numCache>
            </c:numRef>
          </c:cat>
          <c:val>
            <c:numRef>
              <c:f>'transfert 80'!$G$2</c:f>
              <c:numCache>
                <c:formatCode>General</c:formatCode>
                <c:ptCount val="1"/>
              </c:numCache>
            </c:numRef>
          </c:val>
          <c:smooth val="0"/>
          <c:extLs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cat>
            <c:numRef>
              <c:f>'transfert 80'!$A$2:$E$2</c:f>
              <c:numCache>
                <c:formatCode>General</c:formatCode>
                <c:ptCount val="5"/>
              </c:numCache>
            </c:numRef>
          </c:cat>
          <c:val>
            <c:numRef>
              <c:f>'transfert 80'!$H$2</c:f>
              <c:numCache>
                <c:formatCode>General</c:formatCode>
                <c:ptCount val="1"/>
              </c:numCache>
            </c:numRef>
          </c:val>
          <c:smooth val="0"/>
          <c:extLs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cat>
            <c:numRef>
              <c:f>'transfert 80'!$A$2:$E$2</c:f>
              <c:numCache>
                <c:formatCode>General</c:formatCode>
                <c:ptCount val="5"/>
              </c:numCache>
            </c:numRef>
          </c:cat>
          <c:val>
            <c:numRef>
              <c:f>'transfert 80'!$I$2</c:f>
              <c:numCache>
                <c:formatCode>General</c:formatCode>
                <c:ptCount val="1"/>
              </c:numCache>
            </c:numRef>
          </c:val>
          <c:smooth val="0"/>
          <c:extLs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cat>
            <c:numRef>
              <c:f>'transfert 80'!$A$2:$E$2</c:f>
              <c:numCache>
                <c:formatCode>General</c:formatCode>
                <c:ptCount val="5"/>
              </c:numCache>
            </c:numRef>
          </c:cat>
          <c:val>
            <c:numRef>
              <c:f>'transfert 80'!$J$2</c:f>
              <c:numCache>
                <c:formatCode>General</c:formatCode>
                <c:ptCount val="1"/>
              </c:numCache>
            </c:numRef>
          </c:val>
          <c:smooth val="0"/>
          <c:extLs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Donnee_Ressuage_BCH!$B$2:$B$77</c:f>
              <c:numCache>
                <c:formatCode>General</c:formatCode>
                <c:ptCount val="76"/>
                <c:pt idx="0">
                  <c:v>11.96</c:v>
                </c:pt>
                <c:pt idx="1">
                  <c:v>15.16</c:v>
                </c:pt>
                <c:pt idx="2">
                  <c:v>18.93</c:v>
                </c:pt>
                <c:pt idx="3">
                  <c:v>22.76</c:v>
                </c:pt>
                <c:pt idx="4">
                  <c:v>26.45</c:v>
                </c:pt>
                <c:pt idx="5">
                  <c:v>29.68</c:v>
                </c:pt>
                <c:pt idx="6">
                  <c:v>33.04</c:v>
                </c:pt>
                <c:pt idx="7">
                  <c:v>35.840000000000003</c:v>
                </c:pt>
                <c:pt idx="8">
                  <c:v>38.520000000000003</c:v>
                </c:pt>
                <c:pt idx="9">
                  <c:v>41.21</c:v>
                </c:pt>
                <c:pt idx="10">
                  <c:v>43.32</c:v>
                </c:pt>
                <c:pt idx="11">
                  <c:v>45.5</c:v>
                </c:pt>
                <c:pt idx="12">
                  <c:v>47.41</c:v>
                </c:pt>
                <c:pt idx="13">
                  <c:v>49.31</c:v>
                </c:pt>
                <c:pt idx="14">
                  <c:v>50.94</c:v>
                </c:pt>
                <c:pt idx="15">
                  <c:v>52.48</c:v>
                </c:pt>
                <c:pt idx="16">
                  <c:v>53.9</c:v>
                </c:pt>
                <c:pt idx="17">
                  <c:v>55.39</c:v>
                </c:pt>
                <c:pt idx="18">
                  <c:v>56.76</c:v>
                </c:pt>
                <c:pt idx="19">
                  <c:v>57.91</c:v>
                </c:pt>
                <c:pt idx="20">
                  <c:v>59.14</c:v>
                </c:pt>
                <c:pt idx="21">
                  <c:v>58.43</c:v>
                </c:pt>
                <c:pt idx="22">
                  <c:v>57.49</c:v>
                </c:pt>
                <c:pt idx="23">
                  <c:v>58.34</c:v>
                </c:pt>
                <c:pt idx="24">
                  <c:v>59.57</c:v>
                </c:pt>
                <c:pt idx="25">
                  <c:v>59.52</c:v>
                </c:pt>
                <c:pt idx="26">
                  <c:v>58.1</c:v>
                </c:pt>
                <c:pt idx="27">
                  <c:v>58.67</c:v>
                </c:pt>
                <c:pt idx="28">
                  <c:v>59.89</c:v>
                </c:pt>
                <c:pt idx="29">
                  <c:v>60.03</c:v>
                </c:pt>
                <c:pt idx="30">
                  <c:v>58.35</c:v>
                </c:pt>
                <c:pt idx="31">
                  <c:v>58.73</c:v>
                </c:pt>
                <c:pt idx="32">
                  <c:v>60.12</c:v>
                </c:pt>
                <c:pt idx="33">
                  <c:v>60.3</c:v>
                </c:pt>
                <c:pt idx="34">
                  <c:v>58.68</c:v>
                </c:pt>
                <c:pt idx="35">
                  <c:v>59</c:v>
                </c:pt>
                <c:pt idx="36">
                  <c:v>60.34</c:v>
                </c:pt>
                <c:pt idx="37">
                  <c:v>60.31</c:v>
                </c:pt>
                <c:pt idx="38">
                  <c:v>58.81</c:v>
                </c:pt>
                <c:pt idx="39">
                  <c:v>59.31</c:v>
                </c:pt>
                <c:pt idx="40">
                  <c:v>60.7</c:v>
                </c:pt>
                <c:pt idx="41">
                  <c:v>60.35</c:v>
                </c:pt>
                <c:pt idx="42">
                  <c:v>58.78</c:v>
                </c:pt>
                <c:pt idx="43">
                  <c:v>59.41</c:v>
                </c:pt>
                <c:pt idx="44">
                  <c:v>60.82</c:v>
                </c:pt>
                <c:pt idx="45">
                  <c:v>60.7</c:v>
                </c:pt>
                <c:pt idx="46">
                  <c:v>58.97</c:v>
                </c:pt>
                <c:pt idx="47">
                  <c:v>59.6</c:v>
                </c:pt>
                <c:pt idx="48">
                  <c:v>61</c:v>
                </c:pt>
                <c:pt idx="49">
                  <c:v>60.34</c:v>
                </c:pt>
                <c:pt idx="50">
                  <c:v>58.98</c:v>
                </c:pt>
                <c:pt idx="51">
                  <c:v>59.83</c:v>
                </c:pt>
                <c:pt idx="52">
                  <c:v>61.27</c:v>
                </c:pt>
                <c:pt idx="53">
                  <c:v>59.87</c:v>
                </c:pt>
                <c:pt idx="54">
                  <c:v>59.06</c:v>
                </c:pt>
                <c:pt idx="55">
                  <c:v>60.25</c:v>
                </c:pt>
                <c:pt idx="56">
                  <c:v>61.35</c:v>
                </c:pt>
                <c:pt idx="57">
                  <c:v>59.55</c:v>
                </c:pt>
                <c:pt idx="58">
                  <c:v>59.26</c:v>
                </c:pt>
                <c:pt idx="59">
                  <c:v>60.75</c:v>
                </c:pt>
                <c:pt idx="60">
                  <c:v>60.98</c:v>
                </c:pt>
                <c:pt idx="61">
                  <c:v>59.4</c:v>
                </c:pt>
                <c:pt idx="62">
                  <c:v>59.8</c:v>
                </c:pt>
                <c:pt idx="63">
                  <c:v>61.2</c:v>
                </c:pt>
                <c:pt idx="64">
                  <c:v>60.59</c:v>
                </c:pt>
                <c:pt idx="65">
                  <c:v>59.17</c:v>
                </c:pt>
                <c:pt idx="66">
                  <c:v>60.18</c:v>
                </c:pt>
                <c:pt idx="67">
                  <c:v>61.52</c:v>
                </c:pt>
                <c:pt idx="68">
                  <c:v>60.01</c:v>
                </c:pt>
                <c:pt idx="69">
                  <c:v>59.27</c:v>
                </c:pt>
                <c:pt idx="70">
                  <c:v>60.54</c:v>
                </c:pt>
                <c:pt idx="71">
                  <c:v>61.37</c:v>
                </c:pt>
                <c:pt idx="72">
                  <c:v>59.68</c:v>
                </c:pt>
                <c:pt idx="73">
                  <c:v>59.58</c:v>
                </c:pt>
                <c:pt idx="74">
                  <c:v>61.03</c:v>
                </c:pt>
                <c:pt idx="75">
                  <c:v>60.94</c:v>
                </c:pt>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Donnee_Ressuage_BCH!$C$2:$C$77</c:f>
              <c:numCache>
                <c:formatCode>General</c:formatCode>
                <c:ptCount val="76"/>
                <c:pt idx="0">
                  <c:v>11.84</c:v>
                </c:pt>
                <c:pt idx="1">
                  <c:v>14.2</c:v>
                </c:pt>
                <c:pt idx="2">
                  <c:v>17.46</c:v>
                </c:pt>
                <c:pt idx="3">
                  <c:v>20.43</c:v>
                </c:pt>
                <c:pt idx="4">
                  <c:v>23.26</c:v>
                </c:pt>
                <c:pt idx="5">
                  <c:v>26.69</c:v>
                </c:pt>
                <c:pt idx="6">
                  <c:v>30.18</c:v>
                </c:pt>
                <c:pt idx="7">
                  <c:v>33.020000000000003</c:v>
                </c:pt>
                <c:pt idx="8">
                  <c:v>34.89</c:v>
                </c:pt>
                <c:pt idx="9">
                  <c:v>37.909999999999997</c:v>
                </c:pt>
                <c:pt idx="10">
                  <c:v>39.11</c:v>
                </c:pt>
                <c:pt idx="11">
                  <c:v>42.91</c:v>
                </c:pt>
                <c:pt idx="12">
                  <c:v>43.4</c:v>
                </c:pt>
                <c:pt idx="13">
                  <c:v>45.98</c:v>
                </c:pt>
                <c:pt idx="14">
                  <c:v>46.8</c:v>
                </c:pt>
                <c:pt idx="15">
                  <c:v>48.31</c:v>
                </c:pt>
                <c:pt idx="16">
                  <c:v>50.02</c:v>
                </c:pt>
                <c:pt idx="17">
                  <c:v>51.53</c:v>
                </c:pt>
                <c:pt idx="18">
                  <c:v>53.27</c:v>
                </c:pt>
                <c:pt idx="19">
                  <c:v>54.25</c:v>
                </c:pt>
                <c:pt idx="20">
                  <c:v>55.26</c:v>
                </c:pt>
                <c:pt idx="21">
                  <c:v>54.83</c:v>
                </c:pt>
                <c:pt idx="22">
                  <c:v>54.53</c:v>
                </c:pt>
                <c:pt idx="23">
                  <c:v>55.27</c:v>
                </c:pt>
                <c:pt idx="24">
                  <c:v>56.1</c:v>
                </c:pt>
                <c:pt idx="25">
                  <c:v>56.12</c:v>
                </c:pt>
                <c:pt idx="26">
                  <c:v>54.95</c:v>
                </c:pt>
                <c:pt idx="27">
                  <c:v>54.38</c:v>
                </c:pt>
                <c:pt idx="28">
                  <c:v>57.4</c:v>
                </c:pt>
                <c:pt idx="29">
                  <c:v>56.88</c:v>
                </c:pt>
                <c:pt idx="30">
                  <c:v>55.71</c:v>
                </c:pt>
                <c:pt idx="31">
                  <c:v>55.99</c:v>
                </c:pt>
                <c:pt idx="32">
                  <c:v>56.88</c:v>
                </c:pt>
                <c:pt idx="33">
                  <c:v>57.22</c:v>
                </c:pt>
                <c:pt idx="34">
                  <c:v>55.79</c:v>
                </c:pt>
                <c:pt idx="35">
                  <c:v>56.16</c:v>
                </c:pt>
                <c:pt idx="36">
                  <c:v>57.36</c:v>
                </c:pt>
                <c:pt idx="37">
                  <c:v>58.16</c:v>
                </c:pt>
                <c:pt idx="38">
                  <c:v>56.34</c:v>
                </c:pt>
                <c:pt idx="39">
                  <c:v>56.52</c:v>
                </c:pt>
                <c:pt idx="40">
                  <c:v>58.17</c:v>
                </c:pt>
                <c:pt idx="41">
                  <c:v>57.75</c:v>
                </c:pt>
                <c:pt idx="42">
                  <c:v>56.19</c:v>
                </c:pt>
                <c:pt idx="43">
                  <c:v>56.76</c:v>
                </c:pt>
                <c:pt idx="44">
                  <c:v>58.04</c:v>
                </c:pt>
                <c:pt idx="45">
                  <c:v>58.46</c:v>
                </c:pt>
                <c:pt idx="46">
                  <c:v>56.72</c:v>
                </c:pt>
                <c:pt idx="47">
                  <c:v>56.68</c:v>
                </c:pt>
                <c:pt idx="48">
                  <c:v>58.14</c:v>
                </c:pt>
                <c:pt idx="49">
                  <c:v>57.92</c:v>
                </c:pt>
                <c:pt idx="50">
                  <c:v>57.28</c:v>
                </c:pt>
                <c:pt idx="51">
                  <c:v>57.95</c:v>
                </c:pt>
                <c:pt idx="52">
                  <c:v>58.8</c:v>
                </c:pt>
                <c:pt idx="53">
                  <c:v>57.39</c:v>
                </c:pt>
                <c:pt idx="54">
                  <c:v>56.37</c:v>
                </c:pt>
                <c:pt idx="55">
                  <c:v>57.25</c:v>
                </c:pt>
                <c:pt idx="56">
                  <c:v>57.82</c:v>
                </c:pt>
                <c:pt idx="57">
                  <c:v>57.37</c:v>
                </c:pt>
                <c:pt idx="58">
                  <c:v>57.28</c:v>
                </c:pt>
                <c:pt idx="59">
                  <c:v>57.81</c:v>
                </c:pt>
                <c:pt idx="60">
                  <c:v>58.77</c:v>
                </c:pt>
                <c:pt idx="61">
                  <c:v>56.8</c:v>
                </c:pt>
                <c:pt idx="62">
                  <c:v>57.17</c:v>
                </c:pt>
                <c:pt idx="63">
                  <c:v>58.13</c:v>
                </c:pt>
                <c:pt idx="64">
                  <c:v>58.16</c:v>
                </c:pt>
                <c:pt idx="65">
                  <c:v>57.28</c:v>
                </c:pt>
                <c:pt idx="66">
                  <c:v>57.62</c:v>
                </c:pt>
                <c:pt idx="67">
                  <c:v>59.17</c:v>
                </c:pt>
                <c:pt idx="68">
                  <c:v>57.65</c:v>
                </c:pt>
                <c:pt idx="69">
                  <c:v>57.29</c:v>
                </c:pt>
                <c:pt idx="70">
                  <c:v>57.71</c:v>
                </c:pt>
                <c:pt idx="71">
                  <c:v>58.16</c:v>
                </c:pt>
                <c:pt idx="72">
                  <c:v>57.32</c:v>
                </c:pt>
                <c:pt idx="73">
                  <c:v>57.64</c:v>
                </c:pt>
                <c:pt idx="74">
                  <c:v>58.18</c:v>
                </c:pt>
                <c:pt idx="75">
                  <c:v>58.57</c:v>
                </c:pt>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Donnee_Ressuage_BCH!$D$2:$D$77</c:f>
              <c:numCache>
                <c:formatCode>General</c:formatCode>
                <c:ptCount val="76"/>
                <c:pt idx="0">
                  <c:v>11.85</c:v>
                </c:pt>
                <c:pt idx="1">
                  <c:v>13.8</c:v>
                </c:pt>
                <c:pt idx="2">
                  <c:v>16.68</c:v>
                </c:pt>
                <c:pt idx="3">
                  <c:v>19.57</c:v>
                </c:pt>
                <c:pt idx="4">
                  <c:v>22.51</c:v>
                </c:pt>
                <c:pt idx="5">
                  <c:v>25.16</c:v>
                </c:pt>
                <c:pt idx="6">
                  <c:v>27.96</c:v>
                </c:pt>
                <c:pt idx="7">
                  <c:v>30.35</c:v>
                </c:pt>
                <c:pt idx="8">
                  <c:v>32.82</c:v>
                </c:pt>
                <c:pt idx="9">
                  <c:v>34.86</c:v>
                </c:pt>
                <c:pt idx="10">
                  <c:v>37.35</c:v>
                </c:pt>
                <c:pt idx="11">
                  <c:v>39.15</c:v>
                </c:pt>
                <c:pt idx="12">
                  <c:v>41.11</c:v>
                </c:pt>
                <c:pt idx="13">
                  <c:v>42.64</c:v>
                </c:pt>
                <c:pt idx="14">
                  <c:v>44.3</c:v>
                </c:pt>
                <c:pt idx="15">
                  <c:v>45.8</c:v>
                </c:pt>
                <c:pt idx="16">
                  <c:v>47.06</c:v>
                </c:pt>
                <c:pt idx="17">
                  <c:v>48.36</c:v>
                </c:pt>
                <c:pt idx="18">
                  <c:v>49.77</c:v>
                </c:pt>
                <c:pt idx="19">
                  <c:v>51.17</c:v>
                </c:pt>
                <c:pt idx="20">
                  <c:v>52.03</c:v>
                </c:pt>
                <c:pt idx="21">
                  <c:v>52.26</c:v>
                </c:pt>
                <c:pt idx="22">
                  <c:v>51.57</c:v>
                </c:pt>
                <c:pt idx="23">
                  <c:v>52.37</c:v>
                </c:pt>
                <c:pt idx="24">
                  <c:v>53.57</c:v>
                </c:pt>
                <c:pt idx="25">
                  <c:v>53.66</c:v>
                </c:pt>
                <c:pt idx="26">
                  <c:v>52.94</c:v>
                </c:pt>
                <c:pt idx="27">
                  <c:v>53.09</c:v>
                </c:pt>
                <c:pt idx="28">
                  <c:v>54.27</c:v>
                </c:pt>
                <c:pt idx="29">
                  <c:v>54.64</c:v>
                </c:pt>
                <c:pt idx="30">
                  <c:v>53.59</c:v>
                </c:pt>
                <c:pt idx="31">
                  <c:v>53.56</c:v>
                </c:pt>
                <c:pt idx="32">
                  <c:v>54.68</c:v>
                </c:pt>
                <c:pt idx="33">
                  <c:v>55.27</c:v>
                </c:pt>
                <c:pt idx="34">
                  <c:v>54.16</c:v>
                </c:pt>
                <c:pt idx="35">
                  <c:v>54.16</c:v>
                </c:pt>
                <c:pt idx="36">
                  <c:v>55.01</c:v>
                </c:pt>
                <c:pt idx="37">
                  <c:v>55.58</c:v>
                </c:pt>
                <c:pt idx="38">
                  <c:v>54.29</c:v>
                </c:pt>
                <c:pt idx="39">
                  <c:v>54.64</c:v>
                </c:pt>
                <c:pt idx="40">
                  <c:v>55.74</c:v>
                </c:pt>
                <c:pt idx="41">
                  <c:v>55.75</c:v>
                </c:pt>
                <c:pt idx="42">
                  <c:v>54.68</c:v>
                </c:pt>
                <c:pt idx="43">
                  <c:v>54.79</c:v>
                </c:pt>
                <c:pt idx="44">
                  <c:v>55.65</c:v>
                </c:pt>
                <c:pt idx="45">
                  <c:v>56.18</c:v>
                </c:pt>
                <c:pt idx="46">
                  <c:v>54.88</c:v>
                </c:pt>
                <c:pt idx="47">
                  <c:v>54.98</c:v>
                </c:pt>
                <c:pt idx="48">
                  <c:v>56.09</c:v>
                </c:pt>
                <c:pt idx="49">
                  <c:v>55.84</c:v>
                </c:pt>
                <c:pt idx="50">
                  <c:v>54.94</c:v>
                </c:pt>
                <c:pt idx="51">
                  <c:v>55.36</c:v>
                </c:pt>
                <c:pt idx="52">
                  <c:v>56.32</c:v>
                </c:pt>
                <c:pt idx="53">
                  <c:v>55.83</c:v>
                </c:pt>
                <c:pt idx="54">
                  <c:v>55.14</c:v>
                </c:pt>
                <c:pt idx="55">
                  <c:v>55.59</c:v>
                </c:pt>
                <c:pt idx="56">
                  <c:v>56.71</c:v>
                </c:pt>
                <c:pt idx="57">
                  <c:v>55.56</c:v>
                </c:pt>
                <c:pt idx="58">
                  <c:v>55.05</c:v>
                </c:pt>
                <c:pt idx="59">
                  <c:v>55.92</c:v>
                </c:pt>
                <c:pt idx="60">
                  <c:v>56.59</c:v>
                </c:pt>
                <c:pt idx="61">
                  <c:v>55.44</c:v>
                </c:pt>
                <c:pt idx="62">
                  <c:v>55.4</c:v>
                </c:pt>
                <c:pt idx="63">
                  <c:v>56.46</c:v>
                </c:pt>
                <c:pt idx="64">
                  <c:v>56.49</c:v>
                </c:pt>
                <c:pt idx="65">
                  <c:v>55.27</c:v>
                </c:pt>
                <c:pt idx="66">
                  <c:v>55.84</c:v>
                </c:pt>
                <c:pt idx="67">
                  <c:v>56.79</c:v>
                </c:pt>
                <c:pt idx="68">
                  <c:v>56.03</c:v>
                </c:pt>
                <c:pt idx="69">
                  <c:v>55.37</c:v>
                </c:pt>
                <c:pt idx="70">
                  <c:v>56.01</c:v>
                </c:pt>
                <c:pt idx="71">
                  <c:v>56.73</c:v>
                </c:pt>
                <c:pt idx="72">
                  <c:v>55.84</c:v>
                </c:pt>
                <c:pt idx="73">
                  <c:v>55.44</c:v>
                </c:pt>
                <c:pt idx="74">
                  <c:v>56.46</c:v>
                </c:pt>
                <c:pt idx="75">
                  <c:v>56.67</c:v>
                </c:pt>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Donnee_Ressuage_BCH!$E$2:$E$77</c:f>
              <c:numCache>
                <c:formatCode>General</c:formatCode>
                <c:ptCount val="76"/>
                <c:pt idx="0">
                  <c:v>11.84</c:v>
                </c:pt>
                <c:pt idx="1">
                  <c:v>14.06</c:v>
                </c:pt>
                <c:pt idx="2">
                  <c:v>17.010000000000002</c:v>
                </c:pt>
                <c:pt idx="3">
                  <c:v>20.16</c:v>
                </c:pt>
                <c:pt idx="4">
                  <c:v>23.17</c:v>
                </c:pt>
                <c:pt idx="5">
                  <c:v>26.04</c:v>
                </c:pt>
                <c:pt idx="6">
                  <c:v>28.86</c:v>
                </c:pt>
                <c:pt idx="7">
                  <c:v>31.39</c:v>
                </c:pt>
                <c:pt idx="8">
                  <c:v>34.03</c:v>
                </c:pt>
                <c:pt idx="9">
                  <c:v>36.04</c:v>
                </c:pt>
                <c:pt idx="10">
                  <c:v>38.26</c:v>
                </c:pt>
                <c:pt idx="11">
                  <c:v>40.22</c:v>
                </c:pt>
                <c:pt idx="12">
                  <c:v>42.07</c:v>
                </c:pt>
                <c:pt idx="13">
                  <c:v>43.39</c:v>
                </c:pt>
                <c:pt idx="14">
                  <c:v>44.97</c:v>
                </c:pt>
                <c:pt idx="15">
                  <c:v>46.8</c:v>
                </c:pt>
                <c:pt idx="16">
                  <c:v>48.08</c:v>
                </c:pt>
                <c:pt idx="17">
                  <c:v>49.58</c:v>
                </c:pt>
                <c:pt idx="18">
                  <c:v>51.01</c:v>
                </c:pt>
                <c:pt idx="19">
                  <c:v>52.51</c:v>
                </c:pt>
                <c:pt idx="20">
                  <c:v>53.26</c:v>
                </c:pt>
                <c:pt idx="21">
                  <c:v>53.49</c:v>
                </c:pt>
                <c:pt idx="22">
                  <c:v>52.78</c:v>
                </c:pt>
                <c:pt idx="23">
                  <c:v>53.58</c:v>
                </c:pt>
                <c:pt idx="24">
                  <c:v>54.59</c:v>
                </c:pt>
                <c:pt idx="25">
                  <c:v>54.99</c:v>
                </c:pt>
                <c:pt idx="26">
                  <c:v>54.21</c:v>
                </c:pt>
                <c:pt idx="27">
                  <c:v>54.71</c:v>
                </c:pt>
                <c:pt idx="28">
                  <c:v>55.65</c:v>
                </c:pt>
                <c:pt idx="29">
                  <c:v>55.79</c:v>
                </c:pt>
                <c:pt idx="30">
                  <c:v>54.86</c:v>
                </c:pt>
                <c:pt idx="31">
                  <c:v>55.26</c:v>
                </c:pt>
                <c:pt idx="32">
                  <c:v>55.96</c:v>
                </c:pt>
                <c:pt idx="33">
                  <c:v>56.61</c:v>
                </c:pt>
                <c:pt idx="34">
                  <c:v>55.4</c:v>
                </c:pt>
                <c:pt idx="35">
                  <c:v>55.51</c:v>
                </c:pt>
                <c:pt idx="36">
                  <c:v>56.43</c:v>
                </c:pt>
                <c:pt idx="37">
                  <c:v>56.86</c:v>
                </c:pt>
                <c:pt idx="38">
                  <c:v>55.76</c:v>
                </c:pt>
                <c:pt idx="39">
                  <c:v>55.94</c:v>
                </c:pt>
                <c:pt idx="40">
                  <c:v>56.97</c:v>
                </c:pt>
                <c:pt idx="41">
                  <c:v>57.17</c:v>
                </c:pt>
                <c:pt idx="42">
                  <c:v>56.25</c:v>
                </c:pt>
                <c:pt idx="43">
                  <c:v>56.1</c:v>
                </c:pt>
                <c:pt idx="44">
                  <c:v>57.28</c:v>
                </c:pt>
                <c:pt idx="45">
                  <c:v>57.45</c:v>
                </c:pt>
                <c:pt idx="46">
                  <c:v>56.26</c:v>
                </c:pt>
                <c:pt idx="47">
                  <c:v>56.52</c:v>
                </c:pt>
                <c:pt idx="48">
                  <c:v>57.64</c:v>
                </c:pt>
                <c:pt idx="49">
                  <c:v>57.61</c:v>
                </c:pt>
                <c:pt idx="50">
                  <c:v>56.47</c:v>
                </c:pt>
                <c:pt idx="51">
                  <c:v>56.65</c:v>
                </c:pt>
                <c:pt idx="52">
                  <c:v>57.8</c:v>
                </c:pt>
                <c:pt idx="53">
                  <c:v>57.38</c:v>
                </c:pt>
                <c:pt idx="54">
                  <c:v>56.57</c:v>
                </c:pt>
                <c:pt idx="55">
                  <c:v>57.16</c:v>
                </c:pt>
                <c:pt idx="56">
                  <c:v>58.23</c:v>
                </c:pt>
                <c:pt idx="57">
                  <c:v>57.17</c:v>
                </c:pt>
                <c:pt idx="58">
                  <c:v>56.78</c:v>
                </c:pt>
                <c:pt idx="59">
                  <c:v>57.47</c:v>
                </c:pt>
                <c:pt idx="60">
                  <c:v>58.09</c:v>
                </c:pt>
                <c:pt idx="61">
                  <c:v>57.01</c:v>
                </c:pt>
                <c:pt idx="62">
                  <c:v>56.92</c:v>
                </c:pt>
                <c:pt idx="63">
                  <c:v>58.1</c:v>
                </c:pt>
                <c:pt idx="64">
                  <c:v>57.8</c:v>
                </c:pt>
                <c:pt idx="65">
                  <c:v>56.9</c:v>
                </c:pt>
                <c:pt idx="66">
                  <c:v>57.34</c:v>
                </c:pt>
                <c:pt idx="67">
                  <c:v>58.59</c:v>
                </c:pt>
                <c:pt idx="68">
                  <c:v>57.76</c:v>
                </c:pt>
                <c:pt idx="69">
                  <c:v>56.9</c:v>
                </c:pt>
                <c:pt idx="70">
                  <c:v>57.75</c:v>
                </c:pt>
                <c:pt idx="71">
                  <c:v>58.42</c:v>
                </c:pt>
                <c:pt idx="72">
                  <c:v>57.37</c:v>
                </c:pt>
                <c:pt idx="73">
                  <c:v>57.04</c:v>
                </c:pt>
                <c:pt idx="74">
                  <c:v>57.95</c:v>
                </c:pt>
                <c:pt idx="75">
                  <c:v>58.11</c:v>
                </c:pt>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Donnee_Ressuage_BCH!$F$2:$F$77</c:f>
              <c:numCache>
                <c:formatCode>General</c:formatCode>
                <c:ptCount val="76"/>
                <c:pt idx="0">
                  <c:v>12.3</c:v>
                </c:pt>
                <c:pt idx="1">
                  <c:v>14.4</c:v>
                </c:pt>
                <c:pt idx="2">
                  <c:v>17.82</c:v>
                </c:pt>
                <c:pt idx="3">
                  <c:v>21.36</c:v>
                </c:pt>
                <c:pt idx="4">
                  <c:v>24.73</c:v>
                </c:pt>
                <c:pt idx="5">
                  <c:v>27.9</c:v>
                </c:pt>
                <c:pt idx="6">
                  <c:v>31</c:v>
                </c:pt>
                <c:pt idx="7">
                  <c:v>33.78</c:v>
                </c:pt>
                <c:pt idx="8">
                  <c:v>36.450000000000003</c:v>
                </c:pt>
                <c:pt idx="9">
                  <c:v>38.85</c:v>
                </c:pt>
                <c:pt idx="10">
                  <c:v>41.06</c:v>
                </c:pt>
                <c:pt idx="11">
                  <c:v>43.2</c:v>
                </c:pt>
                <c:pt idx="12">
                  <c:v>44.99</c:v>
                </c:pt>
                <c:pt idx="13">
                  <c:v>46.71</c:v>
                </c:pt>
                <c:pt idx="14">
                  <c:v>48.39</c:v>
                </c:pt>
                <c:pt idx="15">
                  <c:v>50.01</c:v>
                </c:pt>
                <c:pt idx="16">
                  <c:v>51.46</c:v>
                </c:pt>
                <c:pt idx="17">
                  <c:v>52.98</c:v>
                </c:pt>
                <c:pt idx="18">
                  <c:v>54.37</c:v>
                </c:pt>
                <c:pt idx="19">
                  <c:v>55.58</c:v>
                </c:pt>
                <c:pt idx="20">
                  <c:v>56.62</c:v>
                </c:pt>
                <c:pt idx="21">
                  <c:v>56.62</c:v>
                </c:pt>
                <c:pt idx="22">
                  <c:v>55.74</c:v>
                </c:pt>
                <c:pt idx="23">
                  <c:v>56.33</c:v>
                </c:pt>
                <c:pt idx="24">
                  <c:v>57.53</c:v>
                </c:pt>
                <c:pt idx="25">
                  <c:v>57.92</c:v>
                </c:pt>
                <c:pt idx="26">
                  <c:v>56.62</c:v>
                </c:pt>
                <c:pt idx="27">
                  <c:v>56.99</c:v>
                </c:pt>
                <c:pt idx="28">
                  <c:v>57.97</c:v>
                </c:pt>
                <c:pt idx="29">
                  <c:v>58.56</c:v>
                </c:pt>
                <c:pt idx="30">
                  <c:v>57.24</c:v>
                </c:pt>
                <c:pt idx="31">
                  <c:v>57.32</c:v>
                </c:pt>
                <c:pt idx="32">
                  <c:v>58.47</c:v>
                </c:pt>
                <c:pt idx="33">
                  <c:v>59.03</c:v>
                </c:pt>
                <c:pt idx="34">
                  <c:v>57.54</c:v>
                </c:pt>
                <c:pt idx="35">
                  <c:v>57.48</c:v>
                </c:pt>
                <c:pt idx="36">
                  <c:v>58.79</c:v>
                </c:pt>
                <c:pt idx="37">
                  <c:v>59.21</c:v>
                </c:pt>
                <c:pt idx="38">
                  <c:v>57.74</c:v>
                </c:pt>
                <c:pt idx="39">
                  <c:v>57.92</c:v>
                </c:pt>
                <c:pt idx="40">
                  <c:v>59.13</c:v>
                </c:pt>
                <c:pt idx="41">
                  <c:v>59.33</c:v>
                </c:pt>
                <c:pt idx="42">
                  <c:v>57.87</c:v>
                </c:pt>
                <c:pt idx="43">
                  <c:v>58.09</c:v>
                </c:pt>
                <c:pt idx="44">
                  <c:v>59.34</c:v>
                </c:pt>
                <c:pt idx="45">
                  <c:v>59.59</c:v>
                </c:pt>
                <c:pt idx="46">
                  <c:v>58.15</c:v>
                </c:pt>
                <c:pt idx="47">
                  <c:v>58.22</c:v>
                </c:pt>
                <c:pt idx="48">
                  <c:v>59.64</c:v>
                </c:pt>
                <c:pt idx="49">
                  <c:v>59.51</c:v>
                </c:pt>
                <c:pt idx="50">
                  <c:v>58.06</c:v>
                </c:pt>
                <c:pt idx="51">
                  <c:v>58.47</c:v>
                </c:pt>
                <c:pt idx="52">
                  <c:v>59.82</c:v>
                </c:pt>
                <c:pt idx="53">
                  <c:v>59.17</c:v>
                </c:pt>
                <c:pt idx="54">
                  <c:v>58.15</c:v>
                </c:pt>
                <c:pt idx="55">
                  <c:v>58.89</c:v>
                </c:pt>
                <c:pt idx="56">
                  <c:v>60.12</c:v>
                </c:pt>
                <c:pt idx="57">
                  <c:v>58.85</c:v>
                </c:pt>
                <c:pt idx="58">
                  <c:v>58.29</c:v>
                </c:pt>
                <c:pt idx="59">
                  <c:v>59.31</c:v>
                </c:pt>
                <c:pt idx="60">
                  <c:v>59.97</c:v>
                </c:pt>
                <c:pt idx="61">
                  <c:v>58.56</c:v>
                </c:pt>
                <c:pt idx="62">
                  <c:v>58.63</c:v>
                </c:pt>
                <c:pt idx="63">
                  <c:v>59.83</c:v>
                </c:pt>
                <c:pt idx="64">
                  <c:v>59.73</c:v>
                </c:pt>
                <c:pt idx="65">
                  <c:v>58.39</c:v>
                </c:pt>
                <c:pt idx="66">
                  <c:v>58.96</c:v>
                </c:pt>
                <c:pt idx="67">
                  <c:v>60.24</c:v>
                </c:pt>
                <c:pt idx="68">
                  <c:v>59.42</c:v>
                </c:pt>
                <c:pt idx="69">
                  <c:v>58.32</c:v>
                </c:pt>
                <c:pt idx="70">
                  <c:v>59.14</c:v>
                </c:pt>
                <c:pt idx="71">
                  <c:v>60.28</c:v>
                </c:pt>
                <c:pt idx="72">
                  <c:v>58.93</c:v>
                </c:pt>
                <c:pt idx="73">
                  <c:v>58.51</c:v>
                </c:pt>
                <c:pt idx="74">
                  <c:v>59.65</c:v>
                </c:pt>
                <c:pt idx="75">
                  <c:v>60.17</c:v>
                </c:pt>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Donnee_Ressuage_BCH!$G$2:$G$77</c:f>
              <c:numCache>
                <c:formatCode>General</c:formatCode>
                <c:ptCount val="76"/>
                <c:pt idx="0">
                  <c:v>12.34</c:v>
                </c:pt>
                <c:pt idx="1">
                  <c:v>15.87</c:v>
                </c:pt>
                <c:pt idx="2">
                  <c:v>19.829999999999998</c:v>
                </c:pt>
                <c:pt idx="3">
                  <c:v>23.76</c:v>
                </c:pt>
                <c:pt idx="4">
                  <c:v>27.54</c:v>
                </c:pt>
                <c:pt idx="5">
                  <c:v>31.03</c:v>
                </c:pt>
                <c:pt idx="6">
                  <c:v>34.340000000000003</c:v>
                </c:pt>
                <c:pt idx="7">
                  <c:v>37.31</c:v>
                </c:pt>
                <c:pt idx="8">
                  <c:v>40.020000000000003</c:v>
                </c:pt>
                <c:pt idx="9">
                  <c:v>42.63</c:v>
                </c:pt>
                <c:pt idx="10">
                  <c:v>44.82</c:v>
                </c:pt>
                <c:pt idx="11">
                  <c:v>47.04</c:v>
                </c:pt>
                <c:pt idx="12">
                  <c:v>48.93</c:v>
                </c:pt>
                <c:pt idx="13">
                  <c:v>50.71</c:v>
                </c:pt>
                <c:pt idx="14">
                  <c:v>52.4</c:v>
                </c:pt>
                <c:pt idx="15">
                  <c:v>54</c:v>
                </c:pt>
                <c:pt idx="16">
                  <c:v>55.44</c:v>
                </c:pt>
                <c:pt idx="17">
                  <c:v>56.84</c:v>
                </c:pt>
                <c:pt idx="18">
                  <c:v>58.32</c:v>
                </c:pt>
                <c:pt idx="19">
                  <c:v>59.44</c:v>
                </c:pt>
                <c:pt idx="20">
                  <c:v>60.55</c:v>
                </c:pt>
                <c:pt idx="21">
                  <c:v>59.45</c:v>
                </c:pt>
                <c:pt idx="22">
                  <c:v>58.62</c:v>
                </c:pt>
                <c:pt idx="23">
                  <c:v>59.66</c:v>
                </c:pt>
                <c:pt idx="24">
                  <c:v>60.83</c:v>
                </c:pt>
                <c:pt idx="25">
                  <c:v>60.5</c:v>
                </c:pt>
                <c:pt idx="26">
                  <c:v>59</c:v>
                </c:pt>
                <c:pt idx="27">
                  <c:v>59.83</c:v>
                </c:pt>
                <c:pt idx="28">
                  <c:v>61.19</c:v>
                </c:pt>
                <c:pt idx="29">
                  <c:v>60.88</c:v>
                </c:pt>
                <c:pt idx="30">
                  <c:v>59.23</c:v>
                </c:pt>
                <c:pt idx="31">
                  <c:v>59.79</c:v>
                </c:pt>
                <c:pt idx="32">
                  <c:v>61.24</c:v>
                </c:pt>
                <c:pt idx="33">
                  <c:v>61.23</c:v>
                </c:pt>
                <c:pt idx="34">
                  <c:v>59.42</c:v>
                </c:pt>
                <c:pt idx="35">
                  <c:v>60.02</c:v>
                </c:pt>
                <c:pt idx="36">
                  <c:v>61.46</c:v>
                </c:pt>
                <c:pt idx="37">
                  <c:v>61.15</c:v>
                </c:pt>
                <c:pt idx="38">
                  <c:v>59.53</c:v>
                </c:pt>
                <c:pt idx="39">
                  <c:v>60.31</c:v>
                </c:pt>
                <c:pt idx="40">
                  <c:v>61.85</c:v>
                </c:pt>
                <c:pt idx="41">
                  <c:v>61.1</c:v>
                </c:pt>
                <c:pt idx="42">
                  <c:v>59.53</c:v>
                </c:pt>
                <c:pt idx="43">
                  <c:v>60.34</c:v>
                </c:pt>
                <c:pt idx="44">
                  <c:v>62.05</c:v>
                </c:pt>
                <c:pt idx="45">
                  <c:v>61.39</c:v>
                </c:pt>
                <c:pt idx="46">
                  <c:v>59.8</c:v>
                </c:pt>
                <c:pt idx="47">
                  <c:v>60.51</c:v>
                </c:pt>
                <c:pt idx="48">
                  <c:v>62.05</c:v>
                </c:pt>
                <c:pt idx="49">
                  <c:v>61.08</c:v>
                </c:pt>
                <c:pt idx="50">
                  <c:v>59.74</c:v>
                </c:pt>
                <c:pt idx="51">
                  <c:v>60.73</c:v>
                </c:pt>
                <c:pt idx="52">
                  <c:v>62.32</c:v>
                </c:pt>
                <c:pt idx="53">
                  <c:v>60.54</c:v>
                </c:pt>
                <c:pt idx="54">
                  <c:v>59.91</c:v>
                </c:pt>
                <c:pt idx="55">
                  <c:v>61.24</c:v>
                </c:pt>
                <c:pt idx="56">
                  <c:v>62.17</c:v>
                </c:pt>
                <c:pt idx="57">
                  <c:v>60.04</c:v>
                </c:pt>
                <c:pt idx="58">
                  <c:v>60.09</c:v>
                </c:pt>
                <c:pt idx="59">
                  <c:v>61.69</c:v>
                </c:pt>
                <c:pt idx="60">
                  <c:v>61.76</c:v>
                </c:pt>
                <c:pt idx="61">
                  <c:v>60.03</c:v>
                </c:pt>
                <c:pt idx="62">
                  <c:v>60.66</c:v>
                </c:pt>
                <c:pt idx="63">
                  <c:v>62.22</c:v>
                </c:pt>
                <c:pt idx="64">
                  <c:v>61.19</c:v>
                </c:pt>
                <c:pt idx="65">
                  <c:v>59.97</c:v>
                </c:pt>
                <c:pt idx="66">
                  <c:v>61.14</c:v>
                </c:pt>
                <c:pt idx="67">
                  <c:v>62.5</c:v>
                </c:pt>
                <c:pt idx="68">
                  <c:v>60.52</c:v>
                </c:pt>
                <c:pt idx="69">
                  <c:v>60.03</c:v>
                </c:pt>
                <c:pt idx="70">
                  <c:v>61.47</c:v>
                </c:pt>
                <c:pt idx="71">
                  <c:v>62.19</c:v>
                </c:pt>
                <c:pt idx="72">
                  <c:v>60.29</c:v>
                </c:pt>
                <c:pt idx="73">
                  <c:v>60.37</c:v>
                </c:pt>
                <c:pt idx="74">
                  <c:v>61.96</c:v>
                </c:pt>
                <c:pt idx="75">
                  <c:v>61.68</c:v>
                </c:pt>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Donnee_Ressuage_BCH!$H$2:$H$77</c:f>
              <c:numCache>
                <c:formatCode>General</c:formatCode>
                <c:ptCount val="76"/>
                <c:pt idx="0">
                  <c:v>12.42</c:v>
                </c:pt>
                <c:pt idx="1">
                  <c:v>15.76</c:v>
                </c:pt>
                <c:pt idx="2">
                  <c:v>19.7</c:v>
                </c:pt>
                <c:pt idx="3">
                  <c:v>23.61</c:v>
                </c:pt>
                <c:pt idx="4">
                  <c:v>27.36</c:v>
                </c:pt>
                <c:pt idx="5">
                  <c:v>30.71</c:v>
                </c:pt>
                <c:pt idx="6">
                  <c:v>33.92</c:v>
                </c:pt>
                <c:pt idx="7">
                  <c:v>36.74</c:v>
                </c:pt>
                <c:pt idx="8">
                  <c:v>39.46</c:v>
                </c:pt>
                <c:pt idx="9">
                  <c:v>41.93</c:v>
                </c:pt>
                <c:pt idx="10">
                  <c:v>44.09</c:v>
                </c:pt>
                <c:pt idx="11">
                  <c:v>46.15</c:v>
                </c:pt>
                <c:pt idx="12">
                  <c:v>48.19</c:v>
                </c:pt>
                <c:pt idx="13">
                  <c:v>49.91</c:v>
                </c:pt>
                <c:pt idx="14">
                  <c:v>51.64</c:v>
                </c:pt>
                <c:pt idx="15">
                  <c:v>53.35</c:v>
                </c:pt>
                <c:pt idx="16">
                  <c:v>54.57</c:v>
                </c:pt>
                <c:pt idx="17">
                  <c:v>56.04</c:v>
                </c:pt>
                <c:pt idx="18">
                  <c:v>57.4</c:v>
                </c:pt>
                <c:pt idx="19">
                  <c:v>58.64</c:v>
                </c:pt>
                <c:pt idx="20">
                  <c:v>59.91</c:v>
                </c:pt>
                <c:pt idx="21">
                  <c:v>58.73</c:v>
                </c:pt>
                <c:pt idx="22">
                  <c:v>57.94</c:v>
                </c:pt>
                <c:pt idx="23">
                  <c:v>59.08</c:v>
                </c:pt>
                <c:pt idx="24">
                  <c:v>60.21</c:v>
                </c:pt>
                <c:pt idx="25">
                  <c:v>59.84</c:v>
                </c:pt>
                <c:pt idx="26">
                  <c:v>58.44</c:v>
                </c:pt>
                <c:pt idx="27">
                  <c:v>59.21</c:v>
                </c:pt>
                <c:pt idx="28">
                  <c:v>60.51</c:v>
                </c:pt>
                <c:pt idx="29">
                  <c:v>60.44</c:v>
                </c:pt>
                <c:pt idx="30">
                  <c:v>58.65</c:v>
                </c:pt>
                <c:pt idx="31">
                  <c:v>59.29</c:v>
                </c:pt>
                <c:pt idx="32">
                  <c:v>60.9</c:v>
                </c:pt>
                <c:pt idx="33">
                  <c:v>60.71</c:v>
                </c:pt>
                <c:pt idx="34">
                  <c:v>58.95</c:v>
                </c:pt>
                <c:pt idx="35">
                  <c:v>59.53</c:v>
                </c:pt>
                <c:pt idx="36">
                  <c:v>61.04</c:v>
                </c:pt>
                <c:pt idx="37">
                  <c:v>60.67</c:v>
                </c:pt>
                <c:pt idx="38">
                  <c:v>59.12</c:v>
                </c:pt>
                <c:pt idx="39">
                  <c:v>59.86</c:v>
                </c:pt>
                <c:pt idx="40">
                  <c:v>61.37</c:v>
                </c:pt>
                <c:pt idx="41">
                  <c:v>60.74</c:v>
                </c:pt>
                <c:pt idx="42">
                  <c:v>59.05</c:v>
                </c:pt>
                <c:pt idx="43">
                  <c:v>59.85</c:v>
                </c:pt>
                <c:pt idx="44">
                  <c:v>61.44</c:v>
                </c:pt>
                <c:pt idx="45">
                  <c:v>60.84</c:v>
                </c:pt>
                <c:pt idx="46">
                  <c:v>59.29</c:v>
                </c:pt>
                <c:pt idx="47">
                  <c:v>60.11</c:v>
                </c:pt>
                <c:pt idx="48">
                  <c:v>61.6</c:v>
                </c:pt>
                <c:pt idx="49">
                  <c:v>60.72</c:v>
                </c:pt>
                <c:pt idx="50">
                  <c:v>59.29</c:v>
                </c:pt>
                <c:pt idx="51">
                  <c:v>60.36</c:v>
                </c:pt>
                <c:pt idx="52">
                  <c:v>61.84</c:v>
                </c:pt>
                <c:pt idx="53">
                  <c:v>60.06</c:v>
                </c:pt>
                <c:pt idx="54">
                  <c:v>59.48</c:v>
                </c:pt>
                <c:pt idx="55">
                  <c:v>60.85</c:v>
                </c:pt>
                <c:pt idx="56">
                  <c:v>61.85</c:v>
                </c:pt>
                <c:pt idx="57">
                  <c:v>59.58</c:v>
                </c:pt>
                <c:pt idx="58">
                  <c:v>59.71</c:v>
                </c:pt>
                <c:pt idx="59">
                  <c:v>61.21</c:v>
                </c:pt>
                <c:pt idx="60">
                  <c:v>61.28</c:v>
                </c:pt>
                <c:pt idx="61">
                  <c:v>59.63</c:v>
                </c:pt>
                <c:pt idx="62">
                  <c:v>60.28</c:v>
                </c:pt>
                <c:pt idx="63">
                  <c:v>61.94</c:v>
                </c:pt>
                <c:pt idx="64">
                  <c:v>60.81</c:v>
                </c:pt>
                <c:pt idx="65">
                  <c:v>59.52</c:v>
                </c:pt>
                <c:pt idx="66">
                  <c:v>60.75</c:v>
                </c:pt>
                <c:pt idx="67">
                  <c:v>62.02</c:v>
                </c:pt>
                <c:pt idx="68">
                  <c:v>60.18</c:v>
                </c:pt>
                <c:pt idx="69">
                  <c:v>59.52</c:v>
                </c:pt>
                <c:pt idx="70">
                  <c:v>61.02</c:v>
                </c:pt>
                <c:pt idx="71">
                  <c:v>61.79</c:v>
                </c:pt>
                <c:pt idx="72">
                  <c:v>59.84</c:v>
                </c:pt>
                <c:pt idx="73">
                  <c:v>59.92</c:v>
                </c:pt>
                <c:pt idx="74">
                  <c:v>61.57</c:v>
                </c:pt>
                <c:pt idx="75">
                  <c:v>61.34</c:v>
                </c:pt>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Donnee_Ressuage_BCH!$I$2:$I$77</c:f>
              <c:numCache>
                <c:formatCode>General</c:formatCode>
                <c:ptCount val="76"/>
                <c:pt idx="0">
                  <c:v>12.71</c:v>
                </c:pt>
                <c:pt idx="1">
                  <c:v>14.12</c:v>
                </c:pt>
                <c:pt idx="2">
                  <c:v>17.170000000000002</c:v>
                </c:pt>
                <c:pt idx="3">
                  <c:v>20.22</c:v>
                </c:pt>
                <c:pt idx="4">
                  <c:v>23.18</c:v>
                </c:pt>
                <c:pt idx="5">
                  <c:v>26.49</c:v>
                </c:pt>
                <c:pt idx="6">
                  <c:v>29.38</c:v>
                </c:pt>
                <c:pt idx="7">
                  <c:v>31.97</c:v>
                </c:pt>
                <c:pt idx="8">
                  <c:v>34.159999999999997</c:v>
                </c:pt>
                <c:pt idx="9">
                  <c:v>36.89</c:v>
                </c:pt>
                <c:pt idx="10">
                  <c:v>38.97</c:v>
                </c:pt>
                <c:pt idx="11">
                  <c:v>41.23</c:v>
                </c:pt>
                <c:pt idx="12">
                  <c:v>43.05</c:v>
                </c:pt>
                <c:pt idx="13">
                  <c:v>44.67</c:v>
                </c:pt>
                <c:pt idx="14">
                  <c:v>45.9</c:v>
                </c:pt>
                <c:pt idx="15">
                  <c:v>48.16</c:v>
                </c:pt>
                <c:pt idx="16">
                  <c:v>49</c:v>
                </c:pt>
                <c:pt idx="17">
                  <c:v>50.95</c:v>
                </c:pt>
                <c:pt idx="18">
                  <c:v>52.08</c:v>
                </c:pt>
                <c:pt idx="19">
                  <c:v>53.49</c:v>
                </c:pt>
                <c:pt idx="20">
                  <c:v>54.43</c:v>
                </c:pt>
                <c:pt idx="21">
                  <c:v>54.73</c:v>
                </c:pt>
                <c:pt idx="22">
                  <c:v>53.93</c:v>
                </c:pt>
                <c:pt idx="23">
                  <c:v>54.74</c:v>
                </c:pt>
                <c:pt idx="24">
                  <c:v>55.29</c:v>
                </c:pt>
                <c:pt idx="25">
                  <c:v>56.42</c:v>
                </c:pt>
                <c:pt idx="26">
                  <c:v>55.21</c:v>
                </c:pt>
                <c:pt idx="27">
                  <c:v>55.31</c:v>
                </c:pt>
                <c:pt idx="28">
                  <c:v>55.99</c:v>
                </c:pt>
                <c:pt idx="29">
                  <c:v>56.98</c:v>
                </c:pt>
                <c:pt idx="30">
                  <c:v>55.74</c:v>
                </c:pt>
                <c:pt idx="31">
                  <c:v>56.15</c:v>
                </c:pt>
                <c:pt idx="32">
                  <c:v>56.54</c:v>
                </c:pt>
                <c:pt idx="33">
                  <c:v>57.23</c:v>
                </c:pt>
                <c:pt idx="34">
                  <c:v>56.33</c:v>
                </c:pt>
                <c:pt idx="35">
                  <c:v>56.07</c:v>
                </c:pt>
                <c:pt idx="36">
                  <c:v>57.06</c:v>
                </c:pt>
                <c:pt idx="37">
                  <c:v>57.64</c:v>
                </c:pt>
                <c:pt idx="38">
                  <c:v>56.24</c:v>
                </c:pt>
                <c:pt idx="39">
                  <c:v>56.29</c:v>
                </c:pt>
                <c:pt idx="40">
                  <c:v>57.55</c:v>
                </c:pt>
                <c:pt idx="41">
                  <c:v>57.96</c:v>
                </c:pt>
                <c:pt idx="42">
                  <c:v>56.6</c:v>
                </c:pt>
                <c:pt idx="43">
                  <c:v>56.45</c:v>
                </c:pt>
                <c:pt idx="44">
                  <c:v>57.98</c:v>
                </c:pt>
                <c:pt idx="45">
                  <c:v>58.23</c:v>
                </c:pt>
                <c:pt idx="46">
                  <c:v>57.16</c:v>
                </c:pt>
                <c:pt idx="47">
                  <c:v>56.74</c:v>
                </c:pt>
                <c:pt idx="48">
                  <c:v>57.81</c:v>
                </c:pt>
                <c:pt idx="49">
                  <c:v>58.2</c:v>
                </c:pt>
                <c:pt idx="50">
                  <c:v>56.9</c:v>
                </c:pt>
                <c:pt idx="51">
                  <c:v>56.87</c:v>
                </c:pt>
                <c:pt idx="52">
                  <c:v>58.33</c:v>
                </c:pt>
                <c:pt idx="53">
                  <c:v>57.6</c:v>
                </c:pt>
                <c:pt idx="54">
                  <c:v>56.5</c:v>
                </c:pt>
                <c:pt idx="55">
                  <c:v>57.69</c:v>
                </c:pt>
                <c:pt idx="56">
                  <c:v>58.04</c:v>
                </c:pt>
                <c:pt idx="57">
                  <c:v>57.78</c:v>
                </c:pt>
                <c:pt idx="58">
                  <c:v>56.99</c:v>
                </c:pt>
                <c:pt idx="59">
                  <c:v>57.66</c:v>
                </c:pt>
                <c:pt idx="60">
                  <c:v>58.61</c:v>
                </c:pt>
                <c:pt idx="61">
                  <c:v>57.66</c:v>
                </c:pt>
                <c:pt idx="62">
                  <c:v>57.23</c:v>
                </c:pt>
                <c:pt idx="63">
                  <c:v>58.38</c:v>
                </c:pt>
                <c:pt idx="64">
                  <c:v>58.49</c:v>
                </c:pt>
                <c:pt idx="65">
                  <c:v>57.23</c:v>
                </c:pt>
                <c:pt idx="66">
                  <c:v>57.66</c:v>
                </c:pt>
                <c:pt idx="67">
                  <c:v>58.8</c:v>
                </c:pt>
                <c:pt idx="68">
                  <c:v>58.45</c:v>
                </c:pt>
                <c:pt idx="69">
                  <c:v>57.27</c:v>
                </c:pt>
                <c:pt idx="70">
                  <c:v>58.07</c:v>
                </c:pt>
                <c:pt idx="71">
                  <c:v>59.12</c:v>
                </c:pt>
                <c:pt idx="72">
                  <c:v>57.88</c:v>
                </c:pt>
                <c:pt idx="73">
                  <c:v>57.58</c:v>
                </c:pt>
                <c:pt idx="74">
                  <c:v>58.34</c:v>
                </c:pt>
                <c:pt idx="75">
                  <c:v>58.53</c:v>
                </c:pt>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Donnee_Ressuage_BCH!$J$2:$J$77</c:f>
              <c:numCache>
                <c:formatCode>General</c:formatCode>
                <c:ptCount val="76"/>
                <c:pt idx="0">
                  <c:v>13.33</c:v>
                </c:pt>
                <c:pt idx="1">
                  <c:v>16.88</c:v>
                </c:pt>
                <c:pt idx="2">
                  <c:v>21.6</c:v>
                </c:pt>
                <c:pt idx="3">
                  <c:v>26.05</c:v>
                </c:pt>
                <c:pt idx="4">
                  <c:v>30.14</c:v>
                </c:pt>
                <c:pt idx="5">
                  <c:v>33.99</c:v>
                </c:pt>
                <c:pt idx="6">
                  <c:v>37.44</c:v>
                </c:pt>
                <c:pt idx="7">
                  <c:v>40.65</c:v>
                </c:pt>
                <c:pt idx="8">
                  <c:v>43.42</c:v>
                </c:pt>
                <c:pt idx="9">
                  <c:v>45.98</c:v>
                </c:pt>
                <c:pt idx="10">
                  <c:v>48.24</c:v>
                </c:pt>
                <c:pt idx="11">
                  <c:v>50.68</c:v>
                </c:pt>
                <c:pt idx="12">
                  <c:v>52.35</c:v>
                </c:pt>
                <c:pt idx="13">
                  <c:v>54.32</c:v>
                </c:pt>
                <c:pt idx="14">
                  <c:v>56.17</c:v>
                </c:pt>
                <c:pt idx="15">
                  <c:v>57.86</c:v>
                </c:pt>
                <c:pt idx="16">
                  <c:v>59.4</c:v>
                </c:pt>
                <c:pt idx="17">
                  <c:v>60.49</c:v>
                </c:pt>
                <c:pt idx="18">
                  <c:v>61.82</c:v>
                </c:pt>
                <c:pt idx="19">
                  <c:v>63.04</c:v>
                </c:pt>
                <c:pt idx="20">
                  <c:v>64.11</c:v>
                </c:pt>
                <c:pt idx="21">
                  <c:v>62.12</c:v>
                </c:pt>
                <c:pt idx="22">
                  <c:v>61.34</c:v>
                </c:pt>
                <c:pt idx="23">
                  <c:v>62.7</c:v>
                </c:pt>
                <c:pt idx="24">
                  <c:v>64.05</c:v>
                </c:pt>
                <c:pt idx="25">
                  <c:v>63.1</c:v>
                </c:pt>
                <c:pt idx="26">
                  <c:v>61.42</c:v>
                </c:pt>
                <c:pt idx="27">
                  <c:v>62.58</c:v>
                </c:pt>
                <c:pt idx="28">
                  <c:v>64.28</c:v>
                </c:pt>
                <c:pt idx="29">
                  <c:v>63.33</c:v>
                </c:pt>
                <c:pt idx="30">
                  <c:v>61.24</c:v>
                </c:pt>
                <c:pt idx="31">
                  <c:v>62.38</c:v>
                </c:pt>
                <c:pt idx="32">
                  <c:v>64.16</c:v>
                </c:pt>
                <c:pt idx="33">
                  <c:v>63.51</c:v>
                </c:pt>
                <c:pt idx="34">
                  <c:v>61.3</c:v>
                </c:pt>
                <c:pt idx="35">
                  <c:v>62.46</c:v>
                </c:pt>
                <c:pt idx="36">
                  <c:v>64.27</c:v>
                </c:pt>
                <c:pt idx="37">
                  <c:v>63.3</c:v>
                </c:pt>
                <c:pt idx="38">
                  <c:v>61.4</c:v>
                </c:pt>
                <c:pt idx="39">
                  <c:v>62.73</c:v>
                </c:pt>
                <c:pt idx="40">
                  <c:v>64.58</c:v>
                </c:pt>
                <c:pt idx="41">
                  <c:v>63.11</c:v>
                </c:pt>
                <c:pt idx="42">
                  <c:v>61.3</c:v>
                </c:pt>
                <c:pt idx="43">
                  <c:v>62.73</c:v>
                </c:pt>
                <c:pt idx="44">
                  <c:v>64.77</c:v>
                </c:pt>
                <c:pt idx="45">
                  <c:v>63.34</c:v>
                </c:pt>
                <c:pt idx="46">
                  <c:v>61.49</c:v>
                </c:pt>
                <c:pt idx="47">
                  <c:v>62.88</c:v>
                </c:pt>
                <c:pt idx="48">
                  <c:v>64.7</c:v>
                </c:pt>
                <c:pt idx="49">
                  <c:v>62.99</c:v>
                </c:pt>
                <c:pt idx="50">
                  <c:v>61.49</c:v>
                </c:pt>
                <c:pt idx="51">
                  <c:v>63.19</c:v>
                </c:pt>
                <c:pt idx="52">
                  <c:v>64.849999999999994</c:v>
                </c:pt>
                <c:pt idx="53">
                  <c:v>62.26</c:v>
                </c:pt>
                <c:pt idx="54">
                  <c:v>61.78</c:v>
                </c:pt>
                <c:pt idx="55">
                  <c:v>63.71</c:v>
                </c:pt>
                <c:pt idx="56">
                  <c:v>64.569999999999993</c:v>
                </c:pt>
                <c:pt idx="57">
                  <c:v>61.54</c:v>
                </c:pt>
                <c:pt idx="58">
                  <c:v>62.18</c:v>
                </c:pt>
                <c:pt idx="59">
                  <c:v>64.2</c:v>
                </c:pt>
                <c:pt idx="60">
                  <c:v>63.65</c:v>
                </c:pt>
                <c:pt idx="61">
                  <c:v>61.7</c:v>
                </c:pt>
                <c:pt idx="62">
                  <c:v>62.86</c:v>
                </c:pt>
                <c:pt idx="63">
                  <c:v>64.8</c:v>
                </c:pt>
                <c:pt idx="64">
                  <c:v>62.83</c:v>
                </c:pt>
                <c:pt idx="65">
                  <c:v>61.7</c:v>
                </c:pt>
                <c:pt idx="66">
                  <c:v>63.5</c:v>
                </c:pt>
                <c:pt idx="67">
                  <c:v>64.81</c:v>
                </c:pt>
                <c:pt idx="68">
                  <c:v>62.14</c:v>
                </c:pt>
                <c:pt idx="69">
                  <c:v>61.84</c:v>
                </c:pt>
                <c:pt idx="70">
                  <c:v>63.85</c:v>
                </c:pt>
                <c:pt idx="71">
                  <c:v>64.400000000000006</c:v>
                </c:pt>
                <c:pt idx="72">
                  <c:v>61.73</c:v>
                </c:pt>
                <c:pt idx="73">
                  <c:v>62.48</c:v>
                </c:pt>
                <c:pt idx="74">
                  <c:v>64.5</c:v>
                </c:pt>
                <c:pt idx="75">
                  <c:v>63.54</c:v>
                </c:pt>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Donnee_Ressuage_BCH!$K$2:$K$77</c:f>
              <c:numCache>
                <c:formatCode>General</c:formatCode>
                <c:ptCount val="76"/>
                <c:pt idx="0">
                  <c:v>12.66</c:v>
                </c:pt>
                <c:pt idx="1">
                  <c:v>13.86</c:v>
                </c:pt>
                <c:pt idx="2">
                  <c:v>16.79</c:v>
                </c:pt>
                <c:pt idx="3">
                  <c:v>20.010000000000002</c:v>
                </c:pt>
                <c:pt idx="4">
                  <c:v>23.13</c:v>
                </c:pt>
                <c:pt idx="5">
                  <c:v>25.94</c:v>
                </c:pt>
                <c:pt idx="6">
                  <c:v>29.11</c:v>
                </c:pt>
                <c:pt idx="7">
                  <c:v>31.62</c:v>
                </c:pt>
                <c:pt idx="8">
                  <c:v>33.85</c:v>
                </c:pt>
                <c:pt idx="9">
                  <c:v>36.229999999999997</c:v>
                </c:pt>
                <c:pt idx="10">
                  <c:v>38.54</c:v>
                </c:pt>
                <c:pt idx="11">
                  <c:v>39.94</c:v>
                </c:pt>
                <c:pt idx="12">
                  <c:v>42.05</c:v>
                </c:pt>
                <c:pt idx="13">
                  <c:v>43.96</c:v>
                </c:pt>
                <c:pt idx="14">
                  <c:v>45.36</c:v>
                </c:pt>
                <c:pt idx="15">
                  <c:v>46.45</c:v>
                </c:pt>
                <c:pt idx="16">
                  <c:v>48.39</c:v>
                </c:pt>
                <c:pt idx="17">
                  <c:v>50.3</c:v>
                </c:pt>
                <c:pt idx="18">
                  <c:v>51.31</c:v>
                </c:pt>
                <c:pt idx="19">
                  <c:v>52.45</c:v>
                </c:pt>
                <c:pt idx="20">
                  <c:v>53.85</c:v>
                </c:pt>
                <c:pt idx="21">
                  <c:v>54.03</c:v>
                </c:pt>
                <c:pt idx="22">
                  <c:v>53.22</c:v>
                </c:pt>
                <c:pt idx="23">
                  <c:v>53.34</c:v>
                </c:pt>
                <c:pt idx="24">
                  <c:v>54.74</c:v>
                </c:pt>
                <c:pt idx="25">
                  <c:v>55.36</c:v>
                </c:pt>
                <c:pt idx="26">
                  <c:v>54.46</c:v>
                </c:pt>
                <c:pt idx="27">
                  <c:v>54.59</c:v>
                </c:pt>
                <c:pt idx="28">
                  <c:v>55.68</c:v>
                </c:pt>
                <c:pt idx="29">
                  <c:v>56.09</c:v>
                </c:pt>
                <c:pt idx="30">
                  <c:v>55.3</c:v>
                </c:pt>
                <c:pt idx="31">
                  <c:v>55.28</c:v>
                </c:pt>
                <c:pt idx="32">
                  <c:v>56.11</c:v>
                </c:pt>
                <c:pt idx="33">
                  <c:v>56.82</c:v>
                </c:pt>
                <c:pt idx="34">
                  <c:v>55.72</c:v>
                </c:pt>
                <c:pt idx="35">
                  <c:v>55.27</c:v>
                </c:pt>
                <c:pt idx="36">
                  <c:v>56.48</c:v>
                </c:pt>
                <c:pt idx="37">
                  <c:v>56.97</c:v>
                </c:pt>
                <c:pt idx="38">
                  <c:v>55.85</c:v>
                </c:pt>
                <c:pt idx="39">
                  <c:v>55.92</c:v>
                </c:pt>
                <c:pt idx="40">
                  <c:v>57.09</c:v>
                </c:pt>
                <c:pt idx="41">
                  <c:v>57.18</c:v>
                </c:pt>
                <c:pt idx="42">
                  <c:v>56.34</c:v>
                </c:pt>
                <c:pt idx="43">
                  <c:v>56.24</c:v>
                </c:pt>
                <c:pt idx="44">
                  <c:v>57.08</c:v>
                </c:pt>
                <c:pt idx="45">
                  <c:v>57.42</c:v>
                </c:pt>
                <c:pt idx="46">
                  <c:v>56.47</c:v>
                </c:pt>
                <c:pt idx="47">
                  <c:v>56.38</c:v>
                </c:pt>
                <c:pt idx="48">
                  <c:v>57.41</c:v>
                </c:pt>
                <c:pt idx="49">
                  <c:v>57.42</c:v>
                </c:pt>
                <c:pt idx="50">
                  <c:v>56.48</c:v>
                </c:pt>
                <c:pt idx="51">
                  <c:v>56.53</c:v>
                </c:pt>
                <c:pt idx="52">
                  <c:v>57.37</c:v>
                </c:pt>
                <c:pt idx="53">
                  <c:v>57.28</c:v>
                </c:pt>
                <c:pt idx="54">
                  <c:v>56.4</c:v>
                </c:pt>
                <c:pt idx="55">
                  <c:v>56.79</c:v>
                </c:pt>
                <c:pt idx="56">
                  <c:v>58.04</c:v>
                </c:pt>
                <c:pt idx="57">
                  <c:v>57.33</c:v>
                </c:pt>
                <c:pt idx="58">
                  <c:v>56.46</c:v>
                </c:pt>
                <c:pt idx="59">
                  <c:v>57.37</c:v>
                </c:pt>
                <c:pt idx="60">
                  <c:v>57.9</c:v>
                </c:pt>
                <c:pt idx="61">
                  <c:v>56.98</c:v>
                </c:pt>
                <c:pt idx="62">
                  <c:v>56.7</c:v>
                </c:pt>
                <c:pt idx="63">
                  <c:v>57.86</c:v>
                </c:pt>
                <c:pt idx="64">
                  <c:v>57.93</c:v>
                </c:pt>
                <c:pt idx="65">
                  <c:v>56.64</c:v>
                </c:pt>
                <c:pt idx="66">
                  <c:v>57.16</c:v>
                </c:pt>
                <c:pt idx="67">
                  <c:v>58.27</c:v>
                </c:pt>
                <c:pt idx="68">
                  <c:v>57.65</c:v>
                </c:pt>
                <c:pt idx="69">
                  <c:v>56.63</c:v>
                </c:pt>
                <c:pt idx="70">
                  <c:v>57.34</c:v>
                </c:pt>
                <c:pt idx="71">
                  <c:v>58.14</c:v>
                </c:pt>
                <c:pt idx="72">
                  <c:v>57.55</c:v>
                </c:pt>
                <c:pt idx="73">
                  <c:v>56.93</c:v>
                </c:pt>
                <c:pt idx="74">
                  <c:v>57.85</c:v>
                </c:pt>
                <c:pt idx="75">
                  <c:v>58.43</c:v>
                </c:pt>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Donnee_Ressuage_BCH!$B$2:$B$77</c:f>
              <c:numCache>
                <c:formatCode>General</c:formatCode>
                <c:ptCount val="76"/>
                <c:pt idx="0">
                  <c:v>11.96</c:v>
                </c:pt>
                <c:pt idx="1">
                  <c:v>15.16</c:v>
                </c:pt>
                <c:pt idx="2">
                  <c:v>18.93</c:v>
                </c:pt>
                <c:pt idx="3">
                  <c:v>22.76</c:v>
                </c:pt>
                <c:pt idx="4">
                  <c:v>26.45</c:v>
                </c:pt>
                <c:pt idx="5">
                  <c:v>29.68</c:v>
                </c:pt>
                <c:pt idx="6">
                  <c:v>33.04</c:v>
                </c:pt>
                <c:pt idx="7">
                  <c:v>35.840000000000003</c:v>
                </c:pt>
                <c:pt idx="8">
                  <c:v>38.520000000000003</c:v>
                </c:pt>
                <c:pt idx="9">
                  <c:v>41.21</c:v>
                </c:pt>
                <c:pt idx="10">
                  <c:v>43.32</c:v>
                </c:pt>
                <c:pt idx="11">
                  <c:v>45.5</c:v>
                </c:pt>
                <c:pt idx="12">
                  <c:v>47.41</c:v>
                </c:pt>
                <c:pt idx="13">
                  <c:v>49.31</c:v>
                </c:pt>
                <c:pt idx="14">
                  <c:v>50.94</c:v>
                </c:pt>
                <c:pt idx="15">
                  <c:v>52.48</c:v>
                </c:pt>
                <c:pt idx="16">
                  <c:v>53.9</c:v>
                </c:pt>
                <c:pt idx="17">
                  <c:v>55.39</c:v>
                </c:pt>
                <c:pt idx="18">
                  <c:v>56.76</c:v>
                </c:pt>
                <c:pt idx="19">
                  <c:v>57.91</c:v>
                </c:pt>
                <c:pt idx="20">
                  <c:v>59.14</c:v>
                </c:pt>
                <c:pt idx="21">
                  <c:v>58.43</c:v>
                </c:pt>
                <c:pt idx="22">
                  <c:v>57.49</c:v>
                </c:pt>
                <c:pt idx="23">
                  <c:v>58.34</c:v>
                </c:pt>
                <c:pt idx="24">
                  <c:v>59.57</c:v>
                </c:pt>
                <c:pt idx="25">
                  <c:v>59.52</c:v>
                </c:pt>
                <c:pt idx="26">
                  <c:v>58.1</c:v>
                </c:pt>
                <c:pt idx="27">
                  <c:v>58.67</c:v>
                </c:pt>
                <c:pt idx="28">
                  <c:v>59.89</c:v>
                </c:pt>
                <c:pt idx="29">
                  <c:v>60.03</c:v>
                </c:pt>
                <c:pt idx="30">
                  <c:v>58.35</c:v>
                </c:pt>
                <c:pt idx="31">
                  <c:v>58.73</c:v>
                </c:pt>
                <c:pt idx="32">
                  <c:v>60.12</c:v>
                </c:pt>
                <c:pt idx="33">
                  <c:v>60.3</c:v>
                </c:pt>
                <c:pt idx="34">
                  <c:v>58.68</c:v>
                </c:pt>
                <c:pt idx="35">
                  <c:v>59</c:v>
                </c:pt>
                <c:pt idx="36">
                  <c:v>60.34</c:v>
                </c:pt>
                <c:pt idx="37">
                  <c:v>60.31</c:v>
                </c:pt>
                <c:pt idx="38">
                  <c:v>58.81</c:v>
                </c:pt>
                <c:pt idx="39">
                  <c:v>59.31</c:v>
                </c:pt>
                <c:pt idx="40">
                  <c:v>60.7</c:v>
                </c:pt>
                <c:pt idx="41">
                  <c:v>60.35</c:v>
                </c:pt>
                <c:pt idx="42">
                  <c:v>58.78</c:v>
                </c:pt>
                <c:pt idx="43">
                  <c:v>59.41</c:v>
                </c:pt>
                <c:pt idx="44">
                  <c:v>60.82</c:v>
                </c:pt>
                <c:pt idx="45">
                  <c:v>60.7</c:v>
                </c:pt>
                <c:pt idx="46">
                  <c:v>58.97</c:v>
                </c:pt>
                <c:pt idx="47">
                  <c:v>59.6</c:v>
                </c:pt>
                <c:pt idx="48">
                  <c:v>61</c:v>
                </c:pt>
                <c:pt idx="49">
                  <c:v>60.34</c:v>
                </c:pt>
                <c:pt idx="50">
                  <c:v>58.98</c:v>
                </c:pt>
                <c:pt idx="51">
                  <c:v>59.83</c:v>
                </c:pt>
                <c:pt idx="52">
                  <c:v>61.27</c:v>
                </c:pt>
                <c:pt idx="53">
                  <c:v>59.87</c:v>
                </c:pt>
                <c:pt idx="54">
                  <c:v>59.06</c:v>
                </c:pt>
                <c:pt idx="55">
                  <c:v>60.25</c:v>
                </c:pt>
                <c:pt idx="56">
                  <c:v>61.35</c:v>
                </c:pt>
                <c:pt idx="57">
                  <c:v>59.55</c:v>
                </c:pt>
                <c:pt idx="58">
                  <c:v>59.26</c:v>
                </c:pt>
                <c:pt idx="59">
                  <c:v>60.75</c:v>
                </c:pt>
                <c:pt idx="60">
                  <c:v>60.98</c:v>
                </c:pt>
                <c:pt idx="61">
                  <c:v>59.4</c:v>
                </c:pt>
                <c:pt idx="62">
                  <c:v>59.8</c:v>
                </c:pt>
                <c:pt idx="63">
                  <c:v>61.2</c:v>
                </c:pt>
                <c:pt idx="64">
                  <c:v>60.59</c:v>
                </c:pt>
                <c:pt idx="65">
                  <c:v>59.17</c:v>
                </c:pt>
                <c:pt idx="66">
                  <c:v>60.18</c:v>
                </c:pt>
                <c:pt idx="67">
                  <c:v>61.52</c:v>
                </c:pt>
                <c:pt idx="68">
                  <c:v>60.01</c:v>
                </c:pt>
                <c:pt idx="69">
                  <c:v>59.27</c:v>
                </c:pt>
                <c:pt idx="70">
                  <c:v>60.54</c:v>
                </c:pt>
                <c:pt idx="71">
                  <c:v>61.37</c:v>
                </c:pt>
                <c:pt idx="72">
                  <c:v>59.68</c:v>
                </c:pt>
                <c:pt idx="73">
                  <c:v>59.58</c:v>
                </c:pt>
                <c:pt idx="74">
                  <c:v>61.03</c:v>
                </c:pt>
                <c:pt idx="75">
                  <c:v>60.94</c:v>
                </c:pt>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Donnee_Ressuage_BCH!$C$2:$C$77</c:f>
              <c:numCache>
                <c:formatCode>General</c:formatCode>
                <c:ptCount val="76"/>
                <c:pt idx="0">
                  <c:v>11.84</c:v>
                </c:pt>
                <c:pt idx="1">
                  <c:v>14.2</c:v>
                </c:pt>
                <c:pt idx="2">
                  <c:v>17.46</c:v>
                </c:pt>
                <c:pt idx="3">
                  <c:v>20.43</c:v>
                </c:pt>
                <c:pt idx="4">
                  <c:v>23.26</c:v>
                </c:pt>
                <c:pt idx="5">
                  <c:v>26.69</c:v>
                </c:pt>
                <c:pt idx="6">
                  <c:v>30.18</c:v>
                </c:pt>
                <c:pt idx="7">
                  <c:v>33.020000000000003</c:v>
                </c:pt>
                <c:pt idx="8">
                  <c:v>34.89</c:v>
                </c:pt>
                <c:pt idx="9">
                  <c:v>37.909999999999997</c:v>
                </c:pt>
                <c:pt idx="10">
                  <c:v>39.11</c:v>
                </c:pt>
                <c:pt idx="11">
                  <c:v>42.91</c:v>
                </c:pt>
                <c:pt idx="12">
                  <c:v>43.4</c:v>
                </c:pt>
                <c:pt idx="13">
                  <c:v>45.98</c:v>
                </c:pt>
                <c:pt idx="14">
                  <c:v>46.8</c:v>
                </c:pt>
                <c:pt idx="15">
                  <c:v>48.31</c:v>
                </c:pt>
                <c:pt idx="16">
                  <c:v>50.02</c:v>
                </c:pt>
                <c:pt idx="17">
                  <c:v>51.53</c:v>
                </c:pt>
                <c:pt idx="18">
                  <c:v>53.27</c:v>
                </c:pt>
                <c:pt idx="19">
                  <c:v>54.25</c:v>
                </c:pt>
                <c:pt idx="20">
                  <c:v>55.26</c:v>
                </c:pt>
                <c:pt idx="21">
                  <c:v>54.83</c:v>
                </c:pt>
                <c:pt idx="22">
                  <c:v>54.53</c:v>
                </c:pt>
                <c:pt idx="23">
                  <c:v>55.27</c:v>
                </c:pt>
                <c:pt idx="24">
                  <c:v>56.1</c:v>
                </c:pt>
                <c:pt idx="25">
                  <c:v>56.12</c:v>
                </c:pt>
                <c:pt idx="26">
                  <c:v>54.95</c:v>
                </c:pt>
                <c:pt idx="27">
                  <c:v>54.38</c:v>
                </c:pt>
                <c:pt idx="28">
                  <c:v>57.4</c:v>
                </c:pt>
                <c:pt idx="29">
                  <c:v>56.88</c:v>
                </c:pt>
                <c:pt idx="30">
                  <c:v>55.71</c:v>
                </c:pt>
                <c:pt idx="31">
                  <c:v>55.99</c:v>
                </c:pt>
                <c:pt idx="32">
                  <c:v>56.88</c:v>
                </c:pt>
                <c:pt idx="33">
                  <c:v>57.22</c:v>
                </c:pt>
                <c:pt idx="34">
                  <c:v>55.79</c:v>
                </c:pt>
                <c:pt idx="35">
                  <c:v>56.16</c:v>
                </c:pt>
                <c:pt idx="36">
                  <c:v>57.36</c:v>
                </c:pt>
                <c:pt idx="37">
                  <c:v>58.16</c:v>
                </c:pt>
                <c:pt idx="38">
                  <c:v>56.34</c:v>
                </c:pt>
                <c:pt idx="39">
                  <c:v>56.52</c:v>
                </c:pt>
                <c:pt idx="40">
                  <c:v>58.17</c:v>
                </c:pt>
                <c:pt idx="41">
                  <c:v>57.75</c:v>
                </c:pt>
                <c:pt idx="42">
                  <c:v>56.19</c:v>
                </c:pt>
                <c:pt idx="43">
                  <c:v>56.76</c:v>
                </c:pt>
                <c:pt idx="44">
                  <c:v>58.04</c:v>
                </c:pt>
                <c:pt idx="45">
                  <c:v>58.46</c:v>
                </c:pt>
                <c:pt idx="46">
                  <c:v>56.72</c:v>
                </c:pt>
                <c:pt idx="47">
                  <c:v>56.68</c:v>
                </c:pt>
                <c:pt idx="48">
                  <c:v>58.14</c:v>
                </c:pt>
                <c:pt idx="49">
                  <c:v>57.92</c:v>
                </c:pt>
                <c:pt idx="50">
                  <c:v>57.28</c:v>
                </c:pt>
                <c:pt idx="51">
                  <c:v>57.95</c:v>
                </c:pt>
                <c:pt idx="52">
                  <c:v>58.8</c:v>
                </c:pt>
                <c:pt idx="53">
                  <c:v>57.39</c:v>
                </c:pt>
                <c:pt idx="54">
                  <c:v>56.37</c:v>
                </c:pt>
                <c:pt idx="55">
                  <c:v>57.25</c:v>
                </c:pt>
                <c:pt idx="56">
                  <c:v>57.82</c:v>
                </c:pt>
                <c:pt idx="57">
                  <c:v>57.37</c:v>
                </c:pt>
                <c:pt idx="58">
                  <c:v>57.28</c:v>
                </c:pt>
                <c:pt idx="59">
                  <c:v>57.81</c:v>
                </c:pt>
                <c:pt idx="60">
                  <c:v>58.77</c:v>
                </c:pt>
                <c:pt idx="61">
                  <c:v>56.8</c:v>
                </c:pt>
                <c:pt idx="62">
                  <c:v>57.17</c:v>
                </c:pt>
                <c:pt idx="63">
                  <c:v>58.13</c:v>
                </c:pt>
                <c:pt idx="64">
                  <c:v>58.16</c:v>
                </c:pt>
                <c:pt idx="65">
                  <c:v>57.28</c:v>
                </c:pt>
                <c:pt idx="66">
                  <c:v>57.62</c:v>
                </c:pt>
                <c:pt idx="67">
                  <c:v>59.17</c:v>
                </c:pt>
                <c:pt idx="68">
                  <c:v>57.65</c:v>
                </c:pt>
                <c:pt idx="69">
                  <c:v>57.29</c:v>
                </c:pt>
                <c:pt idx="70">
                  <c:v>57.71</c:v>
                </c:pt>
                <c:pt idx="71">
                  <c:v>58.16</c:v>
                </c:pt>
                <c:pt idx="72">
                  <c:v>57.32</c:v>
                </c:pt>
                <c:pt idx="73">
                  <c:v>57.64</c:v>
                </c:pt>
                <c:pt idx="74">
                  <c:v>58.18</c:v>
                </c:pt>
                <c:pt idx="75">
                  <c:v>58.57</c:v>
                </c:pt>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Donnee_Ressuage_BCH!$D$2:$D$77</c:f>
              <c:numCache>
                <c:formatCode>General</c:formatCode>
                <c:ptCount val="76"/>
                <c:pt idx="0">
                  <c:v>11.85</c:v>
                </c:pt>
                <c:pt idx="1">
                  <c:v>13.8</c:v>
                </c:pt>
                <c:pt idx="2">
                  <c:v>16.68</c:v>
                </c:pt>
                <c:pt idx="3">
                  <c:v>19.57</c:v>
                </c:pt>
                <c:pt idx="4">
                  <c:v>22.51</c:v>
                </c:pt>
                <c:pt idx="5">
                  <c:v>25.16</c:v>
                </c:pt>
                <c:pt idx="6">
                  <c:v>27.96</c:v>
                </c:pt>
                <c:pt idx="7">
                  <c:v>30.35</c:v>
                </c:pt>
                <c:pt idx="8">
                  <c:v>32.82</c:v>
                </c:pt>
                <c:pt idx="9">
                  <c:v>34.86</c:v>
                </c:pt>
                <c:pt idx="10">
                  <c:v>37.35</c:v>
                </c:pt>
                <c:pt idx="11">
                  <c:v>39.15</c:v>
                </c:pt>
                <c:pt idx="12">
                  <c:v>41.11</c:v>
                </c:pt>
                <c:pt idx="13">
                  <c:v>42.64</c:v>
                </c:pt>
                <c:pt idx="14">
                  <c:v>44.3</c:v>
                </c:pt>
                <c:pt idx="15">
                  <c:v>45.8</c:v>
                </c:pt>
                <c:pt idx="16">
                  <c:v>47.06</c:v>
                </c:pt>
                <c:pt idx="17">
                  <c:v>48.36</c:v>
                </c:pt>
                <c:pt idx="18">
                  <c:v>49.77</c:v>
                </c:pt>
                <c:pt idx="19">
                  <c:v>51.17</c:v>
                </c:pt>
                <c:pt idx="20">
                  <c:v>52.03</c:v>
                </c:pt>
                <c:pt idx="21">
                  <c:v>52.26</c:v>
                </c:pt>
                <c:pt idx="22">
                  <c:v>51.57</c:v>
                </c:pt>
                <c:pt idx="23">
                  <c:v>52.37</c:v>
                </c:pt>
                <c:pt idx="24">
                  <c:v>53.57</c:v>
                </c:pt>
                <c:pt idx="25">
                  <c:v>53.66</c:v>
                </c:pt>
                <c:pt idx="26">
                  <c:v>52.94</c:v>
                </c:pt>
                <c:pt idx="27">
                  <c:v>53.09</c:v>
                </c:pt>
                <c:pt idx="28">
                  <c:v>54.27</c:v>
                </c:pt>
                <c:pt idx="29">
                  <c:v>54.64</c:v>
                </c:pt>
                <c:pt idx="30">
                  <c:v>53.59</c:v>
                </c:pt>
                <c:pt idx="31">
                  <c:v>53.56</c:v>
                </c:pt>
                <c:pt idx="32">
                  <c:v>54.68</c:v>
                </c:pt>
                <c:pt idx="33">
                  <c:v>55.27</c:v>
                </c:pt>
                <c:pt idx="34">
                  <c:v>54.16</c:v>
                </c:pt>
                <c:pt idx="35">
                  <c:v>54.16</c:v>
                </c:pt>
                <c:pt idx="36">
                  <c:v>55.01</c:v>
                </c:pt>
                <c:pt idx="37">
                  <c:v>55.58</c:v>
                </c:pt>
                <c:pt idx="38">
                  <c:v>54.29</c:v>
                </c:pt>
                <c:pt idx="39">
                  <c:v>54.64</c:v>
                </c:pt>
                <c:pt idx="40">
                  <c:v>55.74</c:v>
                </c:pt>
                <c:pt idx="41">
                  <c:v>55.75</c:v>
                </c:pt>
                <c:pt idx="42">
                  <c:v>54.68</c:v>
                </c:pt>
                <c:pt idx="43">
                  <c:v>54.79</c:v>
                </c:pt>
                <c:pt idx="44">
                  <c:v>55.65</c:v>
                </c:pt>
                <c:pt idx="45">
                  <c:v>56.18</c:v>
                </c:pt>
                <c:pt idx="46">
                  <c:v>54.88</c:v>
                </c:pt>
                <c:pt idx="47">
                  <c:v>54.98</c:v>
                </c:pt>
                <c:pt idx="48">
                  <c:v>56.09</c:v>
                </c:pt>
                <c:pt idx="49">
                  <c:v>55.84</c:v>
                </c:pt>
                <c:pt idx="50">
                  <c:v>54.94</c:v>
                </c:pt>
                <c:pt idx="51">
                  <c:v>55.36</c:v>
                </c:pt>
                <c:pt idx="52">
                  <c:v>56.32</c:v>
                </c:pt>
                <c:pt idx="53">
                  <c:v>55.83</c:v>
                </c:pt>
                <c:pt idx="54">
                  <c:v>55.14</c:v>
                </c:pt>
                <c:pt idx="55">
                  <c:v>55.59</c:v>
                </c:pt>
                <c:pt idx="56">
                  <c:v>56.71</c:v>
                </c:pt>
                <c:pt idx="57">
                  <c:v>55.56</c:v>
                </c:pt>
                <c:pt idx="58">
                  <c:v>55.05</c:v>
                </c:pt>
                <c:pt idx="59">
                  <c:v>55.92</c:v>
                </c:pt>
                <c:pt idx="60">
                  <c:v>56.59</c:v>
                </c:pt>
                <c:pt idx="61">
                  <c:v>55.44</c:v>
                </c:pt>
                <c:pt idx="62">
                  <c:v>55.4</c:v>
                </c:pt>
                <c:pt idx="63">
                  <c:v>56.46</c:v>
                </c:pt>
                <c:pt idx="64">
                  <c:v>56.49</c:v>
                </c:pt>
                <c:pt idx="65">
                  <c:v>55.27</c:v>
                </c:pt>
                <c:pt idx="66">
                  <c:v>55.84</c:v>
                </c:pt>
                <c:pt idx="67">
                  <c:v>56.79</c:v>
                </c:pt>
                <c:pt idx="68">
                  <c:v>56.03</c:v>
                </c:pt>
                <c:pt idx="69">
                  <c:v>55.37</c:v>
                </c:pt>
                <c:pt idx="70">
                  <c:v>56.01</c:v>
                </c:pt>
                <c:pt idx="71">
                  <c:v>56.73</c:v>
                </c:pt>
                <c:pt idx="72">
                  <c:v>55.84</c:v>
                </c:pt>
                <c:pt idx="73">
                  <c:v>55.44</c:v>
                </c:pt>
                <c:pt idx="74">
                  <c:v>56.46</c:v>
                </c:pt>
                <c:pt idx="75">
                  <c:v>56.67</c:v>
                </c:pt>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Donnee_Ressuage_BCH!$E$2:$E$77</c:f>
              <c:numCache>
                <c:formatCode>General</c:formatCode>
                <c:ptCount val="76"/>
                <c:pt idx="0">
                  <c:v>11.84</c:v>
                </c:pt>
                <c:pt idx="1">
                  <c:v>14.06</c:v>
                </c:pt>
                <c:pt idx="2">
                  <c:v>17.010000000000002</c:v>
                </c:pt>
                <c:pt idx="3">
                  <c:v>20.16</c:v>
                </c:pt>
                <c:pt idx="4">
                  <c:v>23.17</c:v>
                </c:pt>
                <c:pt idx="5">
                  <c:v>26.04</c:v>
                </c:pt>
                <c:pt idx="6">
                  <c:v>28.86</c:v>
                </c:pt>
                <c:pt idx="7">
                  <c:v>31.39</c:v>
                </c:pt>
                <c:pt idx="8">
                  <c:v>34.03</c:v>
                </c:pt>
                <c:pt idx="9">
                  <c:v>36.04</c:v>
                </c:pt>
                <c:pt idx="10">
                  <c:v>38.26</c:v>
                </c:pt>
                <c:pt idx="11">
                  <c:v>40.22</c:v>
                </c:pt>
                <c:pt idx="12">
                  <c:v>42.07</c:v>
                </c:pt>
                <c:pt idx="13">
                  <c:v>43.39</c:v>
                </c:pt>
                <c:pt idx="14">
                  <c:v>44.97</c:v>
                </c:pt>
                <c:pt idx="15">
                  <c:v>46.8</c:v>
                </c:pt>
                <c:pt idx="16">
                  <c:v>48.08</c:v>
                </c:pt>
                <c:pt idx="17">
                  <c:v>49.58</c:v>
                </c:pt>
                <c:pt idx="18">
                  <c:v>51.01</c:v>
                </c:pt>
                <c:pt idx="19">
                  <c:v>52.51</c:v>
                </c:pt>
                <c:pt idx="20">
                  <c:v>53.26</c:v>
                </c:pt>
                <c:pt idx="21">
                  <c:v>53.49</c:v>
                </c:pt>
                <c:pt idx="22">
                  <c:v>52.78</c:v>
                </c:pt>
                <c:pt idx="23">
                  <c:v>53.58</c:v>
                </c:pt>
                <c:pt idx="24">
                  <c:v>54.59</c:v>
                </c:pt>
                <c:pt idx="25">
                  <c:v>54.99</c:v>
                </c:pt>
                <c:pt idx="26">
                  <c:v>54.21</c:v>
                </c:pt>
                <c:pt idx="27">
                  <c:v>54.71</c:v>
                </c:pt>
                <c:pt idx="28">
                  <c:v>55.65</c:v>
                </c:pt>
                <c:pt idx="29">
                  <c:v>55.79</c:v>
                </c:pt>
                <c:pt idx="30">
                  <c:v>54.86</c:v>
                </c:pt>
                <c:pt idx="31">
                  <c:v>55.26</c:v>
                </c:pt>
                <c:pt idx="32">
                  <c:v>55.96</c:v>
                </c:pt>
                <c:pt idx="33">
                  <c:v>56.61</c:v>
                </c:pt>
                <c:pt idx="34">
                  <c:v>55.4</c:v>
                </c:pt>
                <c:pt idx="35">
                  <c:v>55.51</c:v>
                </c:pt>
                <c:pt idx="36">
                  <c:v>56.43</c:v>
                </c:pt>
                <c:pt idx="37">
                  <c:v>56.86</c:v>
                </c:pt>
                <c:pt idx="38">
                  <c:v>55.76</c:v>
                </c:pt>
                <c:pt idx="39">
                  <c:v>55.94</c:v>
                </c:pt>
                <c:pt idx="40">
                  <c:v>56.97</c:v>
                </c:pt>
                <c:pt idx="41">
                  <c:v>57.17</c:v>
                </c:pt>
                <c:pt idx="42">
                  <c:v>56.25</c:v>
                </c:pt>
                <c:pt idx="43">
                  <c:v>56.1</c:v>
                </c:pt>
                <c:pt idx="44">
                  <c:v>57.28</c:v>
                </c:pt>
                <c:pt idx="45">
                  <c:v>57.45</c:v>
                </c:pt>
                <c:pt idx="46">
                  <c:v>56.26</c:v>
                </c:pt>
                <c:pt idx="47">
                  <c:v>56.52</c:v>
                </c:pt>
                <c:pt idx="48">
                  <c:v>57.64</c:v>
                </c:pt>
                <c:pt idx="49">
                  <c:v>57.61</c:v>
                </c:pt>
                <c:pt idx="50">
                  <c:v>56.47</c:v>
                </c:pt>
                <c:pt idx="51">
                  <c:v>56.65</c:v>
                </c:pt>
                <c:pt idx="52">
                  <c:v>57.8</c:v>
                </c:pt>
                <c:pt idx="53">
                  <c:v>57.38</c:v>
                </c:pt>
                <c:pt idx="54">
                  <c:v>56.57</c:v>
                </c:pt>
                <c:pt idx="55">
                  <c:v>57.16</c:v>
                </c:pt>
                <c:pt idx="56">
                  <c:v>58.23</c:v>
                </c:pt>
                <c:pt idx="57">
                  <c:v>57.17</c:v>
                </c:pt>
                <c:pt idx="58">
                  <c:v>56.78</c:v>
                </c:pt>
                <c:pt idx="59">
                  <c:v>57.47</c:v>
                </c:pt>
                <c:pt idx="60">
                  <c:v>58.09</c:v>
                </c:pt>
                <c:pt idx="61">
                  <c:v>57.01</c:v>
                </c:pt>
                <c:pt idx="62">
                  <c:v>56.92</c:v>
                </c:pt>
                <c:pt idx="63">
                  <c:v>58.1</c:v>
                </c:pt>
                <c:pt idx="64">
                  <c:v>57.8</c:v>
                </c:pt>
                <c:pt idx="65">
                  <c:v>56.9</c:v>
                </c:pt>
                <c:pt idx="66">
                  <c:v>57.34</c:v>
                </c:pt>
                <c:pt idx="67">
                  <c:v>58.59</c:v>
                </c:pt>
                <c:pt idx="68">
                  <c:v>57.76</c:v>
                </c:pt>
                <c:pt idx="69">
                  <c:v>56.9</c:v>
                </c:pt>
                <c:pt idx="70">
                  <c:v>57.75</c:v>
                </c:pt>
                <c:pt idx="71">
                  <c:v>58.42</c:v>
                </c:pt>
                <c:pt idx="72">
                  <c:v>57.37</c:v>
                </c:pt>
                <c:pt idx="73">
                  <c:v>57.04</c:v>
                </c:pt>
                <c:pt idx="74">
                  <c:v>57.95</c:v>
                </c:pt>
                <c:pt idx="75">
                  <c:v>58.11</c:v>
                </c:pt>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Donnee_Ressuage_BCH!$F$2:$F$77</c:f>
              <c:numCache>
                <c:formatCode>General</c:formatCode>
                <c:ptCount val="76"/>
                <c:pt idx="0">
                  <c:v>12.3</c:v>
                </c:pt>
                <c:pt idx="1">
                  <c:v>14.4</c:v>
                </c:pt>
                <c:pt idx="2">
                  <c:v>17.82</c:v>
                </c:pt>
                <c:pt idx="3">
                  <c:v>21.36</c:v>
                </c:pt>
                <c:pt idx="4">
                  <c:v>24.73</c:v>
                </c:pt>
                <c:pt idx="5">
                  <c:v>27.9</c:v>
                </c:pt>
                <c:pt idx="6">
                  <c:v>31</c:v>
                </c:pt>
                <c:pt idx="7">
                  <c:v>33.78</c:v>
                </c:pt>
                <c:pt idx="8">
                  <c:v>36.450000000000003</c:v>
                </c:pt>
                <c:pt idx="9">
                  <c:v>38.85</c:v>
                </c:pt>
                <c:pt idx="10">
                  <c:v>41.06</c:v>
                </c:pt>
                <c:pt idx="11">
                  <c:v>43.2</c:v>
                </c:pt>
                <c:pt idx="12">
                  <c:v>44.99</c:v>
                </c:pt>
                <c:pt idx="13">
                  <c:v>46.71</c:v>
                </c:pt>
                <c:pt idx="14">
                  <c:v>48.39</c:v>
                </c:pt>
                <c:pt idx="15">
                  <c:v>50.01</c:v>
                </c:pt>
                <c:pt idx="16">
                  <c:v>51.46</c:v>
                </c:pt>
                <c:pt idx="17">
                  <c:v>52.98</c:v>
                </c:pt>
                <c:pt idx="18">
                  <c:v>54.37</c:v>
                </c:pt>
                <c:pt idx="19">
                  <c:v>55.58</c:v>
                </c:pt>
                <c:pt idx="20">
                  <c:v>56.62</c:v>
                </c:pt>
                <c:pt idx="21">
                  <c:v>56.62</c:v>
                </c:pt>
                <c:pt idx="22">
                  <c:v>55.74</c:v>
                </c:pt>
                <c:pt idx="23">
                  <c:v>56.33</c:v>
                </c:pt>
                <c:pt idx="24">
                  <c:v>57.53</c:v>
                </c:pt>
                <c:pt idx="25">
                  <c:v>57.92</c:v>
                </c:pt>
                <c:pt idx="26">
                  <c:v>56.62</c:v>
                </c:pt>
                <c:pt idx="27">
                  <c:v>56.99</c:v>
                </c:pt>
                <c:pt idx="28">
                  <c:v>57.97</c:v>
                </c:pt>
                <c:pt idx="29">
                  <c:v>58.56</c:v>
                </c:pt>
                <c:pt idx="30">
                  <c:v>57.24</c:v>
                </c:pt>
                <c:pt idx="31">
                  <c:v>57.32</c:v>
                </c:pt>
                <c:pt idx="32">
                  <c:v>58.47</c:v>
                </c:pt>
                <c:pt idx="33">
                  <c:v>59.03</c:v>
                </c:pt>
                <c:pt idx="34">
                  <c:v>57.54</c:v>
                </c:pt>
                <c:pt idx="35">
                  <c:v>57.48</c:v>
                </c:pt>
                <c:pt idx="36">
                  <c:v>58.79</c:v>
                </c:pt>
                <c:pt idx="37">
                  <c:v>59.21</c:v>
                </c:pt>
                <c:pt idx="38">
                  <c:v>57.74</c:v>
                </c:pt>
                <c:pt idx="39">
                  <c:v>57.92</c:v>
                </c:pt>
                <c:pt idx="40">
                  <c:v>59.13</c:v>
                </c:pt>
                <c:pt idx="41">
                  <c:v>59.33</c:v>
                </c:pt>
                <c:pt idx="42">
                  <c:v>57.87</c:v>
                </c:pt>
                <c:pt idx="43">
                  <c:v>58.09</c:v>
                </c:pt>
                <c:pt idx="44">
                  <c:v>59.34</c:v>
                </c:pt>
                <c:pt idx="45">
                  <c:v>59.59</c:v>
                </c:pt>
                <c:pt idx="46">
                  <c:v>58.15</c:v>
                </c:pt>
                <c:pt idx="47">
                  <c:v>58.22</c:v>
                </c:pt>
                <c:pt idx="48">
                  <c:v>59.64</c:v>
                </c:pt>
                <c:pt idx="49">
                  <c:v>59.51</c:v>
                </c:pt>
                <c:pt idx="50">
                  <c:v>58.06</c:v>
                </c:pt>
                <c:pt idx="51">
                  <c:v>58.47</c:v>
                </c:pt>
                <c:pt idx="52">
                  <c:v>59.82</c:v>
                </c:pt>
                <c:pt idx="53">
                  <c:v>59.17</c:v>
                </c:pt>
                <c:pt idx="54">
                  <c:v>58.15</c:v>
                </c:pt>
                <c:pt idx="55">
                  <c:v>58.89</c:v>
                </c:pt>
                <c:pt idx="56">
                  <c:v>60.12</c:v>
                </c:pt>
                <c:pt idx="57">
                  <c:v>58.85</c:v>
                </c:pt>
                <c:pt idx="58">
                  <c:v>58.29</c:v>
                </c:pt>
                <c:pt idx="59">
                  <c:v>59.31</c:v>
                </c:pt>
                <c:pt idx="60">
                  <c:v>59.97</c:v>
                </c:pt>
                <c:pt idx="61">
                  <c:v>58.56</c:v>
                </c:pt>
                <c:pt idx="62">
                  <c:v>58.63</c:v>
                </c:pt>
                <c:pt idx="63">
                  <c:v>59.83</c:v>
                </c:pt>
                <c:pt idx="64">
                  <c:v>59.73</c:v>
                </c:pt>
                <c:pt idx="65">
                  <c:v>58.39</c:v>
                </c:pt>
                <c:pt idx="66">
                  <c:v>58.96</c:v>
                </c:pt>
                <c:pt idx="67">
                  <c:v>60.24</c:v>
                </c:pt>
                <c:pt idx="68">
                  <c:v>59.42</c:v>
                </c:pt>
                <c:pt idx="69">
                  <c:v>58.32</c:v>
                </c:pt>
                <c:pt idx="70">
                  <c:v>59.14</c:v>
                </c:pt>
                <c:pt idx="71">
                  <c:v>60.28</c:v>
                </c:pt>
                <c:pt idx="72">
                  <c:v>58.93</c:v>
                </c:pt>
                <c:pt idx="73">
                  <c:v>58.51</c:v>
                </c:pt>
                <c:pt idx="74">
                  <c:v>59.65</c:v>
                </c:pt>
                <c:pt idx="75">
                  <c:v>60.17</c:v>
                </c:pt>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Donnee_Ressuage_BCH!$G$2:$G$77</c:f>
              <c:numCache>
                <c:formatCode>General</c:formatCode>
                <c:ptCount val="76"/>
                <c:pt idx="0">
                  <c:v>12.34</c:v>
                </c:pt>
                <c:pt idx="1">
                  <c:v>15.87</c:v>
                </c:pt>
                <c:pt idx="2">
                  <c:v>19.829999999999998</c:v>
                </c:pt>
                <c:pt idx="3">
                  <c:v>23.76</c:v>
                </c:pt>
                <c:pt idx="4">
                  <c:v>27.54</c:v>
                </c:pt>
                <c:pt idx="5">
                  <c:v>31.03</c:v>
                </c:pt>
                <c:pt idx="6">
                  <c:v>34.340000000000003</c:v>
                </c:pt>
                <c:pt idx="7">
                  <c:v>37.31</c:v>
                </c:pt>
                <c:pt idx="8">
                  <c:v>40.020000000000003</c:v>
                </c:pt>
                <c:pt idx="9">
                  <c:v>42.63</c:v>
                </c:pt>
                <c:pt idx="10">
                  <c:v>44.82</c:v>
                </c:pt>
                <c:pt idx="11">
                  <c:v>47.04</c:v>
                </c:pt>
                <c:pt idx="12">
                  <c:v>48.93</c:v>
                </c:pt>
                <c:pt idx="13">
                  <c:v>50.71</c:v>
                </c:pt>
                <c:pt idx="14">
                  <c:v>52.4</c:v>
                </c:pt>
                <c:pt idx="15">
                  <c:v>54</c:v>
                </c:pt>
                <c:pt idx="16">
                  <c:v>55.44</c:v>
                </c:pt>
                <c:pt idx="17">
                  <c:v>56.84</c:v>
                </c:pt>
                <c:pt idx="18">
                  <c:v>58.32</c:v>
                </c:pt>
                <c:pt idx="19">
                  <c:v>59.44</c:v>
                </c:pt>
                <c:pt idx="20">
                  <c:v>60.55</c:v>
                </c:pt>
                <c:pt idx="21">
                  <c:v>59.45</c:v>
                </c:pt>
                <c:pt idx="22">
                  <c:v>58.62</c:v>
                </c:pt>
                <c:pt idx="23">
                  <c:v>59.66</c:v>
                </c:pt>
                <c:pt idx="24">
                  <c:v>60.83</c:v>
                </c:pt>
                <c:pt idx="25">
                  <c:v>60.5</c:v>
                </c:pt>
                <c:pt idx="26">
                  <c:v>59</c:v>
                </c:pt>
                <c:pt idx="27">
                  <c:v>59.83</c:v>
                </c:pt>
                <c:pt idx="28">
                  <c:v>61.19</c:v>
                </c:pt>
                <c:pt idx="29">
                  <c:v>60.88</c:v>
                </c:pt>
                <c:pt idx="30">
                  <c:v>59.23</c:v>
                </c:pt>
                <c:pt idx="31">
                  <c:v>59.79</c:v>
                </c:pt>
                <c:pt idx="32">
                  <c:v>61.24</c:v>
                </c:pt>
                <c:pt idx="33">
                  <c:v>61.23</c:v>
                </c:pt>
                <c:pt idx="34">
                  <c:v>59.42</c:v>
                </c:pt>
                <c:pt idx="35">
                  <c:v>60.02</c:v>
                </c:pt>
                <c:pt idx="36">
                  <c:v>61.46</c:v>
                </c:pt>
                <c:pt idx="37">
                  <c:v>61.15</c:v>
                </c:pt>
                <c:pt idx="38">
                  <c:v>59.53</c:v>
                </c:pt>
                <c:pt idx="39">
                  <c:v>60.31</c:v>
                </c:pt>
                <c:pt idx="40">
                  <c:v>61.85</c:v>
                </c:pt>
                <c:pt idx="41">
                  <c:v>61.1</c:v>
                </c:pt>
                <c:pt idx="42">
                  <c:v>59.53</c:v>
                </c:pt>
                <c:pt idx="43">
                  <c:v>60.34</c:v>
                </c:pt>
                <c:pt idx="44">
                  <c:v>62.05</c:v>
                </c:pt>
                <c:pt idx="45">
                  <c:v>61.39</c:v>
                </c:pt>
                <c:pt idx="46">
                  <c:v>59.8</c:v>
                </c:pt>
                <c:pt idx="47">
                  <c:v>60.51</c:v>
                </c:pt>
                <c:pt idx="48">
                  <c:v>62.05</c:v>
                </c:pt>
                <c:pt idx="49">
                  <c:v>61.08</c:v>
                </c:pt>
                <c:pt idx="50">
                  <c:v>59.74</c:v>
                </c:pt>
                <c:pt idx="51">
                  <c:v>60.73</c:v>
                </c:pt>
                <c:pt idx="52">
                  <c:v>62.32</c:v>
                </c:pt>
                <c:pt idx="53">
                  <c:v>60.54</c:v>
                </c:pt>
                <c:pt idx="54">
                  <c:v>59.91</c:v>
                </c:pt>
                <c:pt idx="55">
                  <c:v>61.24</c:v>
                </c:pt>
                <c:pt idx="56">
                  <c:v>62.17</c:v>
                </c:pt>
                <c:pt idx="57">
                  <c:v>60.04</c:v>
                </c:pt>
                <c:pt idx="58">
                  <c:v>60.09</c:v>
                </c:pt>
                <c:pt idx="59">
                  <c:v>61.69</c:v>
                </c:pt>
                <c:pt idx="60">
                  <c:v>61.76</c:v>
                </c:pt>
                <c:pt idx="61">
                  <c:v>60.03</c:v>
                </c:pt>
                <c:pt idx="62">
                  <c:v>60.66</c:v>
                </c:pt>
                <c:pt idx="63">
                  <c:v>62.22</c:v>
                </c:pt>
                <c:pt idx="64">
                  <c:v>61.19</c:v>
                </c:pt>
                <c:pt idx="65">
                  <c:v>59.97</c:v>
                </c:pt>
                <c:pt idx="66">
                  <c:v>61.14</c:v>
                </c:pt>
                <c:pt idx="67">
                  <c:v>62.5</c:v>
                </c:pt>
                <c:pt idx="68">
                  <c:v>60.52</c:v>
                </c:pt>
                <c:pt idx="69">
                  <c:v>60.03</c:v>
                </c:pt>
                <c:pt idx="70">
                  <c:v>61.47</c:v>
                </c:pt>
                <c:pt idx="71">
                  <c:v>62.19</c:v>
                </c:pt>
                <c:pt idx="72">
                  <c:v>60.29</c:v>
                </c:pt>
                <c:pt idx="73">
                  <c:v>60.37</c:v>
                </c:pt>
                <c:pt idx="74">
                  <c:v>61.96</c:v>
                </c:pt>
                <c:pt idx="75">
                  <c:v>61.68</c:v>
                </c:pt>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Donnee_Ressuage_BCH!$H$2:$H$77</c:f>
              <c:numCache>
                <c:formatCode>General</c:formatCode>
                <c:ptCount val="76"/>
                <c:pt idx="0">
                  <c:v>12.42</c:v>
                </c:pt>
                <c:pt idx="1">
                  <c:v>15.76</c:v>
                </c:pt>
                <c:pt idx="2">
                  <c:v>19.7</c:v>
                </c:pt>
                <c:pt idx="3">
                  <c:v>23.61</c:v>
                </c:pt>
                <c:pt idx="4">
                  <c:v>27.36</c:v>
                </c:pt>
                <c:pt idx="5">
                  <c:v>30.71</c:v>
                </c:pt>
                <c:pt idx="6">
                  <c:v>33.92</c:v>
                </c:pt>
                <c:pt idx="7">
                  <c:v>36.74</c:v>
                </c:pt>
                <c:pt idx="8">
                  <c:v>39.46</c:v>
                </c:pt>
                <c:pt idx="9">
                  <c:v>41.93</c:v>
                </c:pt>
                <c:pt idx="10">
                  <c:v>44.09</c:v>
                </c:pt>
                <c:pt idx="11">
                  <c:v>46.15</c:v>
                </c:pt>
                <c:pt idx="12">
                  <c:v>48.19</c:v>
                </c:pt>
                <c:pt idx="13">
                  <c:v>49.91</c:v>
                </c:pt>
                <c:pt idx="14">
                  <c:v>51.64</c:v>
                </c:pt>
                <c:pt idx="15">
                  <c:v>53.35</c:v>
                </c:pt>
                <c:pt idx="16">
                  <c:v>54.57</c:v>
                </c:pt>
                <c:pt idx="17">
                  <c:v>56.04</c:v>
                </c:pt>
                <c:pt idx="18">
                  <c:v>57.4</c:v>
                </c:pt>
                <c:pt idx="19">
                  <c:v>58.64</c:v>
                </c:pt>
                <c:pt idx="20">
                  <c:v>59.91</c:v>
                </c:pt>
                <c:pt idx="21">
                  <c:v>58.73</c:v>
                </c:pt>
                <c:pt idx="22">
                  <c:v>57.94</c:v>
                </c:pt>
                <c:pt idx="23">
                  <c:v>59.08</c:v>
                </c:pt>
                <c:pt idx="24">
                  <c:v>60.21</c:v>
                </c:pt>
                <c:pt idx="25">
                  <c:v>59.84</c:v>
                </c:pt>
                <c:pt idx="26">
                  <c:v>58.44</c:v>
                </c:pt>
                <c:pt idx="27">
                  <c:v>59.21</c:v>
                </c:pt>
                <c:pt idx="28">
                  <c:v>60.51</c:v>
                </c:pt>
                <c:pt idx="29">
                  <c:v>60.44</c:v>
                </c:pt>
                <c:pt idx="30">
                  <c:v>58.65</c:v>
                </c:pt>
                <c:pt idx="31">
                  <c:v>59.29</c:v>
                </c:pt>
                <c:pt idx="32">
                  <c:v>60.9</c:v>
                </c:pt>
                <c:pt idx="33">
                  <c:v>60.71</c:v>
                </c:pt>
                <c:pt idx="34">
                  <c:v>58.95</c:v>
                </c:pt>
                <c:pt idx="35">
                  <c:v>59.53</c:v>
                </c:pt>
                <c:pt idx="36">
                  <c:v>61.04</c:v>
                </c:pt>
                <c:pt idx="37">
                  <c:v>60.67</c:v>
                </c:pt>
                <c:pt idx="38">
                  <c:v>59.12</c:v>
                </c:pt>
                <c:pt idx="39">
                  <c:v>59.86</c:v>
                </c:pt>
                <c:pt idx="40">
                  <c:v>61.37</c:v>
                </c:pt>
                <c:pt idx="41">
                  <c:v>60.74</c:v>
                </c:pt>
                <c:pt idx="42">
                  <c:v>59.05</c:v>
                </c:pt>
                <c:pt idx="43">
                  <c:v>59.85</c:v>
                </c:pt>
                <c:pt idx="44">
                  <c:v>61.44</c:v>
                </c:pt>
                <c:pt idx="45">
                  <c:v>60.84</c:v>
                </c:pt>
                <c:pt idx="46">
                  <c:v>59.29</c:v>
                </c:pt>
                <c:pt idx="47">
                  <c:v>60.11</c:v>
                </c:pt>
                <c:pt idx="48">
                  <c:v>61.6</c:v>
                </c:pt>
                <c:pt idx="49">
                  <c:v>60.72</c:v>
                </c:pt>
                <c:pt idx="50">
                  <c:v>59.29</c:v>
                </c:pt>
                <c:pt idx="51">
                  <c:v>60.36</c:v>
                </c:pt>
                <c:pt idx="52">
                  <c:v>61.84</c:v>
                </c:pt>
                <c:pt idx="53">
                  <c:v>60.06</c:v>
                </c:pt>
                <c:pt idx="54">
                  <c:v>59.48</c:v>
                </c:pt>
                <c:pt idx="55">
                  <c:v>60.85</c:v>
                </c:pt>
                <c:pt idx="56">
                  <c:v>61.85</c:v>
                </c:pt>
                <c:pt idx="57">
                  <c:v>59.58</c:v>
                </c:pt>
                <c:pt idx="58">
                  <c:v>59.71</c:v>
                </c:pt>
                <c:pt idx="59">
                  <c:v>61.21</c:v>
                </c:pt>
                <c:pt idx="60">
                  <c:v>61.28</c:v>
                </c:pt>
                <c:pt idx="61">
                  <c:v>59.63</c:v>
                </c:pt>
                <c:pt idx="62">
                  <c:v>60.28</c:v>
                </c:pt>
                <c:pt idx="63">
                  <c:v>61.94</c:v>
                </c:pt>
                <c:pt idx="64">
                  <c:v>60.81</c:v>
                </c:pt>
                <c:pt idx="65">
                  <c:v>59.52</c:v>
                </c:pt>
                <c:pt idx="66">
                  <c:v>60.75</c:v>
                </c:pt>
                <c:pt idx="67">
                  <c:v>62.02</c:v>
                </c:pt>
                <c:pt idx="68">
                  <c:v>60.18</c:v>
                </c:pt>
                <c:pt idx="69">
                  <c:v>59.52</c:v>
                </c:pt>
                <c:pt idx="70">
                  <c:v>61.02</c:v>
                </c:pt>
                <c:pt idx="71">
                  <c:v>61.79</c:v>
                </c:pt>
                <c:pt idx="72">
                  <c:v>59.84</c:v>
                </c:pt>
                <c:pt idx="73">
                  <c:v>59.92</c:v>
                </c:pt>
                <c:pt idx="74">
                  <c:v>61.57</c:v>
                </c:pt>
                <c:pt idx="75">
                  <c:v>61.34</c:v>
                </c:pt>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Donnee_Ressuage_BCH!$I$2:$I$77</c:f>
              <c:numCache>
                <c:formatCode>General</c:formatCode>
                <c:ptCount val="76"/>
                <c:pt idx="0">
                  <c:v>12.71</c:v>
                </c:pt>
                <c:pt idx="1">
                  <c:v>14.12</c:v>
                </c:pt>
                <c:pt idx="2">
                  <c:v>17.170000000000002</c:v>
                </c:pt>
                <c:pt idx="3">
                  <c:v>20.22</c:v>
                </c:pt>
                <c:pt idx="4">
                  <c:v>23.18</c:v>
                </c:pt>
                <c:pt idx="5">
                  <c:v>26.49</c:v>
                </c:pt>
                <c:pt idx="6">
                  <c:v>29.38</c:v>
                </c:pt>
                <c:pt idx="7">
                  <c:v>31.97</c:v>
                </c:pt>
                <c:pt idx="8">
                  <c:v>34.159999999999997</c:v>
                </c:pt>
                <c:pt idx="9">
                  <c:v>36.89</c:v>
                </c:pt>
                <c:pt idx="10">
                  <c:v>38.97</c:v>
                </c:pt>
                <c:pt idx="11">
                  <c:v>41.23</c:v>
                </c:pt>
                <c:pt idx="12">
                  <c:v>43.05</c:v>
                </c:pt>
                <c:pt idx="13">
                  <c:v>44.67</c:v>
                </c:pt>
                <c:pt idx="14">
                  <c:v>45.9</c:v>
                </c:pt>
                <c:pt idx="15">
                  <c:v>48.16</c:v>
                </c:pt>
                <c:pt idx="16">
                  <c:v>49</c:v>
                </c:pt>
                <c:pt idx="17">
                  <c:v>50.95</c:v>
                </c:pt>
                <c:pt idx="18">
                  <c:v>52.08</c:v>
                </c:pt>
                <c:pt idx="19">
                  <c:v>53.49</c:v>
                </c:pt>
                <c:pt idx="20">
                  <c:v>54.43</c:v>
                </c:pt>
                <c:pt idx="21">
                  <c:v>54.73</c:v>
                </c:pt>
                <c:pt idx="22">
                  <c:v>53.93</c:v>
                </c:pt>
                <c:pt idx="23">
                  <c:v>54.74</c:v>
                </c:pt>
                <c:pt idx="24">
                  <c:v>55.29</c:v>
                </c:pt>
                <c:pt idx="25">
                  <c:v>56.42</c:v>
                </c:pt>
                <c:pt idx="26">
                  <c:v>55.21</c:v>
                </c:pt>
                <c:pt idx="27">
                  <c:v>55.31</c:v>
                </c:pt>
                <c:pt idx="28">
                  <c:v>55.99</c:v>
                </c:pt>
                <c:pt idx="29">
                  <c:v>56.98</c:v>
                </c:pt>
                <c:pt idx="30">
                  <c:v>55.74</c:v>
                </c:pt>
                <c:pt idx="31">
                  <c:v>56.15</c:v>
                </c:pt>
                <c:pt idx="32">
                  <c:v>56.54</c:v>
                </c:pt>
                <c:pt idx="33">
                  <c:v>57.23</c:v>
                </c:pt>
                <c:pt idx="34">
                  <c:v>56.33</c:v>
                </c:pt>
                <c:pt idx="35">
                  <c:v>56.07</c:v>
                </c:pt>
                <c:pt idx="36">
                  <c:v>57.06</c:v>
                </c:pt>
                <c:pt idx="37">
                  <c:v>57.64</c:v>
                </c:pt>
                <c:pt idx="38">
                  <c:v>56.24</c:v>
                </c:pt>
                <c:pt idx="39">
                  <c:v>56.29</c:v>
                </c:pt>
                <c:pt idx="40">
                  <c:v>57.55</c:v>
                </c:pt>
                <c:pt idx="41">
                  <c:v>57.96</c:v>
                </c:pt>
                <c:pt idx="42">
                  <c:v>56.6</c:v>
                </c:pt>
                <c:pt idx="43">
                  <c:v>56.45</c:v>
                </c:pt>
                <c:pt idx="44">
                  <c:v>57.98</c:v>
                </c:pt>
                <c:pt idx="45">
                  <c:v>58.23</c:v>
                </c:pt>
                <c:pt idx="46">
                  <c:v>57.16</c:v>
                </c:pt>
                <c:pt idx="47">
                  <c:v>56.74</c:v>
                </c:pt>
                <c:pt idx="48">
                  <c:v>57.81</c:v>
                </c:pt>
                <c:pt idx="49">
                  <c:v>58.2</c:v>
                </c:pt>
                <c:pt idx="50">
                  <c:v>56.9</c:v>
                </c:pt>
                <c:pt idx="51">
                  <c:v>56.87</c:v>
                </c:pt>
                <c:pt idx="52">
                  <c:v>58.33</c:v>
                </c:pt>
                <c:pt idx="53">
                  <c:v>57.6</c:v>
                </c:pt>
                <c:pt idx="54">
                  <c:v>56.5</c:v>
                </c:pt>
                <c:pt idx="55">
                  <c:v>57.69</c:v>
                </c:pt>
                <c:pt idx="56">
                  <c:v>58.04</c:v>
                </c:pt>
                <c:pt idx="57">
                  <c:v>57.78</c:v>
                </c:pt>
                <c:pt idx="58">
                  <c:v>56.99</c:v>
                </c:pt>
                <c:pt idx="59">
                  <c:v>57.66</c:v>
                </c:pt>
                <c:pt idx="60">
                  <c:v>58.61</c:v>
                </c:pt>
                <c:pt idx="61">
                  <c:v>57.66</c:v>
                </c:pt>
                <c:pt idx="62">
                  <c:v>57.23</c:v>
                </c:pt>
                <c:pt idx="63">
                  <c:v>58.38</c:v>
                </c:pt>
                <c:pt idx="64">
                  <c:v>58.49</c:v>
                </c:pt>
                <c:pt idx="65">
                  <c:v>57.23</c:v>
                </c:pt>
                <c:pt idx="66">
                  <c:v>57.66</c:v>
                </c:pt>
                <c:pt idx="67">
                  <c:v>58.8</c:v>
                </c:pt>
                <c:pt idx="68">
                  <c:v>58.45</c:v>
                </c:pt>
                <c:pt idx="69">
                  <c:v>57.27</c:v>
                </c:pt>
                <c:pt idx="70">
                  <c:v>58.07</c:v>
                </c:pt>
                <c:pt idx="71">
                  <c:v>59.12</c:v>
                </c:pt>
                <c:pt idx="72">
                  <c:v>57.88</c:v>
                </c:pt>
                <c:pt idx="73">
                  <c:v>57.58</c:v>
                </c:pt>
                <c:pt idx="74">
                  <c:v>58.34</c:v>
                </c:pt>
                <c:pt idx="75">
                  <c:v>58.53</c:v>
                </c:pt>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Donnee_Ressuage_BCH!$J$2:$J$77</c:f>
              <c:numCache>
                <c:formatCode>General</c:formatCode>
                <c:ptCount val="76"/>
                <c:pt idx="0">
                  <c:v>13.33</c:v>
                </c:pt>
                <c:pt idx="1">
                  <c:v>16.88</c:v>
                </c:pt>
                <c:pt idx="2">
                  <c:v>21.6</c:v>
                </c:pt>
                <c:pt idx="3">
                  <c:v>26.05</c:v>
                </c:pt>
                <c:pt idx="4">
                  <c:v>30.14</c:v>
                </c:pt>
                <c:pt idx="5">
                  <c:v>33.99</c:v>
                </c:pt>
                <c:pt idx="6">
                  <c:v>37.44</c:v>
                </c:pt>
                <c:pt idx="7">
                  <c:v>40.65</c:v>
                </c:pt>
                <c:pt idx="8">
                  <c:v>43.42</c:v>
                </c:pt>
                <c:pt idx="9">
                  <c:v>45.98</c:v>
                </c:pt>
                <c:pt idx="10">
                  <c:v>48.24</c:v>
                </c:pt>
                <c:pt idx="11">
                  <c:v>50.68</c:v>
                </c:pt>
                <c:pt idx="12">
                  <c:v>52.35</c:v>
                </c:pt>
                <c:pt idx="13">
                  <c:v>54.32</c:v>
                </c:pt>
                <c:pt idx="14">
                  <c:v>56.17</c:v>
                </c:pt>
                <c:pt idx="15">
                  <c:v>57.86</c:v>
                </c:pt>
                <c:pt idx="16">
                  <c:v>59.4</c:v>
                </c:pt>
                <c:pt idx="17">
                  <c:v>60.49</c:v>
                </c:pt>
                <c:pt idx="18">
                  <c:v>61.82</c:v>
                </c:pt>
                <c:pt idx="19">
                  <c:v>63.04</c:v>
                </c:pt>
                <c:pt idx="20">
                  <c:v>64.11</c:v>
                </c:pt>
                <c:pt idx="21">
                  <c:v>62.12</c:v>
                </c:pt>
                <c:pt idx="22">
                  <c:v>61.34</c:v>
                </c:pt>
                <c:pt idx="23">
                  <c:v>62.7</c:v>
                </c:pt>
                <c:pt idx="24">
                  <c:v>64.05</c:v>
                </c:pt>
                <c:pt idx="25">
                  <c:v>63.1</c:v>
                </c:pt>
                <c:pt idx="26">
                  <c:v>61.42</c:v>
                </c:pt>
                <c:pt idx="27">
                  <c:v>62.58</c:v>
                </c:pt>
                <c:pt idx="28">
                  <c:v>64.28</c:v>
                </c:pt>
                <c:pt idx="29">
                  <c:v>63.33</c:v>
                </c:pt>
                <c:pt idx="30">
                  <c:v>61.24</c:v>
                </c:pt>
                <c:pt idx="31">
                  <c:v>62.38</c:v>
                </c:pt>
                <c:pt idx="32">
                  <c:v>64.16</c:v>
                </c:pt>
                <c:pt idx="33">
                  <c:v>63.51</c:v>
                </c:pt>
                <c:pt idx="34">
                  <c:v>61.3</c:v>
                </c:pt>
                <c:pt idx="35">
                  <c:v>62.46</c:v>
                </c:pt>
                <c:pt idx="36">
                  <c:v>64.27</c:v>
                </c:pt>
                <c:pt idx="37">
                  <c:v>63.3</c:v>
                </c:pt>
                <c:pt idx="38">
                  <c:v>61.4</c:v>
                </c:pt>
                <c:pt idx="39">
                  <c:v>62.73</c:v>
                </c:pt>
                <c:pt idx="40">
                  <c:v>64.58</c:v>
                </c:pt>
                <c:pt idx="41">
                  <c:v>63.11</c:v>
                </c:pt>
                <c:pt idx="42">
                  <c:v>61.3</c:v>
                </c:pt>
                <c:pt idx="43">
                  <c:v>62.73</c:v>
                </c:pt>
                <c:pt idx="44">
                  <c:v>64.77</c:v>
                </c:pt>
                <c:pt idx="45">
                  <c:v>63.34</c:v>
                </c:pt>
                <c:pt idx="46">
                  <c:v>61.49</c:v>
                </c:pt>
                <c:pt idx="47">
                  <c:v>62.88</c:v>
                </c:pt>
                <c:pt idx="48">
                  <c:v>64.7</c:v>
                </c:pt>
                <c:pt idx="49">
                  <c:v>62.99</c:v>
                </c:pt>
                <c:pt idx="50">
                  <c:v>61.49</c:v>
                </c:pt>
                <c:pt idx="51">
                  <c:v>63.19</c:v>
                </c:pt>
                <c:pt idx="52">
                  <c:v>64.849999999999994</c:v>
                </c:pt>
                <c:pt idx="53">
                  <c:v>62.26</c:v>
                </c:pt>
                <c:pt idx="54">
                  <c:v>61.78</c:v>
                </c:pt>
                <c:pt idx="55">
                  <c:v>63.71</c:v>
                </c:pt>
                <c:pt idx="56">
                  <c:v>64.569999999999993</c:v>
                </c:pt>
                <c:pt idx="57">
                  <c:v>61.54</c:v>
                </c:pt>
                <c:pt idx="58">
                  <c:v>62.18</c:v>
                </c:pt>
                <c:pt idx="59">
                  <c:v>64.2</c:v>
                </c:pt>
                <c:pt idx="60">
                  <c:v>63.65</c:v>
                </c:pt>
                <c:pt idx="61">
                  <c:v>61.7</c:v>
                </c:pt>
                <c:pt idx="62">
                  <c:v>62.86</c:v>
                </c:pt>
                <c:pt idx="63">
                  <c:v>64.8</c:v>
                </c:pt>
                <c:pt idx="64">
                  <c:v>62.83</c:v>
                </c:pt>
                <c:pt idx="65">
                  <c:v>61.7</c:v>
                </c:pt>
                <c:pt idx="66">
                  <c:v>63.5</c:v>
                </c:pt>
                <c:pt idx="67">
                  <c:v>64.81</c:v>
                </c:pt>
                <c:pt idx="68">
                  <c:v>62.14</c:v>
                </c:pt>
                <c:pt idx="69">
                  <c:v>61.84</c:v>
                </c:pt>
                <c:pt idx="70">
                  <c:v>63.85</c:v>
                </c:pt>
                <c:pt idx="71">
                  <c:v>64.400000000000006</c:v>
                </c:pt>
                <c:pt idx="72">
                  <c:v>61.73</c:v>
                </c:pt>
                <c:pt idx="73">
                  <c:v>62.48</c:v>
                </c:pt>
                <c:pt idx="74">
                  <c:v>64.5</c:v>
                </c:pt>
                <c:pt idx="75">
                  <c:v>63.54</c:v>
                </c:pt>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Donnee_Ressuage_BCH!$K$2:$K$77</c:f>
              <c:numCache>
                <c:formatCode>General</c:formatCode>
                <c:ptCount val="76"/>
                <c:pt idx="0">
                  <c:v>12.66</c:v>
                </c:pt>
                <c:pt idx="1">
                  <c:v>13.86</c:v>
                </c:pt>
                <c:pt idx="2">
                  <c:v>16.79</c:v>
                </c:pt>
                <c:pt idx="3">
                  <c:v>20.010000000000002</c:v>
                </c:pt>
                <c:pt idx="4">
                  <c:v>23.13</c:v>
                </c:pt>
                <c:pt idx="5">
                  <c:v>25.94</c:v>
                </c:pt>
                <c:pt idx="6">
                  <c:v>29.11</c:v>
                </c:pt>
                <c:pt idx="7">
                  <c:v>31.62</c:v>
                </c:pt>
                <c:pt idx="8">
                  <c:v>33.85</c:v>
                </c:pt>
                <c:pt idx="9">
                  <c:v>36.229999999999997</c:v>
                </c:pt>
                <c:pt idx="10">
                  <c:v>38.54</c:v>
                </c:pt>
                <c:pt idx="11">
                  <c:v>39.94</c:v>
                </c:pt>
                <c:pt idx="12">
                  <c:v>42.05</c:v>
                </c:pt>
                <c:pt idx="13">
                  <c:v>43.96</c:v>
                </c:pt>
                <c:pt idx="14">
                  <c:v>45.36</c:v>
                </c:pt>
                <c:pt idx="15">
                  <c:v>46.45</c:v>
                </c:pt>
                <c:pt idx="16">
                  <c:v>48.39</c:v>
                </c:pt>
                <c:pt idx="17">
                  <c:v>50.3</c:v>
                </c:pt>
                <c:pt idx="18">
                  <c:v>51.31</c:v>
                </c:pt>
                <c:pt idx="19">
                  <c:v>52.45</c:v>
                </c:pt>
                <c:pt idx="20">
                  <c:v>53.85</c:v>
                </c:pt>
                <c:pt idx="21">
                  <c:v>54.03</c:v>
                </c:pt>
                <c:pt idx="22">
                  <c:v>53.22</c:v>
                </c:pt>
                <c:pt idx="23">
                  <c:v>53.34</c:v>
                </c:pt>
                <c:pt idx="24">
                  <c:v>54.74</c:v>
                </c:pt>
                <c:pt idx="25">
                  <c:v>55.36</c:v>
                </c:pt>
                <c:pt idx="26">
                  <c:v>54.46</c:v>
                </c:pt>
                <c:pt idx="27">
                  <c:v>54.59</c:v>
                </c:pt>
                <c:pt idx="28">
                  <c:v>55.68</c:v>
                </c:pt>
                <c:pt idx="29">
                  <c:v>56.09</c:v>
                </c:pt>
                <c:pt idx="30">
                  <c:v>55.3</c:v>
                </c:pt>
                <c:pt idx="31">
                  <c:v>55.28</c:v>
                </c:pt>
                <c:pt idx="32">
                  <c:v>56.11</c:v>
                </c:pt>
                <c:pt idx="33">
                  <c:v>56.82</c:v>
                </c:pt>
                <c:pt idx="34">
                  <c:v>55.72</c:v>
                </c:pt>
                <c:pt idx="35">
                  <c:v>55.27</c:v>
                </c:pt>
                <c:pt idx="36">
                  <c:v>56.48</c:v>
                </c:pt>
                <c:pt idx="37">
                  <c:v>56.97</c:v>
                </c:pt>
                <c:pt idx="38">
                  <c:v>55.85</c:v>
                </c:pt>
                <c:pt idx="39">
                  <c:v>55.92</c:v>
                </c:pt>
                <c:pt idx="40">
                  <c:v>57.09</c:v>
                </c:pt>
                <c:pt idx="41">
                  <c:v>57.18</c:v>
                </c:pt>
                <c:pt idx="42">
                  <c:v>56.34</c:v>
                </c:pt>
                <c:pt idx="43">
                  <c:v>56.24</c:v>
                </c:pt>
                <c:pt idx="44">
                  <c:v>57.08</c:v>
                </c:pt>
                <c:pt idx="45">
                  <c:v>57.42</c:v>
                </c:pt>
                <c:pt idx="46">
                  <c:v>56.47</c:v>
                </c:pt>
                <c:pt idx="47">
                  <c:v>56.38</c:v>
                </c:pt>
                <c:pt idx="48">
                  <c:v>57.41</c:v>
                </c:pt>
                <c:pt idx="49">
                  <c:v>57.42</c:v>
                </c:pt>
                <c:pt idx="50">
                  <c:v>56.48</c:v>
                </c:pt>
                <c:pt idx="51">
                  <c:v>56.53</c:v>
                </c:pt>
                <c:pt idx="52">
                  <c:v>57.37</c:v>
                </c:pt>
                <c:pt idx="53">
                  <c:v>57.28</c:v>
                </c:pt>
                <c:pt idx="54">
                  <c:v>56.4</c:v>
                </c:pt>
                <c:pt idx="55">
                  <c:v>56.79</c:v>
                </c:pt>
                <c:pt idx="56">
                  <c:v>58.04</c:v>
                </c:pt>
                <c:pt idx="57">
                  <c:v>57.33</c:v>
                </c:pt>
                <c:pt idx="58">
                  <c:v>56.46</c:v>
                </c:pt>
                <c:pt idx="59">
                  <c:v>57.37</c:v>
                </c:pt>
                <c:pt idx="60">
                  <c:v>57.9</c:v>
                </c:pt>
                <c:pt idx="61">
                  <c:v>56.98</c:v>
                </c:pt>
                <c:pt idx="62">
                  <c:v>56.7</c:v>
                </c:pt>
                <c:pt idx="63">
                  <c:v>57.86</c:v>
                </c:pt>
                <c:pt idx="64">
                  <c:v>57.93</c:v>
                </c:pt>
                <c:pt idx="65">
                  <c:v>56.64</c:v>
                </c:pt>
                <c:pt idx="66">
                  <c:v>57.16</c:v>
                </c:pt>
                <c:pt idx="67">
                  <c:v>58.27</c:v>
                </c:pt>
                <c:pt idx="68">
                  <c:v>57.65</c:v>
                </c:pt>
                <c:pt idx="69">
                  <c:v>56.63</c:v>
                </c:pt>
                <c:pt idx="70">
                  <c:v>57.34</c:v>
                </c:pt>
                <c:pt idx="71">
                  <c:v>58.14</c:v>
                </c:pt>
                <c:pt idx="72">
                  <c:v>57.55</c:v>
                </c:pt>
                <c:pt idx="73">
                  <c:v>56.93</c:v>
                </c:pt>
                <c:pt idx="74">
                  <c:v>57.85</c:v>
                </c:pt>
                <c:pt idx="75">
                  <c:v>58.43</c:v>
                </c:pt>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Donnee_Ressuage_BCH!$B$2:$B$77</c:f>
              <c:numCache>
                <c:formatCode>General</c:formatCode>
                <c:ptCount val="76"/>
                <c:pt idx="0">
                  <c:v>11.96</c:v>
                </c:pt>
                <c:pt idx="1">
                  <c:v>15.16</c:v>
                </c:pt>
                <c:pt idx="2">
                  <c:v>18.93</c:v>
                </c:pt>
                <c:pt idx="3">
                  <c:v>22.76</c:v>
                </c:pt>
                <c:pt idx="4">
                  <c:v>26.45</c:v>
                </c:pt>
                <c:pt idx="5">
                  <c:v>29.68</c:v>
                </c:pt>
                <c:pt idx="6">
                  <c:v>33.04</c:v>
                </c:pt>
                <c:pt idx="7">
                  <c:v>35.840000000000003</c:v>
                </c:pt>
                <c:pt idx="8">
                  <c:v>38.520000000000003</c:v>
                </c:pt>
                <c:pt idx="9">
                  <c:v>41.21</c:v>
                </c:pt>
                <c:pt idx="10">
                  <c:v>43.32</c:v>
                </c:pt>
                <c:pt idx="11">
                  <c:v>45.5</c:v>
                </c:pt>
                <c:pt idx="12">
                  <c:v>47.41</c:v>
                </c:pt>
                <c:pt idx="13">
                  <c:v>49.31</c:v>
                </c:pt>
                <c:pt idx="14">
                  <c:v>50.94</c:v>
                </c:pt>
                <c:pt idx="15">
                  <c:v>52.48</c:v>
                </c:pt>
                <c:pt idx="16">
                  <c:v>53.9</c:v>
                </c:pt>
                <c:pt idx="17">
                  <c:v>55.39</c:v>
                </c:pt>
                <c:pt idx="18">
                  <c:v>56.76</c:v>
                </c:pt>
                <c:pt idx="19">
                  <c:v>57.91</c:v>
                </c:pt>
                <c:pt idx="20">
                  <c:v>59.14</c:v>
                </c:pt>
                <c:pt idx="21">
                  <c:v>58.43</c:v>
                </c:pt>
                <c:pt idx="22">
                  <c:v>57.49</c:v>
                </c:pt>
                <c:pt idx="23">
                  <c:v>58.34</c:v>
                </c:pt>
                <c:pt idx="24">
                  <c:v>59.57</c:v>
                </c:pt>
                <c:pt idx="25">
                  <c:v>59.52</c:v>
                </c:pt>
                <c:pt idx="26">
                  <c:v>58.1</c:v>
                </c:pt>
                <c:pt idx="27">
                  <c:v>58.67</c:v>
                </c:pt>
                <c:pt idx="28">
                  <c:v>59.89</c:v>
                </c:pt>
                <c:pt idx="29">
                  <c:v>60.03</c:v>
                </c:pt>
                <c:pt idx="30">
                  <c:v>58.35</c:v>
                </c:pt>
                <c:pt idx="31">
                  <c:v>58.73</c:v>
                </c:pt>
                <c:pt idx="32">
                  <c:v>60.12</c:v>
                </c:pt>
                <c:pt idx="33">
                  <c:v>60.3</c:v>
                </c:pt>
                <c:pt idx="34">
                  <c:v>58.68</c:v>
                </c:pt>
                <c:pt idx="35">
                  <c:v>59</c:v>
                </c:pt>
                <c:pt idx="36">
                  <c:v>60.34</c:v>
                </c:pt>
                <c:pt idx="37">
                  <c:v>60.31</c:v>
                </c:pt>
                <c:pt idx="38">
                  <c:v>58.81</c:v>
                </c:pt>
                <c:pt idx="39">
                  <c:v>59.31</c:v>
                </c:pt>
                <c:pt idx="40">
                  <c:v>60.7</c:v>
                </c:pt>
                <c:pt idx="41">
                  <c:v>60.35</c:v>
                </c:pt>
                <c:pt idx="42">
                  <c:v>58.78</c:v>
                </c:pt>
                <c:pt idx="43">
                  <c:v>59.41</c:v>
                </c:pt>
                <c:pt idx="44">
                  <c:v>60.82</c:v>
                </c:pt>
                <c:pt idx="45">
                  <c:v>60.7</c:v>
                </c:pt>
                <c:pt idx="46">
                  <c:v>58.97</c:v>
                </c:pt>
                <c:pt idx="47">
                  <c:v>59.6</c:v>
                </c:pt>
                <c:pt idx="48">
                  <c:v>61</c:v>
                </c:pt>
                <c:pt idx="49">
                  <c:v>60.34</c:v>
                </c:pt>
                <c:pt idx="50">
                  <c:v>58.98</c:v>
                </c:pt>
                <c:pt idx="51">
                  <c:v>59.83</c:v>
                </c:pt>
                <c:pt idx="52">
                  <c:v>61.27</c:v>
                </c:pt>
                <c:pt idx="53">
                  <c:v>59.87</c:v>
                </c:pt>
                <c:pt idx="54">
                  <c:v>59.06</c:v>
                </c:pt>
                <c:pt idx="55">
                  <c:v>60.25</c:v>
                </c:pt>
                <c:pt idx="56">
                  <c:v>61.35</c:v>
                </c:pt>
                <c:pt idx="57">
                  <c:v>59.55</c:v>
                </c:pt>
                <c:pt idx="58">
                  <c:v>59.26</c:v>
                </c:pt>
                <c:pt idx="59">
                  <c:v>60.75</c:v>
                </c:pt>
                <c:pt idx="60">
                  <c:v>60.98</c:v>
                </c:pt>
                <c:pt idx="61">
                  <c:v>59.4</c:v>
                </c:pt>
                <c:pt idx="62">
                  <c:v>59.8</c:v>
                </c:pt>
                <c:pt idx="63">
                  <c:v>61.2</c:v>
                </c:pt>
                <c:pt idx="64">
                  <c:v>60.59</c:v>
                </c:pt>
                <c:pt idx="65">
                  <c:v>59.17</c:v>
                </c:pt>
                <c:pt idx="66">
                  <c:v>60.18</c:v>
                </c:pt>
                <c:pt idx="67">
                  <c:v>61.52</c:v>
                </c:pt>
                <c:pt idx="68">
                  <c:v>60.01</c:v>
                </c:pt>
                <c:pt idx="69">
                  <c:v>59.27</c:v>
                </c:pt>
                <c:pt idx="70">
                  <c:v>60.54</c:v>
                </c:pt>
                <c:pt idx="71">
                  <c:v>61.37</c:v>
                </c:pt>
                <c:pt idx="72">
                  <c:v>59.68</c:v>
                </c:pt>
                <c:pt idx="73">
                  <c:v>59.58</c:v>
                </c:pt>
                <c:pt idx="74">
                  <c:v>61.03</c:v>
                </c:pt>
                <c:pt idx="75">
                  <c:v>60.94</c:v>
                </c:pt>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Donnee_Ressuage_BCH!$C$2:$C$77</c:f>
              <c:numCache>
                <c:formatCode>General</c:formatCode>
                <c:ptCount val="76"/>
                <c:pt idx="0">
                  <c:v>11.84</c:v>
                </c:pt>
                <c:pt idx="1">
                  <c:v>14.2</c:v>
                </c:pt>
                <c:pt idx="2">
                  <c:v>17.46</c:v>
                </c:pt>
                <c:pt idx="3">
                  <c:v>20.43</c:v>
                </c:pt>
                <c:pt idx="4">
                  <c:v>23.26</c:v>
                </c:pt>
                <c:pt idx="5">
                  <c:v>26.69</c:v>
                </c:pt>
                <c:pt idx="6">
                  <c:v>30.18</c:v>
                </c:pt>
                <c:pt idx="7">
                  <c:v>33.020000000000003</c:v>
                </c:pt>
                <c:pt idx="8">
                  <c:v>34.89</c:v>
                </c:pt>
                <c:pt idx="9">
                  <c:v>37.909999999999997</c:v>
                </c:pt>
                <c:pt idx="10">
                  <c:v>39.11</c:v>
                </c:pt>
                <c:pt idx="11">
                  <c:v>42.91</c:v>
                </c:pt>
                <c:pt idx="12">
                  <c:v>43.4</c:v>
                </c:pt>
                <c:pt idx="13">
                  <c:v>45.98</c:v>
                </c:pt>
                <c:pt idx="14">
                  <c:v>46.8</c:v>
                </c:pt>
                <c:pt idx="15">
                  <c:v>48.31</c:v>
                </c:pt>
                <c:pt idx="16">
                  <c:v>50.02</c:v>
                </c:pt>
                <c:pt idx="17">
                  <c:v>51.53</c:v>
                </c:pt>
                <c:pt idx="18">
                  <c:v>53.27</c:v>
                </c:pt>
                <c:pt idx="19">
                  <c:v>54.25</c:v>
                </c:pt>
                <c:pt idx="20">
                  <c:v>55.26</c:v>
                </c:pt>
                <c:pt idx="21">
                  <c:v>54.83</c:v>
                </c:pt>
                <c:pt idx="22">
                  <c:v>54.53</c:v>
                </c:pt>
                <c:pt idx="23">
                  <c:v>55.27</c:v>
                </c:pt>
                <c:pt idx="24">
                  <c:v>56.1</c:v>
                </c:pt>
                <c:pt idx="25">
                  <c:v>56.12</c:v>
                </c:pt>
                <c:pt idx="26">
                  <c:v>54.95</c:v>
                </c:pt>
                <c:pt idx="27">
                  <c:v>54.38</c:v>
                </c:pt>
                <c:pt idx="28">
                  <c:v>57.4</c:v>
                </c:pt>
                <c:pt idx="29">
                  <c:v>56.88</c:v>
                </c:pt>
                <c:pt idx="30">
                  <c:v>55.71</c:v>
                </c:pt>
                <c:pt idx="31">
                  <c:v>55.99</c:v>
                </c:pt>
                <c:pt idx="32">
                  <c:v>56.88</c:v>
                </c:pt>
                <c:pt idx="33">
                  <c:v>57.22</c:v>
                </c:pt>
                <c:pt idx="34">
                  <c:v>55.79</c:v>
                </c:pt>
                <c:pt idx="35">
                  <c:v>56.16</c:v>
                </c:pt>
                <c:pt idx="36">
                  <c:v>57.36</c:v>
                </c:pt>
                <c:pt idx="37">
                  <c:v>58.16</c:v>
                </c:pt>
                <c:pt idx="38">
                  <c:v>56.34</c:v>
                </c:pt>
                <c:pt idx="39">
                  <c:v>56.52</c:v>
                </c:pt>
                <c:pt idx="40">
                  <c:v>58.17</c:v>
                </c:pt>
                <c:pt idx="41">
                  <c:v>57.75</c:v>
                </c:pt>
                <c:pt idx="42">
                  <c:v>56.19</c:v>
                </c:pt>
                <c:pt idx="43">
                  <c:v>56.76</c:v>
                </c:pt>
                <c:pt idx="44">
                  <c:v>58.04</c:v>
                </c:pt>
                <c:pt idx="45">
                  <c:v>58.46</c:v>
                </c:pt>
                <c:pt idx="46">
                  <c:v>56.72</c:v>
                </c:pt>
                <c:pt idx="47">
                  <c:v>56.68</c:v>
                </c:pt>
                <c:pt idx="48">
                  <c:v>58.14</c:v>
                </c:pt>
                <c:pt idx="49">
                  <c:v>57.92</c:v>
                </c:pt>
                <c:pt idx="50">
                  <c:v>57.28</c:v>
                </c:pt>
                <c:pt idx="51">
                  <c:v>57.95</c:v>
                </c:pt>
                <c:pt idx="52">
                  <c:v>58.8</c:v>
                </c:pt>
                <c:pt idx="53">
                  <c:v>57.39</c:v>
                </c:pt>
                <c:pt idx="54">
                  <c:v>56.37</c:v>
                </c:pt>
                <c:pt idx="55">
                  <c:v>57.25</c:v>
                </c:pt>
                <c:pt idx="56">
                  <c:v>57.82</c:v>
                </c:pt>
                <c:pt idx="57">
                  <c:v>57.37</c:v>
                </c:pt>
                <c:pt idx="58">
                  <c:v>57.28</c:v>
                </c:pt>
                <c:pt idx="59">
                  <c:v>57.81</c:v>
                </c:pt>
                <c:pt idx="60">
                  <c:v>58.77</c:v>
                </c:pt>
                <c:pt idx="61">
                  <c:v>56.8</c:v>
                </c:pt>
                <c:pt idx="62">
                  <c:v>57.17</c:v>
                </c:pt>
                <c:pt idx="63">
                  <c:v>58.13</c:v>
                </c:pt>
                <c:pt idx="64">
                  <c:v>58.16</c:v>
                </c:pt>
                <c:pt idx="65">
                  <c:v>57.28</c:v>
                </c:pt>
                <c:pt idx="66">
                  <c:v>57.62</c:v>
                </c:pt>
                <c:pt idx="67">
                  <c:v>59.17</c:v>
                </c:pt>
                <c:pt idx="68">
                  <c:v>57.65</c:v>
                </c:pt>
                <c:pt idx="69">
                  <c:v>57.29</c:v>
                </c:pt>
                <c:pt idx="70">
                  <c:v>57.71</c:v>
                </c:pt>
                <c:pt idx="71">
                  <c:v>58.16</c:v>
                </c:pt>
                <c:pt idx="72">
                  <c:v>57.32</c:v>
                </c:pt>
                <c:pt idx="73">
                  <c:v>57.64</c:v>
                </c:pt>
                <c:pt idx="74">
                  <c:v>58.18</c:v>
                </c:pt>
                <c:pt idx="75">
                  <c:v>58.57</c:v>
                </c:pt>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Donnee_Ressuage_BCH!$D$2:$D$77</c:f>
              <c:numCache>
                <c:formatCode>General</c:formatCode>
                <c:ptCount val="76"/>
                <c:pt idx="0">
                  <c:v>11.85</c:v>
                </c:pt>
                <c:pt idx="1">
                  <c:v>13.8</c:v>
                </c:pt>
                <c:pt idx="2">
                  <c:v>16.68</c:v>
                </c:pt>
                <c:pt idx="3">
                  <c:v>19.57</c:v>
                </c:pt>
                <c:pt idx="4">
                  <c:v>22.51</c:v>
                </c:pt>
                <c:pt idx="5">
                  <c:v>25.16</c:v>
                </c:pt>
                <c:pt idx="6">
                  <c:v>27.96</c:v>
                </c:pt>
                <c:pt idx="7">
                  <c:v>30.35</c:v>
                </c:pt>
                <c:pt idx="8">
                  <c:v>32.82</c:v>
                </c:pt>
                <c:pt idx="9">
                  <c:v>34.86</c:v>
                </c:pt>
                <c:pt idx="10">
                  <c:v>37.35</c:v>
                </c:pt>
                <c:pt idx="11">
                  <c:v>39.15</c:v>
                </c:pt>
                <c:pt idx="12">
                  <c:v>41.11</c:v>
                </c:pt>
                <c:pt idx="13">
                  <c:v>42.64</c:v>
                </c:pt>
                <c:pt idx="14">
                  <c:v>44.3</c:v>
                </c:pt>
                <c:pt idx="15">
                  <c:v>45.8</c:v>
                </c:pt>
                <c:pt idx="16">
                  <c:v>47.06</c:v>
                </c:pt>
                <c:pt idx="17">
                  <c:v>48.36</c:v>
                </c:pt>
                <c:pt idx="18">
                  <c:v>49.77</c:v>
                </c:pt>
                <c:pt idx="19">
                  <c:v>51.17</c:v>
                </c:pt>
                <c:pt idx="20">
                  <c:v>52.03</c:v>
                </c:pt>
                <c:pt idx="21">
                  <c:v>52.26</c:v>
                </c:pt>
                <c:pt idx="22">
                  <c:v>51.57</c:v>
                </c:pt>
                <c:pt idx="23">
                  <c:v>52.37</c:v>
                </c:pt>
                <c:pt idx="24">
                  <c:v>53.57</c:v>
                </c:pt>
                <c:pt idx="25">
                  <c:v>53.66</c:v>
                </c:pt>
                <c:pt idx="26">
                  <c:v>52.94</c:v>
                </c:pt>
                <c:pt idx="27">
                  <c:v>53.09</c:v>
                </c:pt>
                <c:pt idx="28">
                  <c:v>54.27</c:v>
                </c:pt>
                <c:pt idx="29">
                  <c:v>54.64</c:v>
                </c:pt>
                <c:pt idx="30">
                  <c:v>53.59</c:v>
                </c:pt>
                <c:pt idx="31">
                  <c:v>53.56</c:v>
                </c:pt>
                <c:pt idx="32">
                  <c:v>54.68</c:v>
                </c:pt>
                <c:pt idx="33">
                  <c:v>55.27</c:v>
                </c:pt>
                <c:pt idx="34">
                  <c:v>54.16</c:v>
                </c:pt>
                <c:pt idx="35">
                  <c:v>54.16</c:v>
                </c:pt>
                <c:pt idx="36">
                  <c:v>55.01</c:v>
                </c:pt>
                <c:pt idx="37">
                  <c:v>55.58</c:v>
                </c:pt>
                <c:pt idx="38">
                  <c:v>54.29</c:v>
                </c:pt>
                <c:pt idx="39">
                  <c:v>54.64</c:v>
                </c:pt>
                <c:pt idx="40">
                  <c:v>55.74</c:v>
                </c:pt>
                <c:pt idx="41">
                  <c:v>55.75</c:v>
                </c:pt>
                <c:pt idx="42">
                  <c:v>54.68</c:v>
                </c:pt>
                <c:pt idx="43">
                  <c:v>54.79</c:v>
                </c:pt>
                <c:pt idx="44">
                  <c:v>55.65</c:v>
                </c:pt>
                <c:pt idx="45">
                  <c:v>56.18</c:v>
                </c:pt>
                <c:pt idx="46">
                  <c:v>54.88</c:v>
                </c:pt>
                <c:pt idx="47">
                  <c:v>54.98</c:v>
                </c:pt>
                <c:pt idx="48">
                  <c:v>56.09</c:v>
                </c:pt>
                <c:pt idx="49">
                  <c:v>55.84</c:v>
                </c:pt>
                <c:pt idx="50">
                  <c:v>54.94</c:v>
                </c:pt>
                <c:pt idx="51">
                  <c:v>55.36</c:v>
                </c:pt>
                <c:pt idx="52">
                  <c:v>56.32</c:v>
                </c:pt>
                <c:pt idx="53">
                  <c:v>55.83</c:v>
                </c:pt>
                <c:pt idx="54">
                  <c:v>55.14</c:v>
                </c:pt>
                <c:pt idx="55">
                  <c:v>55.59</c:v>
                </c:pt>
                <c:pt idx="56">
                  <c:v>56.71</c:v>
                </c:pt>
                <c:pt idx="57">
                  <c:v>55.56</c:v>
                </c:pt>
                <c:pt idx="58">
                  <c:v>55.05</c:v>
                </c:pt>
                <c:pt idx="59">
                  <c:v>55.92</c:v>
                </c:pt>
                <c:pt idx="60">
                  <c:v>56.59</c:v>
                </c:pt>
                <c:pt idx="61">
                  <c:v>55.44</c:v>
                </c:pt>
                <c:pt idx="62">
                  <c:v>55.4</c:v>
                </c:pt>
                <c:pt idx="63">
                  <c:v>56.46</c:v>
                </c:pt>
                <c:pt idx="64">
                  <c:v>56.49</c:v>
                </c:pt>
                <c:pt idx="65">
                  <c:v>55.27</c:v>
                </c:pt>
                <c:pt idx="66">
                  <c:v>55.84</c:v>
                </c:pt>
                <c:pt idx="67">
                  <c:v>56.79</c:v>
                </c:pt>
                <c:pt idx="68">
                  <c:v>56.03</c:v>
                </c:pt>
                <c:pt idx="69">
                  <c:v>55.37</c:v>
                </c:pt>
                <c:pt idx="70">
                  <c:v>56.01</c:v>
                </c:pt>
                <c:pt idx="71">
                  <c:v>56.73</c:v>
                </c:pt>
                <c:pt idx="72">
                  <c:v>55.84</c:v>
                </c:pt>
                <c:pt idx="73">
                  <c:v>55.44</c:v>
                </c:pt>
                <c:pt idx="74">
                  <c:v>56.46</c:v>
                </c:pt>
                <c:pt idx="75">
                  <c:v>56.67</c:v>
                </c:pt>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Donnee_Ressuage_BCH!$E$2:$E$77</c:f>
              <c:numCache>
                <c:formatCode>General</c:formatCode>
                <c:ptCount val="76"/>
                <c:pt idx="0">
                  <c:v>11.84</c:v>
                </c:pt>
                <c:pt idx="1">
                  <c:v>14.06</c:v>
                </c:pt>
                <c:pt idx="2">
                  <c:v>17.010000000000002</c:v>
                </c:pt>
                <c:pt idx="3">
                  <c:v>20.16</c:v>
                </c:pt>
                <c:pt idx="4">
                  <c:v>23.17</c:v>
                </c:pt>
                <c:pt idx="5">
                  <c:v>26.04</c:v>
                </c:pt>
                <c:pt idx="6">
                  <c:v>28.86</c:v>
                </c:pt>
                <c:pt idx="7">
                  <c:v>31.39</c:v>
                </c:pt>
                <c:pt idx="8">
                  <c:v>34.03</c:v>
                </c:pt>
                <c:pt idx="9">
                  <c:v>36.04</c:v>
                </c:pt>
                <c:pt idx="10">
                  <c:v>38.26</c:v>
                </c:pt>
                <c:pt idx="11">
                  <c:v>40.22</c:v>
                </c:pt>
                <c:pt idx="12">
                  <c:v>42.07</c:v>
                </c:pt>
                <c:pt idx="13">
                  <c:v>43.39</c:v>
                </c:pt>
                <c:pt idx="14">
                  <c:v>44.97</c:v>
                </c:pt>
                <c:pt idx="15">
                  <c:v>46.8</c:v>
                </c:pt>
                <c:pt idx="16">
                  <c:v>48.08</c:v>
                </c:pt>
                <c:pt idx="17">
                  <c:v>49.58</c:v>
                </c:pt>
                <c:pt idx="18">
                  <c:v>51.01</c:v>
                </c:pt>
                <c:pt idx="19">
                  <c:v>52.51</c:v>
                </c:pt>
                <c:pt idx="20">
                  <c:v>53.26</c:v>
                </c:pt>
                <c:pt idx="21">
                  <c:v>53.49</c:v>
                </c:pt>
                <c:pt idx="22">
                  <c:v>52.78</c:v>
                </c:pt>
                <c:pt idx="23">
                  <c:v>53.58</c:v>
                </c:pt>
                <c:pt idx="24">
                  <c:v>54.59</c:v>
                </c:pt>
                <c:pt idx="25">
                  <c:v>54.99</c:v>
                </c:pt>
                <c:pt idx="26">
                  <c:v>54.21</c:v>
                </c:pt>
                <c:pt idx="27">
                  <c:v>54.71</c:v>
                </c:pt>
                <c:pt idx="28">
                  <c:v>55.65</c:v>
                </c:pt>
                <c:pt idx="29">
                  <c:v>55.79</c:v>
                </c:pt>
                <c:pt idx="30">
                  <c:v>54.86</c:v>
                </c:pt>
                <c:pt idx="31">
                  <c:v>55.26</c:v>
                </c:pt>
                <c:pt idx="32">
                  <c:v>55.96</c:v>
                </c:pt>
                <c:pt idx="33">
                  <c:v>56.61</c:v>
                </c:pt>
                <c:pt idx="34">
                  <c:v>55.4</c:v>
                </c:pt>
                <c:pt idx="35">
                  <c:v>55.51</c:v>
                </c:pt>
                <c:pt idx="36">
                  <c:v>56.43</c:v>
                </c:pt>
                <c:pt idx="37">
                  <c:v>56.86</c:v>
                </c:pt>
                <c:pt idx="38">
                  <c:v>55.76</c:v>
                </c:pt>
                <c:pt idx="39">
                  <c:v>55.94</c:v>
                </c:pt>
                <c:pt idx="40">
                  <c:v>56.97</c:v>
                </c:pt>
                <c:pt idx="41">
                  <c:v>57.17</c:v>
                </c:pt>
                <c:pt idx="42">
                  <c:v>56.25</c:v>
                </c:pt>
                <c:pt idx="43">
                  <c:v>56.1</c:v>
                </c:pt>
                <c:pt idx="44">
                  <c:v>57.28</c:v>
                </c:pt>
                <c:pt idx="45">
                  <c:v>57.45</c:v>
                </c:pt>
                <c:pt idx="46">
                  <c:v>56.26</c:v>
                </c:pt>
                <c:pt idx="47">
                  <c:v>56.52</c:v>
                </c:pt>
                <c:pt idx="48">
                  <c:v>57.64</c:v>
                </c:pt>
                <c:pt idx="49">
                  <c:v>57.61</c:v>
                </c:pt>
                <c:pt idx="50">
                  <c:v>56.47</c:v>
                </c:pt>
                <c:pt idx="51">
                  <c:v>56.65</c:v>
                </c:pt>
                <c:pt idx="52">
                  <c:v>57.8</c:v>
                </c:pt>
                <c:pt idx="53">
                  <c:v>57.38</c:v>
                </c:pt>
                <c:pt idx="54">
                  <c:v>56.57</c:v>
                </c:pt>
                <c:pt idx="55">
                  <c:v>57.16</c:v>
                </c:pt>
                <c:pt idx="56">
                  <c:v>58.23</c:v>
                </c:pt>
                <c:pt idx="57">
                  <c:v>57.17</c:v>
                </c:pt>
                <c:pt idx="58">
                  <c:v>56.78</c:v>
                </c:pt>
                <c:pt idx="59">
                  <c:v>57.47</c:v>
                </c:pt>
                <c:pt idx="60">
                  <c:v>58.09</c:v>
                </c:pt>
                <c:pt idx="61">
                  <c:v>57.01</c:v>
                </c:pt>
                <c:pt idx="62">
                  <c:v>56.92</c:v>
                </c:pt>
                <c:pt idx="63">
                  <c:v>58.1</c:v>
                </c:pt>
                <c:pt idx="64">
                  <c:v>57.8</c:v>
                </c:pt>
                <c:pt idx="65">
                  <c:v>56.9</c:v>
                </c:pt>
                <c:pt idx="66">
                  <c:v>57.34</c:v>
                </c:pt>
                <c:pt idx="67">
                  <c:v>58.59</c:v>
                </c:pt>
                <c:pt idx="68">
                  <c:v>57.76</c:v>
                </c:pt>
                <c:pt idx="69">
                  <c:v>56.9</c:v>
                </c:pt>
                <c:pt idx="70">
                  <c:v>57.75</c:v>
                </c:pt>
                <c:pt idx="71">
                  <c:v>58.42</c:v>
                </c:pt>
                <c:pt idx="72">
                  <c:v>57.37</c:v>
                </c:pt>
                <c:pt idx="73">
                  <c:v>57.04</c:v>
                </c:pt>
                <c:pt idx="74">
                  <c:v>57.95</c:v>
                </c:pt>
                <c:pt idx="75">
                  <c:v>58.11</c:v>
                </c:pt>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Donnee_Ressuage_BCH!$F$2:$F$77</c:f>
              <c:numCache>
                <c:formatCode>General</c:formatCode>
                <c:ptCount val="76"/>
                <c:pt idx="0">
                  <c:v>12.3</c:v>
                </c:pt>
                <c:pt idx="1">
                  <c:v>14.4</c:v>
                </c:pt>
                <c:pt idx="2">
                  <c:v>17.82</c:v>
                </c:pt>
                <c:pt idx="3">
                  <c:v>21.36</c:v>
                </c:pt>
                <c:pt idx="4">
                  <c:v>24.73</c:v>
                </c:pt>
                <c:pt idx="5">
                  <c:v>27.9</c:v>
                </c:pt>
                <c:pt idx="6">
                  <c:v>31</c:v>
                </c:pt>
                <c:pt idx="7">
                  <c:v>33.78</c:v>
                </c:pt>
                <c:pt idx="8">
                  <c:v>36.450000000000003</c:v>
                </c:pt>
                <c:pt idx="9">
                  <c:v>38.85</c:v>
                </c:pt>
                <c:pt idx="10">
                  <c:v>41.06</c:v>
                </c:pt>
                <c:pt idx="11">
                  <c:v>43.2</c:v>
                </c:pt>
                <c:pt idx="12">
                  <c:v>44.99</c:v>
                </c:pt>
                <c:pt idx="13">
                  <c:v>46.71</c:v>
                </c:pt>
                <c:pt idx="14">
                  <c:v>48.39</c:v>
                </c:pt>
                <c:pt idx="15">
                  <c:v>50.01</c:v>
                </c:pt>
                <c:pt idx="16">
                  <c:v>51.46</c:v>
                </c:pt>
                <c:pt idx="17">
                  <c:v>52.98</c:v>
                </c:pt>
                <c:pt idx="18">
                  <c:v>54.37</c:v>
                </c:pt>
                <c:pt idx="19">
                  <c:v>55.58</c:v>
                </c:pt>
                <c:pt idx="20">
                  <c:v>56.62</c:v>
                </c:pt>
                <c:pt idx="21">
                  <c:v>56.62</c:v>
                </c:pt>
                <c:pt idx="22">
                  <c:v>55.74</c:v>
                </c:pt>
                <c:pt idx="23">
                  <c:v>56.33</c:v>
                </c:pt>
                <c:pt idx="24">
                  <c:v>57.53</c:v>
                </c:pt>
                <c:pt idx="25">
                  <c:v>57.92</c:v>
                </c:pt>
                <c:pt idx="26">
                  <c:v>56.62</c:v>
                </c:pt>
                <c:pt idx="27">
                  <c:v>56.99</c:v>
                </c:pt>
                <c:pt idx="28">
                  <c:v>57.97</c:v>
                </c:pt>
                <c:pt idx="29">
                  <c:v>58.56</c:v>
                </c:pt>
                <c:pt idx="30">
                  <c:v>57.24</c:v>
                </c:pt>
                <c:pt idx="31">
                  <c:v>57.32</c:v>
                </c:pt>
                <c:pt idx="32">
                  <c:v>58.47</c:v>
                </c:pt>
                <c:pt idx="33">
                  <c:v>59.03</c:v>
                </c:pt>
                <c:pt idx="34">
                  <c:v>57.54</c:v>
                </c:pt>
                <c:pt idx="35">
                  <c:v>57.48</c:v>
                </c:pt>
                <c:pt idx="36">
                  <c:v>58.79</c:v>
                </c:pt>
                <c:pt idx="37">
                  <c:v>59.21</c:v>
                </c:pt>
                <c:pt idx="38">
                  <c:v>57.74</c:v>
                </c:pt>
                <c:pt idx="39">
                  <c:v>57.92</c:v>
                </c:pt>
                <c:pt idx="40">
                  <c:v>59.13</c:v>
                </c:pt>
                <c:pt idx="41">
                  <c:v>59.33</c:v>
                </c:pt>
                <c:pt idx="42">
                  <c:v>57.87</c:v>
                </c:pt>
                <c:pt idx="43">
                  <c:v>58.09</c:v>
                </c:pt>
                <c:pt idx="44">
                  <c:v>59.34</c:v>
                </c:pt>
                <c:pt idx="45">
                  <c:v>59.59</c:v>
                </c:pt>
                <c:pt idx="46">
                  <c:v>58.15</c:v>
                </c:pt>
                <c:pt idx="47">
                  <c:v>58.22</c:v>
                </c:pt>
                <c:pt idx="48">
                  <c:v>59.64</c:v>
                </c:pt>
                <c:pt idx="49">
                  <c:v>59.51</c:v>
                </c:pt>
                <c:pt idx="50">
                  <c:v>58.06</c:v>
                </c:pt>
                <c:pt idx="51">
                  <c:v>58.47</c:v>
                </c:pt>
                <c:pt idx="52">
                  <c:v>59.82</c:v>
                </c:pt>
                <c:pt idx="53">
                  <c:v>59.17</c:v>
                </c:pt>
                <c:pt idx="54">
                  <c:v>58.15</c:v>
                </c:pt>
                <c:pt idx="55">
                  <c:v>58.89</c:v>
                </c:pt>
                <c:pt idx="56">
                  <c:v>60.12</c:v>
                </c:pt>
                <c:pt idx="57">
                  <c:v>58.85</c:v>
                </c:pt>
                <c:pt idx="58">
                  <c:v>58.29</c:v>
                </c:pt>
                <c:pt idx="59">
                  <c:v>59.31</c:v>
                </c:pt>
                <c:pt idx="60">
                  <c:v>59.97</c:v>
                </c:pt>
                <c:pt idx="61">
                  <c:v>58.56</c:v>
                </c:pt>
                <c:pt idx="62">
                  <c:v>58.63</c:v>
                </c:pt>
                <c:pt idx="63">
                  <c:v>59.83</c:v>
                </c:pt>
                <c:pt idx="64">
                  <c:v>59.73</c:v>
                </c:pt>
                <c:pt idx="65">
                  <c:v>58.39</c:v>
                </c:pt>
                <c:pt idx="66">
                  <c:v>58.96</c:v>
                </c:pt>
                <c:pt idx="67">
                  <c:v>60.24</c:v>
                </c:pt>
                <c:pt idx="68">
                  <c:v>59.42</c:v>
                </c:pt>
                <c:pt idx="69">
                  <c:v>58.32</c:v>
                </c:pt>
                <c:pt idx="70">
                  <c:v>59.14</c:v>
                </c:pt>
                <c:pt idx="71">
                  <c:v>60.28</c:v>
                </c:pt>
                <c:pt idx="72">
                  <c:v>58.93</c:v>
                </c:pt>
                <c:pt idx="73">
                  <c:v>58.51</c:v>
                </c:pt>
                <c:pt idx="74">
                  <c:v>59.65</c:v>
                </c:pt>
                <c:pt idx="75">
                  <c:v>60.17</c:v>
                </c:pt>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Donnee_Ressuage_BCH!$G$2:$G$77</c:f>
              <c:numCache>
                <c:formatCode>General</c:formatCode>
                <c:ptCount val="76"/>
                <c:pt idx="0">
                  <c:v>12.34</c:v>
                </c:pt>
                <c:pt idx="1">
                  <c:v>15.87</c:v>
                </c:pt>
                <c:pt idx="2">
                  <c:v>19.829999999999998</c:v>
                </c:pt>
                <c:pt idx="3">
                  <c:v>23.76</c:v>
                </c:pt>
                <c:pt idx="4">
                  <c:v>27.54</c:v>
                </c:pt>
                <c:pt idx="5">
                  <c:v>31.03</c:v>
                </c:pt>
                <c:pt idx="6">
                  <c:v>34.340000000000003</c:v>
                </c:pt>
                <c:pt idx="7">
                  <c:v>37.31</c:v>
                </c:pt>
                <c:pt idx="8">
                  <c:v>40.020000000000003</c:v>
                </c:pt>
                <c:pt idx="9">
                  <c:v>42.63</c:v>
                </c:pt>
                <c:pt idx="10">
                  <c:v>44.82</c:v>
                </c:pt>
                <c:pt idx="11">
                  <c:v>47.04</c:v>
                </c:pt>
                <c:pt idx="12">
                  <c:v>48.93</c:v>
                </c:pt>
                <c:pt idx="13">
                  <c:v>50.71</c:v>
                </c:pt>
                <c:pt idx="14">
                  <c:v>52.4</c:v>
                </c:pt>
                <c:pt idx="15">
                  <c:v>54</c:v>
                </c:pt>
                <c:pt idx="16">
                  <c:v>55.44</c:v>
                </c:pt>
                <c:pt idx="17">
                  <c:v>56.84</c:v>
                </c:pt>
                <c:pt idx="18">
                  <c:v>58.32</c:v>
                </c:pt>
                <c:pt idx="19">
                  <c:v>59.44</c:v>
                </c:pt>
                <c:pt idx="20">
                  <c:v>60.55</c:v>
                </c:pt>
                <c:pt idx="21">
                  <c:v>59.45</c:v>
                </c:pt>
                <c:pt idx="22">
                  <c:v>58.62</c:v>
                </c:pt>
                <c:pt idx="23">
                  <c:v>59.66</c:v>
                </c:pt>
                <c:pt idx="24">
                  <c:v>60.83</c:v>
                </c:pt>
                <c:pt idx="25">
                  <c:v>60.5</c:v>
                </c:pt>
                <c:pt idx="26">
                  <c:v>59</c:v>
                </c:pt>
                <c:pt idx="27">
                  <c:v>59.83</c:v>
                </c:pt>
                <c:pt idx="28">
                  <c:v>61.19</c:v>
                </c:pt>
                <c:pt idx="29">
                  <c:v>60.88</c:v>
                </c:pt>
                <c:pt idx="30">
                  <c:v>59.23</c:v>
                </c:pt>
                <c:pt idx="31">
                  <c:v>59.79</c:v>
                </c:pt>
                <c:pt idx="32">
                  <c:v>61.24</c:v>
                </c:pt>
                <c:pt idx="33">
                  <c:v>61.23</c:v>
                </c:pt>
                <c:pt idx="34">
                  <c:v>59.42</c:v>
                </c:pt>
                <c:pt idx="35">
                  <c:v>60.02</c:v>
                </c:pt>
                <c:pt idx="36">
                  <c:v>61.46</c:v>
                </c:pt>
                <c:pt idx="37">
                  <c:v>61.15</c:v>
                </c:pt>
                <c:pt idx="38">
                  <c:v>59.53</c:v>
                </c:pt>
                <c:pt idx="39">
                  <c:v>60.31</c:v>
                </c:pt>
                <c:pt idx="40">
                  <c:v>61.85</c:v>
                </c:pt>
                <c:pt idx="41">
                  <c:v>61.1</c:v>
                </c:pt>
                <c:pt idx="42">
                  <c:v>59.53</c:v>
                </c:pt>
                <c:pt idx="43">
                  <c:v>60.34</c:v>
                </c:pt>
                <c:pt idx="44">
                  <c:v>62.05</c:v>
                </c:pt>
                <c:pt idx="45">
                  <c:v>61.39</c:v>
                </c:pt>
                <c:pt idx="46">
                  <c:v>59.8</c:v>
                </c:pt>
                <c:pt idx="47">
                  <c:v>60.51</c:v>
                </c:pt>
                <c:pt idx="48">
                  <c:v>62.05</c:v>
                </c:pt>
                <c:pt idx="49">
                  <c:v>61.08</c:v>
                </c:pt>
                <c:pt idx="50">
                  <c:v>59.74</c:v>
                </c:pt>
                <c:pt idx="51">
                  <c:v>60.73</c:v>
                </c:pt>
                <c:pt idx="52">
                  <c:v>62.32</c:v>
                </c:pt>
                <c:pt idx="53">
                  <c:v>60.54</c:v>
                </c:pt>
                <c:pt idx="54">
                  <c:v>59.91</c:v>
                </c:pt>
                <c:pt idx="55">
                  <c:v>61.24</c:v>
                </c:pt>
                <c:pt idx="56">
                  <c:v>62.17</c:v>
                </c:pt>
                <c:pt idx="57">
                  <c:v>60.04</c:v>
                </c:pt>
                <c:pt idx="58">
                  <c:v>60.09</c:v>
                </c:pt>
                <c:pt idx="59">
                  <c:v>61.69</c:v>
                </c:pt>
                <c:pt idx="60">
                  <c:v>61.76</c:v>
                </c:pt>
                <c:pt idx="61">
                  <c:v>60.03</c:v>
                </c:pt>
                <c:pt idx="62">
                  <c:v>60.66</c:v>
                </c:pt>
                <c:pt idx="63">
                  <c:v>62.22</c:v>
                </c:pt>
                <c:pt idx="64">
                  <c:v>61.19</c:v>
                </c:pt>
                <c:pt idx="65">
                  <c:v>59.97</c:v>
                </c:pt>
                <c:pt idx="66">
                  <c:v>61.14</c:v>
                </c:pt>
                <c:pt idx="67">
                  <c:v>62.5</c:v>
                </c:pt>
                <c:pt idx="68">
                  <c:v>60.52</c:v>
                </c:pt>
                <c:pt idx="69">
                  <c:v>60.03</c:v>
                </c:pt>
                <c:pt idx="70">
                  <c:v>61.47</c:v>
                </c:pt>
                <c:pt idx="71">
                  <c:v>62.19</c:v>
                </c:pt>
                <c:pt idx="72">
                  <c:v>60.29</c:v>
                </c:pt>
                <c:pt idx="73">
                  <c:v>60.37</c:v>
                </c:pt>
                <c:pt idx="74">
                  <c:v>61.96</c:v>
                </c:pt>
                <c:pt idx="75">
                  <c:v>61.68</c:v>
                </c:pt>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Donnee_Ressuage_BCH!$H$2:$H$77</c:f>
              <c:numCache>
                <c:formatCode>General</c:formatCode>
                <c:ptCount val="76"/>
                <c:pt idx="0">
                  <c:v>12.42</c:v>
                </c:pt>
                <c:pt idx="1">
                  <c:v>15.76</c:v>
                </c:pt>
                <c:pt idx="2">
                  <c:v>19.7</c:v>
                </c:pt>
                <c:pt idx="3">
                  <c:v>23.61</c:v>
                </c:pt>
                <c:pt idx="4">
                  <c:v>27.36</c:v>
                </c:pt>
                <c:pt idx="5">
                  <c:v>30.71</c:v>
                </c:pt>
                <c:pt idx="6">
                  <c:v>33.92</c:v>
                </c:pt>
                <c:pt idx="7">
                  <c:v>36.74</c:v>
                </c:pt>
                <c:pt idx="8">
                  <c:v>39.46</c:v>
                </c:pt>
                <c:pt idx="9">
                  <c:v>41.93</c:v>
                </c:pt>
                <c:pt idx="10">
                  <c:v>44.09</c:v>
                </c:pt>
                <c:pt idx="11">
                  <c:v>46.15</c:v>
                </c:pt>
                <c:pt idx="12">
                  <c:v>48.19</c:v>
                </c:pt>
                <c:pt idx="13">
                  <c:v>49.91</c:v>
                </c:pt>
                <c:pt idx="14">
                  <c:v>51.64</c:v>
                </c:pt>
                <c:pt idx="15">
                  <c:v>53.35</c:v>
                </c:pt>
                <c:pt idx="16">
                  <c:v>54.57</c:v>
                </c:pt>
                <c:pt idx="17">
                  <c:v>56.04</c:v>
                </c:pt>
                <c:pt idx="18">
                  <c:v>57.4</c:v>
                </c:pt>
                <c:pt idx="19">
                  <c:v>58.64</c:v>
                </c:pt>
                <c:pt idx="20">
                  <c:v>59.91</c:v>
                </c:pt>
                <c:pt idx="21">
                  <c:v>58.73</c:v>
                </c:pt>
                <c:pt idx="22">
                  <c:v>57.94</c:v>
                </c:pt>
                <c:pt idx="23">
                  <c:v>59.08</c:v>
                </c:pt>
                <c:pt idx="24">
                  <c:v>60.21</c:v>
                </c:pt>
                <c:pt idx="25">
                  <c:v>59.84</c:v>
                </c:pt>
                <c:pt idx="26">
                  <c:v>58.44</c:v>
                </c:pt>
                <c:pt idx="27">
                  <c:v>59.21</c:v>
                </c:pt>
                <c:pt idx="28">
                  <c:v>60.51</c:v>
                </c:pt>
                <c:pt idx="29">
                  <c:v>60.44</c:v>
                </c:pt>
                <c:pt idx="30">
                  <c:v>58.65</c:v>
                </c:pt>
                <c:pt idx="31">
                  <c:v>59.29</c:v>
                </c:pt>
                <c:pt idx="32">
                  <c:v>60.9</c:v>
                </c:pt>
                <c:pt idx="33">
                  <c:v>60.71</c:v>
                </c:pt>
                <c:pt idx="34">
                  <c:v>58.95</c:v>
                </c:pt>
                <c:pt idx="35">
                  <c:v>59.53</c:v>
                </c:pt>
                <c:pt idx="36">
                  <c:v>61.04</c:v>
                </c:pt>
                <c:pt idx="37">
                  <c:v>60.67</c:v>
                </c:pt>
                <c:pt idx="38">
                  <c:v>59.12</c:v>
                </c:pt>
                <c:pt idx="39">
                  <c:v>59.86</c:v>
                </c:pt>
                <c:pt idx="40">
                  <c:v>61.37</c:v>
                </c:pt>
                <c:pt idx="41">
                  <c:v>60.74</c:v>
                </c:pt>
                <c:pt idx="42">
                  <c:v>59.05</c:v>
                </c:pt>
                <c:pt idx="43">
                  <c:v>59.85</c:v>
                </c:pt>
                <c:pt idx="44">
                  <c:v>61.44</c:v>
                </c:pt>
                <c:pt idx="45">
                  <c:v>60.84</c:v>
                </c:pt>
                <c:pt idx="46">
                  <c:v>59.29</c:v>
                </c:pt>
                <c:pt idx="47">
                  <c:v>60.11</c:v>
                </c:pt>
                <c:pt idx="48">
                  <c:v>61.6</c:v>
                </c:pt>
                <c:pt idx="49">
                  <c:v>60.72</c:v>
                </c:pt>
                <c:pt idx="50">
                  <c:v>59.29</c:v>
                </c:pt>
                <c:pt idx="51">
                  <c:v>60.36</c:v>
                </c:pt>
                <c:pt idx="52">
                  <c:v>61.84</c:v>
                </c:pt>
                <c:pt idx="53">
                  <c:v>60.06</c:v>
                </c:pt>
                <c:pt idx="54">
                  <c:v>59.48</c:v>
                </c:pt>
                <c:pt idx="55">
                  <c:v>60.85</c:v>
                </c:pt>
                <c:pt idx="56">
                  <c:v>61.85</c:v>
                </c:pt>
                <c:pt idx="57">
                  <c:v>59.58</c:v>
                </c:pt>
                <c:pt idx="58">
                  <c:v>59.71</c:v>
                </c:pt>
                <c:pt idx="59">
                  <c:v>61.21</c:v>
                </c:pt>
                <c:pt idx="60">
                  <c:v>61.28</c:v>
                </c:pt>
                <c:pt idx="61">
                  <c:v>59.63</c:v>
                </c:pt>
                <c:pt idx="62">
                  <c:v>60.28</c:v>
                </c:pt>
                <c:pt idx="63">
                  <c:v>61.94</c:v>
                </c:pt>
                <c:pt idx="64">
                  <c:v>60.81</c:v>
                </c:pt>
                <c:pt idx="65">
                  <c:v>59.52</c:v>
                </c:pt>
                <c:pt idx="66">
                  <c:v>60.75</c:v>
                </c:pt>
                <c:pt idx="67">
                  <c:v>62.02</c:v>
                </c:pt>
                <c:pt idx="68">
                  <c:v>60.18</c:v>
                </c:pt>
                <c:pt idx="69">
                  <c:v>59.52</c:v>
                </c:pt>
                <c:pt idx="70">
                  <c:v>61.02</c:v>
                </c:pt>
                <c:pt idx="71">
                  <c:v>61.79</c:v>
                </c:pt>
                <c:pt idx="72">
                  <c:v>59.84</c:v>
                </c:pt>
                <c:pt idx="73">
                  <c:v>59.92</c:v>
                </c:pt>
                <c:pt idx="74">
                  <c:v>61.57</c:v>
                </c:pt>
                <c:pt idx="75">
                  <c:v>61.34</c:v>
                </c:pt>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Donnee_Ressuage_BCH!$I$2:$I$77</c:f>
              <c:numCache>
                <c:formatCode>General</c:formatCode>
                <c:ptCount val="76"/>
                <c:pt idx="0">
                  <c:v>12.71</c:v>
                </c:pt>
                <c:pt idx="1">
                  <c:v>14.12</c:v>
                </c:pt>
                <c:pt idx="2">
                  <c:v>17.170000000000002</c:v>
                </c:pt>
                <c:pt idx="3">
                  <c:v>20.22</c:v>
                </c:pt>
                <c:pt idx="4">
                  <c:v>23.18</c:v>
                </c:pt>
                <c:pt idx="5">
                  <c:v>26.49</c:v>
                </c:pt>
                <c:pt idx="6">
                  <c:v>29.38</c:v>
                </c:pt>
                <c:pt idx="7">
                  <c:v>31.97</c:v>
                </c:pt>
                <c:pt idx="8">
                  <c:v>34.159999999999997</c:v>
                </c:pt>
                <c:pt idx="9">
                  <c:v>36.89</c:v>
                </c:pt>
                <c:pt idx="10">
                  <c:v>38.97</c:v>
                </c:pt>
                <c:pt idx="11">
                  <c:v>41.23</c:v>
                </c:pt>
                <c:pt idx="12">
                  <c:v>43.05</c:v>
                </c:pt>
                <c:pt idx="13">
                  <c:v>44.67</c:v>
                </c:pt>
                <c:pt idx="14">
                  <c:v>45.9</c:v>
                </c:pt>
                <c:pt idx="15">
                  <c:v>48.16</c:v>
                </c:pt>
                <c:pt idx="16">
                  <c:v>49</c:v>
                </c:pt>
                <c:pt idx="17">
                  <c:v>50.95</c:v>
                </c:pt>
                <c:pt idx="18">
                  <c:v>52.08</c:v>
                </c:pt>
                <c:pt idx="19">
                  <c:v>53.49</c:v>
                </c:pt>
                <c:pt idx="20">
                  <c:v>54.43</c:v>
                </c:pt>
                <c:pt idx="21">
                  <c:v>54.73</c:v>
                </c:pt>
                <c:pt idx="22">
                  <c:v>53.93</c:v>
                </c:pt>
                <c:pt idx="23">
                  <c:v>54.74</c:v>
                </c:pt>
                <c:pt idx="24">
                  <c:v>55.29</c:v>
                </c:pt>
                <c:pt idx="25">
                  <c:v>56.42</c:v>
                </c:pt>
                <c:pt idx="26">
                  <c:v>55.21</c:v>
                </c:pt>
                <c:pt idx="27">
                  <c:v>55.31</c:v>
                </c:pt>
                <c:pt idx="28">
                  <c:v>55.99</c:v>
                </c:pt>
                <c:pt idx="29">
                  <c:v>56.98</c:v>
                </c:pt>
                <c:pt idx="30">
                  <c:v>55.74</c:v>
                </c:pt>
                <c:pt idx="31">
                  <c:v>56.15</c:v>
                </c:pt>
                <c:pt idx="32">
                  <c:v>56.54</c:v>
                </c:pt>
                <c:pt idx="33">
                  <c:v>57.23</c:v>
                </c:pt>
                <c:pt idx="34">
                  <c:v>56.33</c:v>
                </c:pt>
                <c:pt idx="35">
                  <c:v>56.07</c:v>
                </c:pt>
                <c:pt idx="36">
                  <c:v>57.06</c:v>
                </c:pt>
                <c:pt idx="37">
                  <c:v>57.64</c:v>
                </c:pt>
                <c:pt idx="38">
                  <c:v>56.24</c:v>
                </c:pt>
                <c:pt idx="39">
                  <c:v>56.29</c:v>
                </c:pt>
                <c:pt idx="40">
                  <c:v>57.55</c:v>
                </c:pt>
                <c:pt idx="41">
                  <c:v>57.96</c:v>
                </c:pt>
                <c:pt idx="42">
                  <c:v>56.6</c:v>
                </c:pt>
                <c:pt idx="43">
                  <c:v>56.45</c:v>
                </c:pt>
                <c:pt idx="44">
                  <c:v>57.98</c:v>
                </c:pt>
                <c:pt idx="45">
                  <c:v>58.23</c:v>
                </c:pt>
                <c:pt idx="46">
                  <c:v>57.16</c:v>
                </c:pt>
                <c:pt idx="47">
                  <c:v>56.74</c:v>
                </c:pt>
                <c:pt idx="48">
                  <c:v>57.81</c:v>
                </c:pt>
                <c:pt idx="49">
                  <c:v>58.2</c:v>
                </c:pt>
                <c:pt idx="50">
                  <c:v>56.9</c:v>
                </c:pt>
                <c:pt idx="51">
                  <c:v>56.87</c:v>
                </c:pt>
                <c:pt idx="52">
                  <c:v>58.33</c:v>
                </c:pt>
                <c:pt idx="53">
                  <c:v>57.6</c:v>
                </c:pt>
                <c:pt idx="54">
                  <c:v>56.5</c:v>
                </c:pt>
                <c:pt idx="55">
                  <c:v>57.69</c:v>
                </c:pt>
                <c:pt idx="56">
                  <c:v>58.04</c:v>
                </c:pt>
                <c:pt idx="57">
                  <c:v>57.78</c:v>
                </c:pt>
                <c:pt idx="58">
                  <c:v>56.99</c:v>
                </c:pt>
                <c:pt idx="59">
                  <c:v>57.66</c:v>
                </c:pt>
                <c:pt idx="60">
                  <c:v>58.61</c:v>
                </c:pt>
                <c:pt idx="61">
                  <c:v>57.66</c:v>
                </c:pt>
                <c:pt idx="62">
                  <c:v>57.23</c:v>
                </c:pt>
                <c:pt idx="63">
                  <c:v>58.38</c:v>
                </c:pt>
                <c:pt idx="64">
                  <c:v>58.49</c:v>
                </c:pt>
                <c:pt idx="65">
                  <c:v>57.23</c:v>
                </c:pt>
                <c:pt idx="66">
                  <c:v>57.66</c:v>
                </c:pt>
                <c:pt idx="67">
                  <c:v>58.8</c:v>
                </c:pt>
                <c:pt idx="68">
                  <c:v>58.45</c:v>
                </c:pt>
                <c:pt idx="69">
                  <c:v>57.27</c:v>
                </c:pt>
                <c:pt idx="70">
                  <c:v>58.07</c:v>
                </c:pt>
                <c:pt idx="71">
                  <c:v>59.12</c:v>
                </c:pt>
                <c:pt idx="72">
                  <c:v>57.88</c:v>
                </c:pt>
                <c:pt idx="73">
                  <c:v>57.58</c:v>
                </c:pt>
                <c:pt idx="74">
                  <c:v>58.34</c:v>
                </c:pt>
                <c:pt idx="75">
                  <c:v>58.53</c:v>
                </c:pt>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Donnee_Ressuage_BCH!$J$2:$J$77</c:f>
              <c:numCache>
                <c:formatCode>General</c:formatCode>
                <c:ptCount val="76"/>
                <c:pt idx="0">
                  <c:v>13.33</c:v>
                </c:pt>
                <c:pt idx="1">
                  <c:v>16.88</c:v>
                </c:pt>
                <c:pt idx="2">
                  <c:v>21.6</c:v>
                </c:pt>
                <c:pt idx="3">
                  <c:v>26.05</c:v>
                </c:pt>
                <c:pt idx="4">
                  <c:v>30.14</c:v>
                </c:pt>
                <c:pt idx="5">
                  <c:v>33.99</c:v>
                </c:pt>
                <c:pt idx="6">
                  <c:v>37.44</c:v>
                </c:pt>
                <c:pt idx="7">
                  <c:v>40.65</c:v>
                </c:pt>
                <c:pt idx="8">
                  <c:v>43.42</c:v>
                </c:pt>
                <c:pt idx="9">
                  <c:v>45.98</c:v>
                </c:pt>
                <c:pt idx="10">
                  <c:v>48.24</c:v>
                </c:pt>
                <c:pt idx="11">
                  <c:v>50.68</c:v>
                </c:pt>
                <c:pt idx="12">
                  <c:v>52.35</c:v>
                </c:pt>
                <c:pt idx="13">
                  <c:v>54.32</c:v>
                </c:pt>
                <c:pt idx="14">
                  <c:v>56.17</c:v>
                </c:pt>
                <c:pt idx="15">
                  <c:v>57.86</c:v>
                </c:pt>
                <c:pt idx="16">
                  <c:v>59.4</c:v>
                </c:pt>
                <c:pt idx="17">
                  <c:v>60.49</c:v>
                </c:pt>
                <c:pt idx="18">
                  <c:v>61.82</c:v>
                </c:pt>
                <c:pt idx="19">
                  <c:v>63.04</c:v>
                </c:pt>
                <c:pt idx="20">
                  <c:v>64.11</c:v>
                </c:pt>
                <c:pt idx="21">
                  <c:v>62.12</c:v>
                </c:pt>
                <c:pt idx="22">
                  <c:v>61.34</c:v>
                </c:pt>
                <c:pt idx="23">
                  <c:v>62.7</c:v>
                </c:pt>
                <c:pt idx="24">
                  <c:v>64.05</c:v>
                </c:pt>
                <c:pt idx="25">
                  <c:v>63.1</c:v>
                </c:pt>
                <c:pt idx="26">
                  <c:v>61.42</c:v>
                </c:pt>
                <c:pt idx="27">
                  <c:v>62.58</c:v>
                </c:pt>
                <c:pt idx="28">
                  <c:v>64.28</c:v>
                </c:pt>
                <c:pt idx="29">
                  <c:v>63.33</c:v>
                </c:pt>
                <c:pt idx="30">
                  <c:v>61.24</c:v>
                </c:pt>
                <c:pt idx="31">
                  <c:v>62.38</c:v>
                </c:pt>
                <c:pt idx="32">
                  <c:v>64.16</c:v>
                </c:pt>
                <c:pt idx="33">
                  <c:v>63.51</c:v>
                </c:pt>
                <c:pt idx="34">
                  <c:v>61.3</c:v>
                </c:pt>
                <c:pt idx="35">
                  <c:v>62.46</c:v>
                </c:pt>
                <c:pt idx="36">
                  <c:v>64.27</c:v>
                </c:pt>
                <c:pt idx="37">
                  <c:v>63.3</c:v>
                </c:pt>
                <c:pt idx="38">
                  <c:v>61.4</c:v>
                </c:pt>
                <c:pt idx="39">
                  <c:v>62.73</c:v>
                </c:pt>
                <c:pt idx="40">
                  <c:v>64.58</c:v>
                </c:pt>
                <c:pt idx="41">
                  <c:v>63.11</c:v>
                </c:pt>
                <c:pt idx="42">
                  <c:v>61.3</c:v>
                </c:pt>
                <c:pt idx="43">
                  <c:v>62.73</c:v>
                </c:pt>
                <c:pt idx="44">
                  <c:v>64.77</c:v>
                </c:pt>
                <c:pt idx="45">
                  <c:v>63.34</c:v>
                </c:pt>
                <c:pt idx="46">
                  <c:v>61.49</c:v>
                </c:pt>
                <c:pt idx="47">
                  <c:v>62.88</c:v>
                </c:pt>
                <c:pt idx="48">
                  <c:v>64.7</c:v>
                </c:pt>
                <c:pt idx="49">
                  <c:v>62.99</c:v>
                </c:pt>
                <c:pt idx="50">
                  <c:v>61.49</c:v>
                </c:pt>
                <c:pt idx="51">
                  <c:v>63.19</c:v>
                </c:pt>
                <c:pt idx="52">
                  <c:v>64.849999999999994</c:v>
                </c:pt>
                <c:pt idx="53">
                  <c:v>62.26</c:v>
                </c:pt>
                <c:pt idx="54">
                  <c:v>61.78</c:v>
                </c:pt>
                <c:pt idx="55">
                  <c:v>63.71</c:v>
                </c:pt>
                <c:pt idx="56">
                  <c:v>64.569999999999993</c:v>
                </c:pt>
                <c:pt idx="57">
                  <c:v>61.54</c:v>
                </c:pt>
                <c:pt idx="58">
                  <c:v>62.18</c:v>
                </c:pt>
                <c:pt idx="59">
                  <c:v>64.2</c:v>
                </c:pt>
                <c:pt idx="60">
                  <c:v>63.65</c:v>
                </c:pt>
                <c:pt idx="61">
                  <c:v>61.7</c:v>
                </c:pt>
                <c:pt idx="62">
                  <c:v>62.86</c:v>
                </c:pt>
                <c:pt idx="63">
                  <c:v>64.8</c:v>
                </c:pt>
                <c:pt idx="64">
                  <c:v>62.83</c:v>
                </c:pt>
                <c:pt idx="65">
                  <c:v>61.7</c:v>
                </c:pt>
                <c:pt idx="66">
                  <c:v>63.5</c:v>
                </c:pt>
                <c:pt idx="67">
                  <c:v>64.81</c:v>
                </c:pt>
                <c:pt idx="68">
                  <c:v>62.14</c:v>
                </c:pt>
                <c:pt idx="69">
                  <c:v>61.84</c:v>
                </c:pt>
                <c:pt idx="70">
                  <c:v>63.85</c:v>
                </c:pt>
                <c:pt idx="71">
                  <c:v>64.400000000000006</c:v>
                </c:pt>
                <c:pt idx="72">
                  <c:v>61.73</c:v>
                </c:pt>
                <c:pt idx="73">
                  <c:v>62.48</c:v>
                </c:pt>
                <c:pt idx="74">
                  <c:v>64.5</c:v>
                </c:pt>
                <c:pt idx="75">
                  <c:v>63.54</c:v>
                </c:pt>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Donnee_Ressuage_BCH!$K$2:$K$77</c:f>
              <c:numCache>
                <c:formatCode>General</c:formatCode>
                <c:ptCount val="76"/>
                <c:pt idx="0">
                  <c:v>12.66</c:v>
                </c:pt>
                <c:pt idx="1">
                  <c:v>13.86</c:v>
                </c:pt>
                <c:pt idx="2">
                  <c:v>16.79</c:v>
                </c:pt>
                <c:pt idx="3">
                  <c:v>20.010000000000002</c:v>
                </c:pt>
                <c:pt idx="4">
                  <c:v>23.13</c:v>
                </c:pt>
                <c:pt idx="5">
                  <c:v>25.94</c:v>
                </c:pt>
                <c:pt idx="6">
                  <c:v>29.11</c:v>
                </c:pt>
                <c:pt idx="7">
                  <c:v>31.62</c:v>
                </c:pt>
                <c:pt idx="8">
                  <c:v>33.85</c:v>
                </c:pt>
                <c:pt idx="9">
                  <c:v>36.229999999999997</c:v>
                </c:pt>
                <c:pt idx="10">
                  <c:v>38.54</c:v>
                </c:pt>
                <c:pt idx="11">
                  <c:v>39.94</c:v>
                </c:pt>
                <c:pt idx="12">
                  <c:v>42.05</c:v>
                </c:pt>
                <c:pt idx="13">
                  <c:v>43.96</c:v>
                </c:pt>
                <c:pt idx="14">
                  <c:v>45.36</c:v>
                </c:pt>
                <c:pt idx="15">
                  <c:v>46.45</c:v>
                </c:pt>
                <c:pt idx="16">
                  <c:v>48.39</c:v>
                </c:pt>
                <c:pt idx="17">
                  <c:v>50.3</c:v>
                </c:pt>
                <c:pt idx="18">
                  <c:v>51.31</c:v>
                </c:pt>
                <c:pt idx="19">
                  <c:v>52.45</c:v>
                </c:pt>
                <c:pt idx="20">
                  <c:v>53.85</c:v>
                </c:pt>
                <c:pt idx="21">
                  <c:v>54.03</c:v>
                </c:pt>
                <c:pt idx="22">
                  <c:v>53.22</c:v>
                </c:pt>
                <c:pt idx="23">
                  <c:v>53.34</c:v>
                </c:pt>
                <c:pt idx="24">
                  <c:v>54.74</c:v>
                </c:pt>
                <c:pt idx="25">
                  <c:v>55.36</c:v>
                </c:pt>
                <c:pt idx="26">
                  <c:v>54.46</c:v>
                </c:pt>
                <c:pt idx="27">
                  <c:v>54.59</c:v>
                </c:pt>
                <c:pt idx="28">
                  <c:v>55.68</c:v>
                </c:pt>
                <c:pt idx="29">
                  <c:v>56.09</c:v>
                </c:pt>
                <c:pt idx="30">
                  <c:v>55.3</c:v>
                </c:pt>
                <c:pt idx="31">
                  <c:v>55.28</c:v>
                </c:pt>
                <c:pt idx="32">
                  <c:v>56.11</c:v>
                </c:pt>
                <c:pt idx="33">
                  <c:v>56.82</c:v>
                </c:pt>
                <c:pt idx="34">
                  <c:v>55.72</c:v>
                </c:pt>
                <c:pt idx="35">
                  <c:v>55.27</c:v>
                </c:pt>
                <c:pt idx="36">
                  <c:v>56.48</c:v>
                </c:pt>
                <c:pt idx="37">
                  <c:v>56.97</c:v>
                </c:pt>
                <c:pt idx="38">
                  <c:v>55.85</c:v>
                </c:pt>
                <c:pt idx="39">
                  <c:v>55.92</c:v>
                </c:pt>
                <c:pt idx="40">
                  <c:v>57.09</c:v>
                </c:pt>
                <c:pt idx="41">
                  <c:v>57.18</c:v>
                </c:pt>
                <c:pt idx="42">
                  <c:v>56.34</c:v>
                </c:pt>
                <c:pt idx="43">
                  <c:v>56.24</c:v>
                </c:pt>
                <c:pt idx="44">
                  <c:v>57.08</c:v>
                </c:pt>
                <c:pt idx="45">
                  <c:v>57.42</c:v>
                </c:pt>
                <c:pt idx="46">
                  <c:v>56.47</c:v>
                </c:pt>
                <c:pt idx="47">
                  <c:v>56.38</c:v>
                </c:pt>
                <c:pt idx="48">
                  <c:v>57.41</c:v>
                </c:pt>
                <c:pt idx="49">
                  <c:v>57.42</c:v>
                </c:pt>
                <c:pt idx="50">
                  <c:v>56.48</c:v>
                </c:pt>
                <c:pt idx="51">
                  <c:v>56.53</c:v>
                </c:pt>
                <c:pt idx="52">
                  <c:v>57.37</c:v>
                </c:pt>
                <c:pt idx="53">
                  <c:v>57.28</c:v>
                </c:pt>
                <c:pt idx="54">
                  <c:v>56.4</c:v>
                </c:pt>
                <c:pt idx="55">
                  <c:v>56.79</c:v>
                </c:pt>
                <c:pt idx="56">
                  <c:v>58.04</c:v>
                </c:pt>
                <c:pt idx="57">
                  <c:v>57.33</c:v>
                </c:pt>
                <c:pt idx="58">
                  <c:v>56.46</c:v>
                </c:pt>
                <c:pt idx="59">
                  <c:v>57.37</c:v>
                </c:pt>
                <c:pt idx="60">
                  <c:v>57.9</c:v>
                </c:pt>
                <c:pt idx="61">
                  <c:v>56.98</c:v>
                </c:pt>
                <c:pt idx="62">
                  <c:v>56.7</c:v>
                </c:pt>
                <c:pt idx="63">
                  <c:v>57.86</c:v>
                </c:pt>
                <c:pt idx="64">
                  <c:v>57.93</c:v>
                </c:pt>
                <c:pt idx="65">
                  <c:v>56.64</c:v>
                </c:pt>
                <c:pt idx="66">
                  <c:v>57.16</c:v>
                </c:pt>
                <c:pt idx="67">
                  <c:v>58.27</c:v>
                </c:pt>
                <c:pt idx="68">
                  <c:v>57.65</c:v>
                </c:pt>
                <c:pt idx="69">
                  <c:v>56.63</c:v>
                </c:pt>
                <c:pt idx="70">
                  <c:v>57.34</c:v>
                </c:pt>
                <c:pt idx="71">
                  <c:v>58.14</c:v>
                </c:pt>
                <c:pt idx="72">
                  <c:v>57.55</c:v>
                </c:pt>
                <c:pt idx="73">
                  <c:v>56.93</c:v>
                </c:pt>
                <c:pt idx="74">
                  <c:v>57.85</c:v>
                </c:pt>
                <c:pt idx="75">
                  <c:v>58.43</c:v>
                </c:pt>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15</xdr:col>
          <xdr:colOff>409575</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 </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 </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 </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 </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 </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 </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 </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 </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 </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 </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 </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 </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 </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 </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 </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 </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 </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 </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194</xdr:row>
      <xdr:rowOff>0</xdr:rowOff>
    </xdr:from>
    <xdr:to>
      <xdr:col>24</xdr:col>
      <xdr:colOff>369794</xdr:colOff>
      <xdr:row>215</xdr:row>
      <xdr:rowOff>44823</xdr:rowOff>
    </xdr:to>
    <xdr:graphicFrame macro="">
      <xdr:nvGraphicFramePr>
        <xdr:cNvPr id="3" name="Graph80">
          <a:extLst>
            <a:ext uri="{FF2B5EF4-FFF2-40B4-BE49-F238E27FC236}">
              <a16:creationId xmlns:a16="http://schemas.microsoft.com/office/drawing/2014/main" id="{2AF06904-80E8-4BFB-AB23-D4BE386C9E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115</xdr:row>
      <xdr:rowOff>0</xdr:rowOff>
    </xdr:from>
    <xdr:to>
      <xdr:col>24</xdr:col>
      <xdr:colOff>369794</xdr:colOff>
      <xdr:row>134</xdr:row>
      <xdr:rowOff>179293</xdr:rowOff>
    </xdr:to>
    <xdr:graphicFrame macro="">
      <xdr:nvGraphicFramePr>
        <xdr:cNvPr id="3" name="Graph200">
          <a:extLst>
            <a:ext uri="{FF2B5EF4-FFF2-40B4-BE49-F238E27FC236}">
              <a16:creationId xmlns:a16="http://schemas.microsoft.com/office/drawing/2014/main" id="{3F167D79-F8C2-476E-A9FD-568B2C3AF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77</xdr:row>
      <xdr:rowOff>0</xdr:rowOff>
    </xdr:from>
    <xdr:to>
      <xdr:col>24</xdr:col>
      <xdr:colOff>371475</xdr:colOff>
      <xdr:row>98</xdr:row>
      <xdr:rowOff>9525</xdr:rowOff>
    </xdr:to>
    <xdr:graphicFrame macro="">
      <xdr:nvGraphicFramePr>
        <xdr:cNvPr id="3" name="Graph385">
          <a:extLst>
            <a:ext uri="{FF2B5EF4-FFF2-40B4-BE49-F238E27FC236}">
              <a16:creationId xmlns:a16="http://schemas.microsoft.com/office/drawing/2014/main" id="{FD32D846-638C-4E0F-B61F-F78D1F5B21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80</xdr:row>
      <xdr:rowOff>0</xdr:rowOff>
    </xdr:from>
    <xdr:to>
      <xdr:col>24</xdr:col>
      <xdr:colOff>369794</xdr:colOff>
      <xdr:row>101</xdr:row>
      <xdr:rowOff>44824</xdr:rowOff>
    </xdr:to>
    <xdr:graphicFrame macro="">
      <xdr:nvGraphicFramePr>
        <xdr:cNvPr id="3" name="Graph535">
          <a:extLst>
            <a:ext uri="{FF2B5EF4-FFF2-40B4-BE49-F238E27FC236}">
              <a16:creationId xmlns:a16="http://schemas.microsoft.com/office/drawing/2014/main" id="{753868C4-B456-4BEB-A4A1-3285E1A6BD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0</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0</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0</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0</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0</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0</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0</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0</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0</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0</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0</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0</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0</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0</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0</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0</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0</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0</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12</xdr:row>
      <xdr:rowOff>38099</xdr:rowOff>
    </xdr:from>
    <xdr:to>
      <xdr:col>12</xdr:col>
      <xdr:colOff>1038225</xdr:colOff>
      <xdr:row>34</xdr:row>
      <xdr:rowOff>180974</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2857499"/>
          <a:ext cx="5762625" cy="4352925"/>
          <a:chOff x="7058025" y="2857499"/>
          <a:chExt cx="5762625" cy="4352925"/>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352925"/>
            <a:chOff x="8605630" y="3404152"/>
            <a:chExt cx="4174435" cy="4232412"/>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232412"/>
              <a:chOff x="8605630" y="3404152"/>
              <a:chExt cx="4174435" cy="4232412"/>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3</a:t>
                    </a:fld>
                    <a:endParaRPr lang="fr-FR" sz="1100"/>
                  </a:p>
                </xdr:txBody>
              </xdr:sp>
              <xdr:sp macro="" textlink="$B$26">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4</a:t>
                    </a:fld>
                    <a:endParaRPr lang="fr-FR" sz="1100"/>
                  </a:p>
                </xdr:txBody>
              </xdr:sp>
              <xdr:sp macro="" textlink="$B$28">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6</a:t>
                    </a:fld>
                    <a:endParaRPr lang="fr-FR" sz="1100"/>
                  </a:p>
                </xdr:txBody>
              </xdr:sp>
              <xdr:sp macro="" textlink="$B$30">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8</a:t>
                    </a:fld>
                    <a:endParaRPr lang="fr-FR" sz="1100"/>
                  </a:p>
                </xdr:txBody>
              </xdr:sp>
              <xdr:sp macro="" textlink="$B$29">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7</a:t>
                    </a:fld>
                    <a:endParaRPr lang="fr-FR" sz="1100"/>
                  </a:p>
                </xdr:txBody>
              </xdr:sp>
              <xdr:sp macro="" textlink="$C$30">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8</a:t>
                    </a:fld>
                    <a:endParaRPr lang="fr-FR" sz="1100"/>
                  </a:p>
                </xdr:txBody>
              </xdr:sp>
              <xdr:sp macro="" textlink="$C$25">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3</a:t>
                    </a:fld>
                    <a:endParaRPr lang="fr-FR" sz="1100"/>
                  </a:p>
                </xdr:txBody>
              </xdr:sp>
              <xdr:sp macro="" textlink="$C$29">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7</a:t>
                    </a:fld>
                    <a:endParaRPr lang="fr-FR" sz="1100"/>
                  </a:p>
                </xdr:txBody>
              </xdr:sp>
              <xdr:sp macro="" textlink="$C$28">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6</a:t>
                    </a:fld>
                    <a:endParaRPr lang="fr-FR" sz="1100"/>
                  </a:p>
                </xdr:txBody>
              </xdr:sp>
              <xdr:sp macro="" textlink="$C$26">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4</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1</a:t>
                      </a:fld>
                      <a:endParaRPr lang="fr-FR" sz="1100"/>
                    </a:p>
                  </xdr:txBody>
                </xdr:sp>
                <xdr:sp macro="" textlink="$C$23">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1</a:t>
                      </a:fld>
                      <a:endParaRPr lang="fr-FR" sz="1100"/>
                    </a:p>
                  </xdr:txBody>
                </xdr:sp>
                <xdr:sp macro="" textlink="$B$24">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2</a:t>
                      </a:fld>
                      <a:endParaRPr lang="fr-FR" sz="1100"/>
                    </a:p>
                  </xdr:txBody>
                </xdr:sp>
                <xdr:sp macro="" textlink="$B$27">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5</a:t>
                      </a:fld>
                      <a:endParaRPr lang="fr-FR" sz="1100"/>
                    </a:p>
                  </xdr:txBody>
                </xdr:sp>
                <xdr:sp macro="" textlink="$B$31">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9</a:t>
                      </a:fld>
                      <a:endParaRPr lang="fr-FR" sz="1100" b="0" i="0" u="none" strike="noStrike">
                        <a:solidFill>
                          <a:srgbClr val="000000"/>
                        </a:solidFill>
                        <a:latin typeface="Calibri"/>
                        <a:ea typeface="+mn-ea"/>
                        <a:cs typeface="Calibri"/>
                      </a:endParaRPr>
                    </a:p>
                  </xdr:txBody>
                </xdr:sp>
                <xdr:sp macro="" textlink="$C$31">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9</a:t>
                      </a:fld>
                      <a:endParaRPr lang="fr-FR" sz="1100"/>
                    </a:p>
                  </xdr:txBody>
                </xdr:sp>
                <xdr:sp macro="" textlink="$C$27">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5</a:t>
                      </a:fld>
                      <a:endParaRPr lang="fr-FR" sz="1100"/>
                    </a:p>
                  </xdr:txBody>
                </xdr:sp>
                <xdr:sp macro="" textlink="$C$24">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2</a:t>
                      </a:fld>
                      <a:endParaRPr lang="fr-FR" sz="1100"/>
                    </a:p>
                  </xdr:txBody>
                </xdr:sp>
              </xdr:grpSp>
            </xdr:grpSp>
          </xdr:grpSp>
          <xdr:sp macro="" textlink="$B$23">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1</a:t>
                </a:fld>
                <a:endParaRPr lang="fr-FR" sz="1100"/>
              </a:p>
            </xdr:txBody>
          </xdr:sp>
          <xdr:sp macro="" textlink="$C$23">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1</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21</xdr:row>
      <xdr:rowOff>38100</xdr:rowOff>
    </xdr:from>
    <xdr:to>
      <xdr:col>11</xdr:col>
      <xdr:colOff>486134</xdr:colOff>
      <xdr:row>22</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16</xdr:row>
      <xdr:rowOff>123825</xdr:rowOff>
    </xdr:from>
    <xdr:to>
      <xdr:col>10</xdr:col>
      <xdr:colOff>523875</xdr:colOff>
      <xdr:row>18</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18</xdr:row>
      <xdr:rowOff>104775</xdr:rowOff>
    </xdr:from>
    <xdr:to>
      <xdr:col>10</xdr:col>
      <xdr:colOff>267059</xdr:colOff>
      <xdr:row>19</xdr:row>
      <xdr:rowOff>93163</xdr:rowOff>
    </xdr:to>
    <xdr:sp macro="" textlink="$B$32">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10</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18</xdr:row>
      <xdr:rowOff>104775</xdr:rowOff>
    </xdr:from>
    <xdr:to>
      <xdr:col>10</xdr:col>
      <xdr:colOff>476609</xdr:colOff>
      <xdr:row>19</xdr:row>
      <xdr:rowOff>93163</xdr:rowOff>
    </xdr:to>
    <xdr:sp macro="" textlink="$C$32">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10</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4</xdr:row>
          <xdr:rowOff>9525</xdr:rowOff>
        </xdr:from>
        <xdr:to>
          <xdr:col>12</xdr:col>
          <xdr:colOff>619125</xdr:colOff>
          <xdr:row>9</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0</xdr:colOff>
      <xdr:row>100</xdr:row>
      <xdr:rowOff>0</xdr:rowOff>
    </xdr:from>
    <xdr:to>
      <xdr:col>12</xdr:col>
      <xdr:colOff>104775</xdr:colOff>
      <xdr:row>120</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188</xdr:row>
      <xdr:rowOff>134711</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352925"/>
          <a:chOff x="7058025" y="2857499"/>
          <a:chExt cx="5762625" cy="4352925"/>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352925"/>
            <a:chOff x="8605630" y="3404152"/>
            <a:chExt cx="4174435" cy="4232412"/>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232412"/>
              <a:chOff x="8605630" y="3404152"/>
              <a:chExt cx="4174435" cy="4232412"/>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5">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3</a:t>
                    </a:fld>
                    <a:endParaRPr lang="fr-FR" sz="1100"/>
                  </a:p>
                </xdr:txBody>
              </xdr:sp>
              <xdr:sp macro="" textlink="Mesures_Ressuage_BCH!$B$26">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4</a:t>
                    </a:fld>
                    <a:endParaRPr lang="fr-FR" sz="1100"/>
                  </a:p>
                </xdr:txBody>
              </xdr:sp>
              <xdr:sp macro="" textlink="Mesures_Ressuage_BCH!$B$28">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6</a:t>
                    </a:fld>
                    <a:endParaRPr lang="fr-FR" sz="1100"/>
                  </a:p>
                </xdr:txBody>
              </xdr:sp>
              <xdr:sp macro="" textlink="Mesures_Ressuage_BCH!$B$30">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8</a:t>
                    </a:fld>
                    <a:endParaRPr lang="fr-FR" sz="1100"/>
                  </a:p>
                </xdr:txBody>
              </xdr:sp>
              <xdr:sp macro="" textlink="Mesures_Ressuage_BCH!$B$29">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7</a:t>
                    </a:fld>
                    <a:endParaRPr lang="fr-FR" sz="1100"/>
                  </a:p>
                </xdr:txBody>
              </xdr:sp>
              <xdr:sp macro="" textlink="Mesures_Ressuage_BCH!$C$30">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8</a:t>
                    </a:fld>
                    <a:endParaRPr lang="fr-FR" sz="1100"/>
                  </a:p>
                </xdr:txBody>
              </xdr:sp>
              <xdr:sp macro="" textlink="Mesures_Ressuage_BCH!$C$25">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3</a:t>
                    </a:fld>
                    <a:endParaRPr lang="fr-FR" sz="1100"/>
                  </a:p>
                </xdr:txBody>
              </xdr:sp>
              <xdr:sp macro="" textlink="Mesures_Ressuage_BCH!$C$29">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7</a:t>
                    </a:fld>
                    <a:endParaRPr lang="fr-FR" sz="1100"/>
                  </a:p>
                </xdr:txBody>
              </xdr:sp>
              <xdr:sp macro="" textlink="Mesures_Ressuage_BCH!$C$28">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6</a:t>
                    </a:fld>
                    <a:endParaRPr lang="fr-FR" sz="1100"/>
                  </a:p>
                </xdr:txBody>
              </xdr:sp>
              <xdr:sp macro="" textlink="Mesures_Ressuage_BCH!$C$26">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4</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3">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1</a:t>
                      </a:fld>
                      <a:endParaRPr lang="fr-FR" sz="1100"/>
                    </a:p>
                  </xdr:txBody>
                </xdr:sp>
                <xdr:sp macro="" textlink="Mesures_Ressuage_BCH!$C$23">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1</a:t>
                      </a:fld>
                      <a:endParaRPr lang="fr-FR" sz="1100"/>
                    </a:p>
                  </xdr:txBody>
                </xdr:sp>
                <xdr:sp macro="" textlink="Mesures_Ressuage_BCH!$B$24">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2</a:t>
                      </a:fld>
                      <a:endParaRPr lang="fr-FR" sz="1100"/>
                    </a:p>
                  </xdr:txBody>
                </xdr:sp>
                <xdr:sp macro="" textlink="Mesures_Ressuage_BCH!$B$27">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5</a:t>
                      </a:fld>
                      <a:endParaRPr lang="fr-FR" sz="1100"/>
                    </a:p>
                  </xdr:txBody>
                </xdr:sp>
                <xdr:sp macro="" textlink="Mesures_Ressuage_BCH!$B$31">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9</a:t>
                      </a:fld>
                      <a:endParaRPr lang="fr-FR" sz="1100" b="0" i="0" u="none" strike="noStrike">
                        <a:solidFill>
                          <a:srgbClr val="000000"/>
                        </a:solidFill>
                        <a:latin typeface="Calibri"/>
                        <a:ea typeface="+mn-ea"/>
                        <a:cs typeface="Calibri"/>
                      </a:endParaRPr>
                    </a:p>
                  </xdr:txBody>
                </xdr:sp>
                <xdr:sp macro="" textlink="Mesures_Ressuage_BCH!$C$31">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9</a:t>
                      </a:fld>
                      <a:endParaRPr lang="fr-FR" sz="1100"/>
                    </a:p>
                  </xdr:txBody>
                </xdr:sp>
                <xdr:sp macro="" textlink="Mesures_Ressuage_BCH!$C$27">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5</a:t>
                      </a:fld>
                      <a:endParaRPr lang="fr-FR" sz="1100"/>
                    </a:p>
                  </xdr:txBody>
                </xdr:sp>
                <xdr:sp macro="" textlink="Mesures_Ressuage_BCH!$C$24">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2</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2">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10</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2">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10</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EFA3CA32-7AAA-4634-8693-9D5D4E024A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82A80AE6-D149-4ABB-90D5-A1C60DA699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560</xdr:colOff>
      <xdr:row>34</xdr:row>
      <xdr:rowOff>33618</xdr:rowOff>
    </xdr:to>
    <xdr:grpSp>
      <xdr:nvGrpSpPr>
        <xdr:cNvPr id="3112" name="Groupe 3111">
          <a:extLst>
            <a:ext uri="{FF2B5EF4-FFF2-40B4-BE49-F238E27FC236}">
              <a16:creationId xmlns:a16="http://schemas.microsoft.com/office/drawing/2014/main" id="{00000000-0008-0000-1600-0000280C0000}"/>
            </a:ext>
          </a:extLst>
        </xdr:cNvPr>
        <xdr:cNvGrpSpPr/>
      </xdr:nvGrpSpPr>
      <xdr:grpSpPr>
        <a:xfrm>
          <a:off x="6088379" y="3562350"/>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5" name="Ellipse 3114">
            <a:extLst>
              <a:ext uri="{FF2B5EF4-FFF2-40B4-BE49-F238E27FC236}">
                <a16:creationId xmlns:a16="http://schemas.microsoft.com/office/drawing/2014/main" id="{00000000-0008-0000-1600-00002B0C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428625</xdr:colOff>
          <xdr:row>5</xdr:row>
          <xdr:rowOff>95250</xdr:rowOff>
        </xdr:from>
        <xdr:to>
          <xdr:col>12</xdr:col>
          <xdr:colOff>904875</xdr:colOff>
          <xdr:row>12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9182C116-BF05-455B-9CF5-7BBAC9CEBC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616821"/>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6</xdr:row>
          <xdr:rowOff>123825</xdr:rowOff>
        </xdr:from>
        <xdr:to>
          <xdr:col>12</xdr:col>
          <xdr:colOff>895350</xdr:colOff>
          <xdr:row>13</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2B6A2AEC-E42A-4DD5-8EF6-C8D482811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BB35A122-F91C-4D22-B202-72376A9B90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8</xdr:row>
      <xdr:rowOff>104775</xdr:rowOff>
    </xdr:from>
    <xdr:to>
      <xdr:col>17</xdr:col>
      <xdr:colOff>380975</xdr:colOff>
      <xdr:row>35</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162175"/>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3">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5</xdr:row>
          <xdr:rowOff>38100</xdr:rowOff>
        </xdr:from>
        <xdr:to>
          <xdr:col>10</xdr:col>
          <xdr:colOff>781050</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26</xdr:row>
      <xdr:rowOff>0</xdr:rowOff>
    </xdr:from>
    <xdr:to>
      <xdr:col>16</xdr:col>
      <xdr:colOff>285749</xdr:colOff>
      <xdr:row>46</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24</xdr:row>
      <xdr:rowOff>190499</xdr:rowOff>
    </xdr:from>
    <xdr:to>
      <xdr:col>14</xdr:col>
      <xdr:colOff>647699</xdr:colOff>
      <xdr:row>46</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24</xdr:row>
      <xdr:rowOff>190499</xdr:rowOff>
    </xdr:from>
    <xdr:to>
      <xdr:col>14</xdr:col>
      <xdr:colOff>190500</xdr:colOff>
      <xdr:row>45</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3">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4">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t>2</a:t>
                    </a:fld>
                    <a:endParaRPr lang="fr-FR" sz="1100"/>
                  </a:p>
                </xdr:txBody>
              </xdr:sp>
              <xdr:sp macro="" textlink="Mesures_Omia!$A$35">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t>13</a:t>
                    </a:fld>
                    <a:endParaRPr lang="fr-FR" sz="1100"/>
                  </a:p>
                </xdr:txBody>
              </xdr:sp>
              <xdr:sp macro="" textlink="Mesures_Omia!$A$33">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t>11</a:t>
                    </a:fld>
                    <a:endParaRPr lang="fr-FR" sz="1100"/>
                  </a:p>
                </xdr:txBody>
              </xdr:sp>
              <xdr:sp macro="" textlink="Mesures_Omia!$A$32">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t>10</a:t>
                    </a:fld>
                    <a:endParaRPr lang="fr-FR" sz="1100"/>
                  </a:p>
                </xdr:txBody>
              </xdr:sp>
              <xdr:sp macro="" textlink="Mesures_Omia!$A$30">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t>8</a:t>
                    </a:fld>
                    <a:endParaRPr lang="fr-FR" sz="1100"/>
                  </a:p>
                </xdr:txBody>
              </xdr:sp>
              <xdr:sp macro="" textlink="Mesures_Omia!$A$31">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t>9</a:t>
                    </a:fld>
                    <a:endParaRPr lang="fr-FR" sz="1100"/>
                  </a:p>
                </xdr:txBody>
              </xdr:sp>
              <xdr:sp macro="" textlink="Mesures_Omia!$A$29">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t>7</a:t>
                    </a:fld>
                    <a:endParaRPr lang="fr-FR" sz="1100"/>
                  </a:p>
                </xdr:txBody>
              </xdr:sp>
              <xdr:sp macro="" textlink="Mesures_Omia!$A$28">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t>6</a:t>
                    </a:fld>
                    <a:endParaRPr lang="fr-FR" sz="1100"/>
                  </a:p>
                </xdr:txBody>
              </xdr:sp>
              <xdr:sp macro="" textlink="Mesures_Omia!$A$25">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t>3</a:t>
                    </a:fld>
                    <a:endParaRPr lang="fr-FR" sz="1100"/>
                  </a:p>
                </xdr:txBody>
              </xdr:sp>
              <xdr:sp macro="" textlink="Mesures_Omia!$A$26">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t>4</a:t>
                    </a:fld>
                    <a:endParaRPr lang="fr-FR" sz="1100"/>
                  </a:p>
                </xdr:txBody>
              </xdr:sp>
              <xdr:sp macro="" textlink="Mesures_Omia!$A$27">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4">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t>12</a:t>
                </a:fld>
                <a:endParaRPr lang="fr-FR" sz="1100"/>
              </a:p>
            </xdr:txBody>
          </xdr:sp>
        </xdr:grpSp>
        <xdr:sp macro="" textlink="Mesures_Omia!B23">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t> </a:t>
              </a:fld>
              <a:endParaRPr lang="fr-FR" sz="1100"/>
            </a:p>
          </xdr:txBody>
        </xdr:sp>
        <xdr:sp macro="" textlink="Mesures_Omia!B24">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t> </a:t>
              </a:fld>
              <a:endParaRPr lang="fr-FR" sz="1100"/>
            </a:p>
          </xdr:txBody>
        </xdr:sp>
        <xdr:sp macro="" textlink="Mesures_Omia!B25">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t> </a:t>
              </a:fld>
              <a:endParaRPr lang="fr-FR" sz="1100"/>
            </a:p>
          </xdr:txBody>
        </xdr:sp>
        <xdr:sp macro="" textlink="Mesures_Omia!B26">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t> </a:t>
              </a:fld>
              <a:endParaRPr lang="fr-FR" sz="1100"/>
            </a:p>
          </xdr:txBody>
        </xdr:sp>
        <xdr:sp macro="" textlink="Mesures_Omia!B27">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t> </a:t>
              </a:fld>
              <a:endParaRPr lang="fr-FR" sz="1100"/>
            </a:p>
          </xdr:txBody>
        </xdr:sp>
        <xdr:sp macro="" textlink="Mesures_Omia!B28">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t> </a:t>
              </a:fld>
              <a:endParaRPr lang="fr-FR" sz="1100"/>
            </a:p>
          </xdr:txBody>
        </xdr:sp>
        <xdr:sp macro="" textlink="Mesures_Omia!B29">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t> </a:t>
              </a:fld>
              <a:endParaRPr lang="fr-FR" sz="1100"/>
            </a:p>
          </xdr:txBody>
        </xdr:sp>
        <xdr:sp macro="" textlink="Mesures_Omia!B30">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t> </a:t>
              </a:fld>
              <a:endParaRPr lang="fr-FR" sz="1100"/>
            </a:p>
          </xdr:txBody>
        </xdr:sp>
        <xdr:sp macro="" textlink="Mesures_Omia!B31">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t> </a:t>
              </a:fld>
              <a:endParaRPr lang="fr-FR" sz="1100"/>
            </a:p>
          </xdr:txBody>
        </xdr:sp>
        <xdr:sp macro="" textlink="Mesures_Omia!B32">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t> </a:t>
              </a:fld>
              <a:endParaRPr lang="fr-FR" sz="1100"/>
            </a:p>
          </xdr:txBody>
        </xdr:sp>
        <xdr:sp macro="" textlink="Mesures_Omia!B33">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t> </a:t>
              </a:fld>
              <a:endParaRPr lang="fr-FR" sz="1100"/>
            </a:p>
          </xdr:txBody>
        </xdr:sp>
        <xdr:sp macro="" textlink="Mesures_Omia!B34">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t> </a:t>
              </a:fld>
              <a:endParaRPr lang="fr-FR" sz="1100"/>
            </a:p>
          </xdr:txBody>
        </xdr:sp>
        <xdr:sp macro="" textlink="Mesures_Omia!B35">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t> </a:t>
              </a:fld>
              <a:endParaRPr lang="fr-FR" sz="1100"/>
            </a:p>
          </xdr:txBody>
        </xdr:sp>
      </xdr:grpSp>
      <xdr:sp macro="" textlink="Mesures_Omia!C23">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t> </a:t>
            </a:fld>
            <a:endParaRPr lang="fr-FR" sz="1100"/>
          </a:p>
        </xdr:txBody>
      </xdr:sp>
      <xdr:sp macro="" textlink="Mesures_Omia!C24">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t> </a:t>
            </a:fld>
            <a:endParaRPr lang="fr-FR" sz="1100"/>
          </a:p>
        </xdr:txBody>
      </xdr:sp>
      <xdr:sp macro="" textlink="Mesures_Omia!C25">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t> </a:t>
            </a:fld>
            <a:endParaRPr lang="fr-FR" sz="1100"/>
          </a:p>
        </xdr:txBody>
      </xdr:sp>
      <xdr:sp macro="" textlink="Mesures_Omia!C26">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t> </a:t>
            </a:fld>
            <a:endParaRPr lang="fr-FR" sz="1100"/>
          </a:p>
        </xdr:txBody>
      </xdr:sp>
      <xdr:sp macro="" textlink="Mesures_Omia!C27">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t> </a:t>
            </a:fld>
            <a:endParaRPr lang="fr-FR" sz="1100"/>
          </a:p>
        </xdr:txBody>
      </xdr:sp>
      <xdr:sp macro="" textlink="Mesures_Omia!C29">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t> </a:t>
            </a:fld>
            <a:endParaRPr lang="fr-FR" sz="1100"/>
          </a:p>
        </xdr:txBody>
      </xdr:sp>
      <xdr:sp macro="" textlink="Mesures_Omia!C28">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t> </a:t>
            </a:fld>
            <a:endParaRPr lang="fr-FR" sz="1100"/>
          </a:p>
        </xdr:txBody>
      </xdr:sp>
      <xdr:sp macro="" textlink="Mesures_Omia!C31">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t> </a:t>
            </a:fld>
            <a:endParaRPr lang="fr-FR" sz="1100"/>
          </a:p>
        </xdr:txBody>
      </xdr:sp>
      <xdr:sp macro="" textlink="Mesures_Omia!C30">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t> </a:t>
            </a:fld>
            <a:endParaRPr lang="fr-FR" sz="1100"/>
          </a:p>
        </xdr:txBody>
      </xdr:sp>
      <xdr:sp macro="" textlink="Mesures_Omia!C32">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t> </a:t>
            </a:fld>
            <a:endParaRPr lang="fr-FR" sz="1100"/>
          </a:p>
        </xdr:txBody>
      </xdr:sp>
      <xdr:sp macro="" textlink="Mesures_Omia!C33">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t> </a:t>
            </a:fld>
            <a:endParaRPr lang="fr-FR" sz="1100"/>
          </a:p>
        </xdr:txBody>
      </xdr:sp>
      <xdr:sp macro="" textlink="Mesures_Omia!C34">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t> </a:t>
            </a:fld>
            <a:endParaRPr lang="fr-FR" sz="1100"/>
          </a:p>
        </xdr:txBody>
      </xdr:sp>
      <xdr:sp macro="" textlink="Mesures_Omia!C35">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7FCCA49C-C9BA-48BE-8D7F-42922177DC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7DE2ED67-D18C-48C0-B8A5-67FB76798E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6F7C8D31-CC8E-48B7-B3DB-2C1616B941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6</xdr:row>
          <xdr:rowOff>47625</xdr:rowOff>
        </xdr:from>
        <xdr:to>
          <xdr:col>13</xdr:col>
          <xdr:colOff>400050</xdr:colOff>
          <xdr:row>12</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12</xdr:col>
      <xdr:colOff>99393</xdr:colOff>
      <xdr:row>21</xdr:row>
      <xdr:rowOff>405847</xdr:rowOff>
    </xdr:from>
    <xdr:to>
      <xdr:col>12</xdr:col>
      <xdr:colOff>381001</xdr:colOff>
      <xdr:row>21</xdr:row>
      <xdr:rowOff>670891</xdr:rowOff>
    </xdr:to>
    <xdr:sp macro="" textlink="">
      <xdr:nvSpPr>
        <xdr:cNvPr id="17425" name="Étoile : 5 branches 17424">
          <a:extLst>
            <a:ext uri="{FF2B5EF4-FFF2-40B4-BE49-F238E27FC236}">
              <a16:creationId xmlns:a16="http://schemas.microsoft.com/office/drawing/2014/main" id="{00000000-0008-0000-2700-000011440000}"/>
            </a:ext>
          </a:extLst>
        </xdr:cNvPr>
        <xdr:cNvSpPr/>
      </xdr:nvSpPr>
      <xdr:spPr>
        <a:xfrm>
          <a:off x="11479697" y="4944717"/>
          <a:ext cx="281608" cy="265044"/>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9</xdr:col>
      <xdr:colOff>571500</xdr:colOff>
      <xdr:row>15</xdr:row>
      <xdr:rowOff>16565</xdr:rowOff>
    </xdr:from>
    <xdr:to>
      <xdr:col>12</xdr:col>
      <xdr:colOff>1399761</xdr:colOff>
      <xdr:row>34</xdr:row>
      <xdr:rowOff>41412</xdr:rowOff>
    </xdr:to>
    <xdr:grpSp>
      <xdr:nvGrpSpPr>
        <xdr:cNvPr id="17431" name="Groupe 17430">
          <a:extLst>
            <a:ext uri="{FF2B5EF4-FFF2-40B4-BE49-F238E27FC236}">
              <a16:creationId xmlns:a16="http://schemas.microsoft.com/office/drawing/2014/main" id="{00000000-0008-0000-2700-000017440000}"/>
            </a:ext>
          </a:extLst>
        </xdr:cNvPr>
        <xdr:cNvGrpSpPr/>
      </xdr:nvGrpSpPr>
      <xdr:grpSpPr>
        <a:xfrm>
          <a:off x="10527196" y="3752022"/>
          <a:ext cx="4174435" cy="3851412"/>
          <a:chOff x="8605630" y="3404152"/>
          <a:chExt cx="4174435" cy="4232412"/>
        </a:xfrm>
      </xdr:grpSpPr>
      <xdr:sp macro="" textlink="">
        <xdr:nvSpPr>
          <xdr:cNvPr id="17427" name="Organigramme : Connecteur 17426">
            <a:extLst>
              <a:ext uri="{FF2B5EF4-FFF2-40B4-BE49-F238E27FC236}">
                <a16:creationId xmlns:a16="http://schemas.microsoft.com/office/drawing/2014/main" id="{00000000-0008-0000-2700-00001344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430" name="Groupe 17429">
            <a:extLst>
              <a:ext uri="{FF2B5EF4-FFF2-40B4-BE49-F238E27FC236}">
                <a16:creationId xmlns:a16="http://schemas.microsoft.com/office/drawing/2014/main" id="{00000000-0008-0000-2700-000016440000}"/>
              </a:ext>
            </a:extLst>
          </xdr:cNvPr>
          <xdr:cNvGrpSpPr/>
        </xdr:nvGrpSpPr>
        <xdr:grpSpPr>
          <a:xfrm>
            <a:off x="8605630" y="3404152"/>
            <a:ext cx="4174435" cy="4232412"/>
            <a:chOff x="8605630" y="3404152"/>
            <a:chExt cx="4174435" cy="4232412"/>
          </a:xfrm>
        </xdr:grpSpPr>
        <xdr:grpSp>
          <xdr:nvGrpSpPr>
            <xdr:cNvPr id="17424" name="Groupe 17423">
              <a:extLst>
                <a:ext uri="{FF2B5EF4-FFF2-40B4-BE49-F238E27FC236}">
                  <a16:creationId xmlns:a16="http://schemas.microsoft.com/office/drawing/2014/main" id="{00000000-0008-0000-2700-000010440000}"/>
                </a:ext>
              </a:extLst>
            </xdr:cNvPr>
            <xdr:cNvGrpSpPr/>
          </xdr:nvGrpSpPr>
          <xdr:grpSpPr>
            <a:xfrm>
              <a:off x="9316277" y="3404152"/>
              <a:ext cx="3463788" cy="3327953"/>
              <a:chOff x="9092647" y="3420717"/>
              <a:chExt cx="3463788" cy="3327953"/>
            </a:xfrm>
          </xdr:grpSpPr>
          <xdr:sp macro="" textlink="">
            <xdr:nvSpPr>
              <xdr:cNvPr id="15" name="Organigramme : Connecteur 14">
                <a:extLst>
                  <a:ext uri="{FF2B5EF4-FFF2-40B4-BE49-F238E27FC236}">
                    <a16:creationId xmlns:a16="http://schemas.microsoft.com/office/drawing/2014/main" id="{00000000-0008-0000-2700-00000F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8" name="Organigramme : Connecteur 17">
                <a:extLst>
                  <a:ext uri="{FF2B5EF4-FFF2-40B4-BE49-F238E27FC236}">
                    <a16:creationId xmlns:a16="http://schemas.microsoft.com/office/drawing/2014/main" id="{00000000-0008-0000-2700-000012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0" name="Organigramme : Connecteur 19">
                <a:extLst>
                  <a:ext uri="{FF2B5EF4-FFF2-40B4-BE49-F238E27FC236}">
                    <a16:creationId xmlns:a16="http://schemas.microsoft.com/office/drawing/2014/main" id="{00000000-0008-0000-2700-000014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1" name="Organigramme : Connecteur 20">
                <a:extLst>
                  <a:ext uri="{FF2B5EF4-FFF2-40B4-BE49-F238E27FC236}">
                    <a16:creationId xmlns:a16="http://schemas.microsoft.com/office/drawing/2014/main" id="{00000000-0008-0000-2700-000015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2" name="Organigramme : Connecteur 21">
                <a:extLst>
                  <a:ext uri="{FF2B5EF4-FFF2-40B4-BE49-F238E27FC236}">
                    <a16:creationId xmlns:a16="http://schemas.microsoft.com/office/drawing/2014/main" id="{00000000-0008-0000-2700-000016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3" name="Organigramme : Connecteur 22">
                <a:extLst>
                  <a:ext uri="{FF2B5EF4-FFF2-40B4-BE49-F238E27FC236}">
                    <a16:creationId xmlns:a16="http://schemas.microsoft.com/office/drawing/2014/main" id="{00000000-0008-0000-2700-000017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23" name="Groupe 17422">
                <a:extLst>
                  <a:ext uri="{FF2B5EF4-FFF2-40B4-BE49-F238E27FC236}">
                    <a16:creationId xmlns:a16="http://schemas.microsoft.com/office/drawing/2014/main" id="{00000000-0008-0000-2700-00000F440000}"/>
                  </a:ext>
                </a:extLst>
              </xdr:cNvPr>
              <xdr:cNvGrpSpPr/>
            </xdr:nvGrpSpPr>
            <xdr:grpSpPr>
              <a:xfrm>
                <a:off x="9092647" y="3592995"/>
                <a:ext cx="3463788" cy="3155675"/>
                <a:chOff x="9092647" y="3592995"/>
                <a:chExt cx="3463788" cy="3155675"/>
              </a:xfrm>
            </xdr:grpSpPr>
            <xdr:sp macro="" textlink="">
              <xdr:nvSpPr>
                <xdr:cNvPr id="17" name="Organigramme : Connecteur 16">
                  <a:extLst>
                    <a:ext uri="{FF2B5EF4-FFF2-40B4-BE49-F238E27FC236}">
                      <a16:creationId xmlns:a16="http://schemas.microsoft.com/office/drawing/2014/main" id="{00000000-0008-0000-2700-000011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9" name="Organigramme : Connecteur 18">
                  <a:extLst>
                    <a:ext uri="{FF2B5EF4-FFF2-40B4-BE49-F238E27FC236}">
                      <a16:creationId xmlns:a16="http://schemas.microsoft.com/office/drawing/2014/main" id="{00000000-0008-0000-2700-000013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29" name="Organigramme : Connecteur 28">
                  <a:extLst>
                    <a:ext uri="{FF2B5EF4-FFF2-40B4-BE49-F238E27FC236}">
                      <a16:creationId xmlns:a16="http://schemas.microsoft.com/office/drawing/2014/main" id="{00000000-0008-0000-2700-00001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30" name="Organigramme : Connecteur 29">
                  <a:extLst>
                    <a:ext uri="{FF2B5EF4-FFF2-40B4-BE49-F238E27FC236}">
                      <a16:creationId xmlns:a16="http://schemas.microsoft.com/office/drawing/2014/main" id="{00000000-0008-0000-2700-00001E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7408" name="Organigramme : Connecteur 17407">
                  <a:extLst>
                    <a:ext uri="{FF2B5EF4-FFF2-40B4-BE49-F238E27FC236}">
                      <a16:creationId xmlns:a16="http://schemas.microsoft.com/office/drawing/2014/main" id="{00000000-0008-0000-2700-000000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7410" name="Organigramme : Connecteur 17409">
                  <a:extLst>
                    <a:ext uri="{FF2B5EF4-FFF2-40B4-BE49-F238E27FC236}">
                      <a16:creationId xmlns:a16="http://schemas.microsoft.com/office/drawing/2014/main" id="{00000000-0008-0000-2700-000002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7412" name="Organigramme : Connecteur 17411">
                  <a:extLst>
                    <a:ext uri="{FF2B5EF4-FFF2-40B4-BE49-F238E27FC236}">
                      <a16:creationId xmlns:a16="http://schemas.microsoft.com/office/drawing/2014/main" id="{00000000-0008-0000-2700-000004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7413" name="Organigramme : Connecteur 17412">
                  <a:extLst>
                    <a:ext uri="{FF2B5EF4-FFF2-40B4-BE49-F238E27FC236}">
                      <a16:creationId xmlns:a16="http://schemas.microsoft.com/office/drawing/2014/main" id="{00000000-0008-0000-2700-000005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7416" name="Organigramme : Connecteur 17415">
                  <a:extLst>
                    <a:ext uri="{FF2B5EF4-FFF2-40B4-BE49-F238E27FC236}">
                      <a16:creationId xmlns:a16="http://schemas.microsoft.com/office/drawing/2014/main" id="{00000000-0008-0000-2700-000008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7417" name="Organigramme : Connecteur 17416">
                  <a:extLst>
                    <a:ext uri="{FF2B5EF4-FFF2-40B4-BE49-F238E27FC236}">
                      <a16:creationId xmlns:a16="http://schemas.microsoft.com/office/drawing/2014/main" id="{00000000-0008-0000-2700-000009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7418" name="Organigramme : Connecteur 17417">
                  <a:extLst>
                    <a:ext uri="{FF2B5EF4-FFF2-40B4-BE49-F238E27FC236}">
                      <a16:creationId xmlns:a16="http://schemas.microsoft.com/office/drawing/2014/main" id="{00000000-0008-0000-2700-00000A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7420" name="Organigramme : Connecteur 17419">
                  <a:extLst>
                    <a:ext uri="{FF2B5EF4-FFF2-40B4-BE49-F238E27FC236}">
                      <a16:creationId xmlns:a16="http://schemas.microsoft.com/office/drawing/2014/main" id="{00000000-0008-0000-2700-00000C4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7422" name="Groupe 17421">
                  <a:extLst>
                    <a:ext uri="{FF2B5EF4-FFF2-40B4-BE49-F238E27FC236}">
                      <a16:creationId xmlns:a16="http://schemas.microsoft.com/office/drawing/2014/main" id="{00000000-0008-0000-2700-00000E440000}"/>
                    </a:ext>
                  </a:extLst>
                </xdr:cNvPr>
                <xdr:cNvGrpSpPr/>
              </xdr:nvGrpSpPr>
              <xdr:grpSpPr>
                <a:xfrm>
                  <a:off x="9230139" y="3592995"/>
                  <a:ext cx="3326296" cy="2792482"/>
                  <a:chOff x="9230139" y="3592995"/>
                  <a:chExt cx="3326296" cy="2792482"/>
                </a:xfrm>
              </xdr:grpSpPr>
              <xdr:grpSp>
                <xdr:nvGrpSpPr>
                  <xdr:cNvPr id="14" name="Groupe 13">
                    <a:extLst>
                      <a:ext uri="{FF2B5EF4-FFF2-40B4-BE49-F238E27FC236}">
                        <a16:creationId xmlns:a16="http://schemas.microsoft.com/office/drawing/2014/main" id="{00000000-0008-0000-2700-00000E000000}"/>
                      </a:ext>
                    </a:extLst>
                  </xdr:cNvPr>
                  <xdr:cNvGrpSpPr/>
                </xdr:nvGrpSpPr>
                <xdr:grpSpPr>
                  <a:xfrm>
                    <a:off x="9310480" y="3635237"/>
                    <a:ext cx="2949367" cy="2750240"/>
                    <a:chOff x="9320893" y="3638550"/>
                    <a:chExt cx="2950550" cy="2755446"/>
                  </a:xfrm>
                </xdr:grpSpPr>
                <xdr:sp macro="" textlink="">
                  <xdr:nvSpPr>
                    <xdr:cNvPr id="4" name="Cube 3">
                      <a:extLst>
                        <a:ext uri="{FF2B5EF4-FFF2-40B4-BE49-F238E27FC236}">
                          <a16:creationId xmlns:a16="http://schemas.microsoft.com/office/drawing/2014/main" id="{00000000-0008-0000-2700-000004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 name="Connecteur droit 5">
                      <a:extLst>
                        <a:ext uri="{FF2B5EF4-FFF2-40B4-BE49-F238E27FC236}">
                          <a16:creationId xmlns:a16="http://schemas.microsoft.com/office/drawing/2014/main" id="{00000000-0008-0000-2700-000006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Connecteur droit 9">
                      <a:extLst>
                        <a:ext uri="{FF2B5EF4-FFF2-40B4-BE49-F238E27FC236}">
                          <a16:creationId xmlns:a16="http://schemas.microsoft.com/office/drawing/2014/main" id="{00000000-0008-0000-2700-00000A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 name="Connecteur droit 12">
                      <a:extLst>
                        <a:ext uri="{FF2B5EF4-FFF2-40B4-BE49-F238E27FC236}">
                          <a16:creationId xmlns:a16="http://schemas.microsoft.com/office/drawing/2014/main" id="{00000000-0008-0000-2700-00000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24" name="Organigramme : Connecteur 23">
                    <a:extLst>
                      <a:ext uri="{FF2B5EF4-FFF2-40B4-BE49-F238E27FC236}">
                        <a16:creationId xmlns:a16="http://schemas.microsoft.com/office/drawing/2014/main" id="{00000000-0008-0000-2700-000018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5" name="Organigramme : Connecteur 24">
                    <a:extLst>
                      <a:ext uri="{FF2B5EF4-FFF2-40B4-BE49-F238E27FC236}">
                        <a16:creationId xmlns:a16="http://schemas.microsoft.com/office/drawing/2014/main" id="{00000000-0008-0000-2700-000019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28" name="Organigramme : Connecteur 27">
                    <a:extLst>
                      <a:ext uri="{FF2B5EF4-FFF2-40B4-BE49-F238E27FC236}">
                        <a16:creationId xmlns:a16="http://schemas.microsoft.com/office/drawing/2014/main" id="{00000000-0008-0000-2700-00001C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31" name="Organigramme : Connecteur 30">
                    <a:extLst>
                      <a:ext uri="{FF2B5EF4-FFF2-40B4-BE49-F238E27FC236}">
                        <a16:creationId xmlns:a16="http://schemas.microsoft.com/office/drawing/2014/main" id="{00000000-0008-0000-2700-00001F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7411" name="Organigramme : Connecteur 17410">
                    <a:extLst>
                      <a:ext uri="{FF2B5EF4-FFF2-40B4-BE49-F238E27FC236}">
                        <a16:creationId xmlns:a16="http://schemas.microsoft.com/office/drawing/2014/main" id="{00000000-0008-0000-2700-000003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7415" name="Organigramme : Connecteur 17414">
                    <a:extLst>
                      <a:ext uri="{FF2B5EF4-FFF2-40B4-BE49-F238E27FC236}">
                        <a16:creationId xmlns:a16="http://schemas.microsoft.com/office/drawing/2014/main" id="{00000000-0008-0000-2700-000007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7419" name="Organigramme : Connecteur 17418">
                    <a:extLst>
                      <a:ext uri="{FF2B5EF4-FFF2-40B4-BE49-F238E27FC236}">
                        <a16:creationId xmlns:a16="http://schemas.microsoft.com/office/drawing/2014/main" id="{00000000-0008-0000-2700-00000B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7421" name="Organigramme : Connecteur 17420">
                    <a:extLst>
                      <a:ext uri="{FF2B5EF4-FFF2-40B4-BE49-F238E27FC236}">
                        <a16:creationId xmlns:a16="http://schemas.microsoft.com/office/drawing/2014/main" id="{00000000-0008-0000-2700-00000D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7426" name="Organigramme : Connecteur 17425">
              <a:extLst>
                <a:ext uri="{FF2B5EF4-FFF2-40B4-BE49-F238E27FC236}">
                  <a16:creationId xmlns:a16="http://schemas.microsoft.com/office/drawing/2014/main" id="{00000000-0008-0000-2700-00001244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7428" name="Organigramme : Connecteur 17427">
              <a:extLst>
                <a:ext uri="{FF2B5EF4-FFF2-40B4-BE49-F238E27FC236}">
                  <a16:creationId xmlns:a16="http://schemas.microsoft.com/office/drawing/2014/main" id="{00000000-0008-0000-2700-00001444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7429" name="ZoneTexte 17428">
              <a:extLst>
                <a:ext uri="{FF2B5EF4-FFF2-40B4-BE49-F238E27FC236}">
                  <a16:creationId xmlns:a16="http://schemas.microsoft.com/office/drawing/2014/main" id="{00000000-0008-0000-2700-00001544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7</xdr:col>
      <xdr:colOff>86591</xdr:colOff>
      <xdr:row>158</xdr:row>
      <xdr:rowOff>259773</xdr:rowOff>
    </xdr:from>
    <xdr:to>
      <xdr:col>11</xdr:col>
      <xdr:colOff>883227</xdr:colOff>
      <xdr:row>182</xdr:row>
      <xdr:rowOff>51956</xdr:rowOff>
    </xdr:to>
    <xdr:grpSp>
      <xdr:nvGrpSpPr>
        <xdr:cNvPr id="18" name="Groupe 17">
          <a:extLst>
            <a:ext uri="{FF2B5EF4-FFF2-40B4-BE49-F238E27FC236}">
              <a16:creationId xmlns:a16="http://schemas.microsoft.com/office/drawing/2014/main" id="{00000000-0008-0000-2E00-000012000000}"/>
            </a:ext>
          </a:extLst>
        </xdr:cNvPr>
        <xdr:cNvGrpSpPr/>
      </xdr:nvGrpSpPr>
      <xdr:grpSpPr>
        <a:xfrm>
          <a:off x="16306305" y="34835523"/>
          <a:ext cx="5518315" cy="4663540"/>
          <a:chOff x="8605630" y="3404152"/>
          <a:chExt cx="4174435" cy="4232412"/>
        </a:xfrm>
      </xdr:grpSpPr>
      <xdr:sp macro="" textlink="">
        <xdr:nvSpPr>
          <xdr:cNvPr id="19" name="Organigramme : Connecteur 18">
            <a:extLst>
              <a:ext uri="{FF2B5EF4-FFF2-40B4-BE49-F238E27FC236}">
                <a16:creationId xmlns:a16="http://schemas.microsoft.com/office/drawing/2014/main" id="{00000000-0008-0000-2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2E00-000014000000}"/>
              </a:ext>
            </a:extLst>
          </xdr:cNvPr>
          <xdr:cNvGrpSpPr/>
        </xdr:nvGrpSpPr>
        <xdr:grpSpPr>
          <a:xfrm>
            <a:off x="8605630" y="3404152"/>
            <a:ext cx="4174435" cy="4232412"/>
            <a:chOff x="8605630" y="3404152"/>
            <a:chExt cx="4174435" cy="4232412"/>
          </a:xfrm>
        </xdr:grpSpPr>
        <xdr:grpSp>
          <xdr:nvGrpSpPr>
            <xdr:cNvPr id="21" name="Groupe 20">
              <a:extLst>
                <a:ext uri="{FF2B5EF4-FFF2-40B4-BE49-F238E27FC236}">
                  <a16:creationId xmlns:a16="http://schemas.microsoft.com/office/drawing/2014/main" id="{00000000-0008-0000-2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2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2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2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2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2E00-00001F000000}"/>
                  </a:ext>
                </a:extLst>
              </xdr:cNvPr>
              <xdr:cNvGrpSpPr/>
            </xdr:nvGrpSpPr>
            <xdr:grpSpPr>
              <a:xfrm>
                <a:off x="9092647" y="3592995"/>
                <a:ext cx="3463788" cy="3155675"/>
                <a:chOff x="9092647" y="3592995"/>
                <a:chExt cx="3463788" cy="3155675"/>
              </a:xfrm>
            </xdr:grpSpPr>
            <xdr:sp macro="" textlink="">
              <xdr:nvSpPr>
                <xdr:cNvPr id="96" name="Organigramme : Connecteur 95">
                  <a:extLst>
                    <a:ext uri="{FF2B5EF4-FFF2-40B4-BE49-F238E27FC236}">
                      <a16:creationId xmlns:a16="http://schemas.microsoft.com/office/drawing/2014/main" id="{00000000-0008-0000-2E00-00006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97" name="Organigramme : Connecteur 96">
                  <a:extLst>
                    <a:ext uri="{FF2B5EF4-FFF2-40B4-BE49-F238E27FC236}">
                      <a16:creationId xmlns:a16="http://schemas.microsoft.com/office/drawing/2014/main" id="{00000000-0008-0000-2E00-00006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98" name="Organigramme : Connecteur 97">
                  <a:extLst>
                    <a:ext uri="{FF2B5EF4-FFF2-40B4-BE49-F238E27FC236}">
                      <a16:creationId xmlns:a16="http://schemas.microsoft.com/office/drawing/2014/main" id="{00000000-0008-0000-2E00-00006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99" name="Organigramme : Connecteur 98">
                  <a:extLst>
                    <a:ext uri="{FF2B5EF4-FFF2-40B4-BE49-F238E27FC236}">
                      <a16:creationId xmlns:a16="http://schemas.microsoft.com/office/drawing/2014/main" id="{00000000-0008-0000-2E00-00006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00" name="Organigramme : Connecteur 99">
                  <a:extLst>
                    <a:ext uri="{FF2B5EF4-FFF2-40B4-BE49-F238E27FC236}">
                      <a16:creationId xmlns:a16="http://schemas.microsoft.com/office/drawing/2014/main" id="{00000000-0008-0000-2E00-00006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01" name="Organigramme : Connecteur 100">
                  <a:extLst>
                    <a:ext uri="{FF2B5EF4-FFF2-40B4-BE49-F238E27FC236}">
                      <a16:creationId xmlns:a16="http://schemas.microsoft.com/office/drawing/2014/main" id="{00000000-0008-0000-2E00-00006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02" name="Organigramme : Connecteur 101">
                  <a:extLst>
                    <a:ext uri="{FF2B5EF4-FFF2-40B4-BE49-F238E27FC236}">
                      <a16:creationId xmlns:a16="http://schemas.microsoft.com/office/drawing/2014/main" id="{00000000-0008-0000-2E00-00006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03" name="Organigramme : Connecteur 102">
                  <a:extLst>
                    <a:ext uri="{FF2B5EF4-FFF2-40B4-BE49-F238E27FC236}">
                      <a16:creationId xmlns:a16="http://schemas.microsoft.com/office/drawing/2014/main" id="{00000000-0008-0000-2E00-00006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04" name="Organigramme : Connecteur 103">
                  <a:extLst>
                    <a:ext uri="{FF2B5EF4-FFF2-40B4-BE49-F238E27FC236}">
                      <a16:creationId xmlns:a16="http://schemas.microsoft.com/office/drawing/2014/main" id="{00000000-0008-0000-2E00-00006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05" name="Organigramme : Connecteur 104">
                  <a:extLst>
                    <a:ext uri="{FF2B5EF4-FFF2-40B4-BE49-F238E27FC236}">
                      <a16:creationId xmlns:a16="http://schemas.microsoft.com/office/drawing/2014/main" id="{00000000-0008-0000-2E00-00006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06" name="Organigramme : Connecteur 105">
                  <a:extLst>
                    <a:ext uri="{FF2B5EF4-FFF2-40B4-BE49-F238E27FC236}">
                      <a16:creationId xmlns:a16="http://schemas.microsoft.com/office/drawing/2014/main" id="{00000000-0008-0000-2E00-00006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07" name="Organigramme : Connecteur 106">
                  <a:extLst>
                    <a:ext uri="{FF2B5EF4-FFF2-40B4-BE49-F238E27FC236}">
                      <a16:creationId xmlns:a16="http://schemas.microsoft.com/office/drawing/2014/main" id="{00000000-0008-0000-2E00-00006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08" name="Groupe 107">
                  <a:extLst>
                    <a:ext uri="{FF2B5EF4-FFF2-40B4-BE49-F238E27FC236}">
                      <a16:creationId xmlns:a16="http://schemas.microsoft.com/office/drawing/2014/main" id="{00000000-0008-0000-2E00-00006C000000}"/>
                    </a:ext>
                  </a:extLst>
                </xdr:cNvPr>
                <xdr:cNvGrpSpPr/>
              </xdr:nvGrpSpPr>
              <xdr:grpSpPr>
                <a:xfrm>
                  <a:off x="9230139" y="3592995"/>
                  <a:ext cx="3326296" cy="2792482"/>
                  <a:chOff x="9230139" y="3592995"/>
                  <a:chExt cx="3326296" cy="2792482"/>
                </a:xfrm>
              </xdr:grpSpPr>
              <xdr:grpSp>
                <xdr:nvGrpSpPr>
                  <xdr:cNvPr id="109" name="Groupe 108">
                    <a:extLst>
                      <a:ext uri="{FF2B5EF4-FFF2-40B4-BE49-F238E27FC236}">
                        <a16:creationId xmlns:a16="http://schemas.microsoft.com/office/drawing/2014/main" id="{00000000-0008-0000-2E00-00006D000000}"/>
                      </a:ext>
                    </a:extLst>
                  </xdr:cNvPr>
                  <xdr:cNvGrpSpPr/>
                </xdr:nvGrpSpPr>
                <xdr:grpSpPr>
                  <a:xfrm>
                    <a:off x="9310480" y="3635237"/>
                    <a:ext cx="2949367" cy="2750240"/>
                    <a:chOff x="9320893" y="3638550"/>
                    <a:chExt cx="2950550" cy="2755446"/>
                  </a:xfrm>
                </xdr:grpSpPr>
                <xdr:sp macro="" textlink="">
                  <xdr:nvSpPr>
                    <xdr:cNvPr id="122" name="Cube 121">
                      <a:extLst>
                        <a:ext uri="{FF2B5EF4-FFF2-40B4-BE49-F238E27FC236}">
                          <a16:creationId xmlns:a16="http://schemas.microsoft.com/office/drawing/2014/main" id="{00000000-0008-0000-2E00-00007A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23" name="Connecteur droit 122">
                      <a:extLst>
                        <a:ext uri="{FF2B5EF4-FFF2-40B4-BE49-F238E27FC236}">
                          <a16:creationId xmlns:a16="http://schemas.microsoft.com/office/drawing/2014/main" id="{00000000-0008-0000-2E00-00007B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4" name="Connecteur droit 123">
                      <a:extLst>
                        <a:ext uri="{FF2B5EF4-FFF2-40B4-BE49-F238E27FC236}">
                          <a16:creationId xmlns:a16="http://schemas.microsoft.com/office/drawing/2014/main" id="{00000000-0008-0000-2E00-00007C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5" name="Connecteur droit 124">
                      <a:extLst>
                        <a:ext uri="{FF2B5EF4-FFF2-40B4-BE49-F238E27FC236}">
                          <a16:creationId xmlns:a16="http://schemas.microsoft.com/office/drawing/2014/main" id="{00000000-0008-0000-2E00-00007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110" name="Organigramme : Connecteur 109">
                    <a:extLst>
                      <a:ext uri="{FF2B5EF4-FFF2-40B4-BE49-F238E27FC236}">
                        <a16:creationId xmlns:a16="http://schemas.microsoft.com/office/drawing/2014/main" id="{00000000-0008-0000-2E00-00006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11" name="Organigramme : Connecteur 110">
                    <a:extLst>
                      <a:ext uri="{FF2B5EF4-FFF2-40B4-BE49-F238E27FC236}">
                        <a16:creationId xmlns:a16="http://schemas.microsoft.com/office/drawing/2014/main" id="{00000000-0008-0000-2E00-00006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116" name="Organigramme : Connecteur 115">
                    <a:extLst>
                      <a:ext uri="{FF2B5EF4-FFF2-40B4-BE49-F238E27FC236}">
                        <a16:creationId xmlns:a16="http://schemas.microsoft.com/office/drawing/2014/main" id="{00000000-0008-0000-2E00-000074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117" name="Organigramme : Connecteur 116">
                    <a:extLst>
                      <a:ext uri="{FF2B5EF4-FFF2-40B4-BE49-F238E27FC236}">
                        <a16:creationId xmlns:a16="http://schemas.microsoft.com/office/drawing/2014/main" id="{00000000-0008-0000-2E00-000075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18" name="Organigramme : Connecteur 117">
                    <a:extLst>
                      <a:ext uri="{FF2B5EF4-FFF2-40B4-BE49-F238E27FC236}">
                        <a16:creationId xmlns:a16="http://schemas.microsoft.com/office/drawing/2014/main" id="{00000000-0008-0000-2E00-000076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19" name="Organigramme : Connecteur 118">
                    <a:extLst>
                      <a:ext uri="{FF2B5EF4-FFF2-40B4-BE49-F238E27FC236}">
                        <a16:creationId xmlns:a16="http://schemas.microsoft.com/office/drawing/2014/main" id="{00000000-0008-0000-2E00-000077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20" name="Organigramme : Connecteur 119">
                    <a:extLst>
                      <a:ext uri="{FF2B5EF4-FFF2-40B4-BE49-F238E27FC236}">
                        <a16:creationId xmlns:a16="http://schemas.microsoft.com/office/drawing/2014/main" id="{00000000-0008-0000-2E00-000078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21" name="Organigramme : Connecteur 120">
                    <a:extLst>
                      <a:ext uri="{FF2B5EF4-FFF2-40B4-BE49-F238E27FC236}">
                        <a16:creationId xmlns:a16="http://schemas.microsoft.com/office/drawing/2014/main" id="{00000000-0008-0000-2E00-000079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22" name="Organigramme : Connecteur 21">
              <a:extLst>
                <a:ext uri="{FF2B5EF4-FFF2-40B4-BE49-F238E27FC236}">
                  <a16:creationId xmlns:a16="http://schemas.microsoft.com/office/drawing/2014/main" id="{00000000-0008-0000-2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3" name="Organigramme : Connecteur 22">
              <a:extLst>
                <a:ext uri="{FF2B5EF4-FFF2-40B4-BE49-F238E27FC236}">
                  <a16:creationId xmlns:a16="http://schemas.microsoft.com/office/drawing/2014/main" id="{00000000-0008-0000-2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2E00-000018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3E2C5B3C-C283-40F7-8DFC-D8CE9B9A78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38F71431-32A3-44BB-9D8A-D9277AC727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D5364D17-CCED-4EEA-A8D5-86E396ABE8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2" totalsRowShown="0" headerRowDxfId="186" dataDxfId="107">
  <autoFilter ref="A1:J2" xr:uid="{A3220407-6199-4411-81EC-9706C9B63A31}"/>
  <tableColumns count="10">
    <tableColumn id="1" xr3:uid="{DBE75950-3ABD-4A1D-9011-6F9015F232BF}" name="Date/Heure" dataDxfId="108"/>
    <tableColumn id="2" xr3:uid="{C55189E6-EB7A-4F02-834F-ADD328F5A311}" name="Connecteur 1" dataDxfId="185"/>
    <tableColumn id="3" xr3:uid="{AADD39E2-C5B5-4662-BA30-1FC01B365A33}" name="Connecteur 2" dataDxfId="184"/>
    <tableColumn id="4" xr3:uid="{55D2ECF7-256E-43D6-ABE2-A34C1D38FD8B}" name="Connecteur 3" dataDxfId="183"/>
    <tableColumn id="5" xr3:uid="{4259CE7A-1E59-45E7-9429-5D38325EBE80}" name="Connecteur 4" dataDxfId="182"/>
    <tableColumn id="6" xr3:uid="{E1729946-1428-4D1E-8AFB-F56E6D9C3E06}" name="Connecteur 5" dataDxfId="181"/>
    <tableColumn id="7" xr3:uid="{22EB137D-2F68-4FE1-AE9D-17F3F12E0750}" name="Connecteur 6" dataDxfId="180"/>
    <tableColumn id="8" xr3:uid="{8B9A5FC0-4195-4BD8-8CC1-07D15523E90F}" name="Connecteur 7" dataDxfId="179"/>
    <tableColumn id="9" xr3:uid="{C2A42E8C-7D2F-421B-A94A-A0A14ACDD531}" name="Connecteur 8" dataDxfId="178"/>
    <tableColumn id="10" xr3:uid="{C4B56253-201C-4589-8B0B-C10719F1B09A}" name="Connecteur 9" dataDxfId="177"/>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2" totalsRowShown="0" headerRowDxfId="176" dataDxfId="105">
  <autoFilter ref="A1:J2" xr:uid="{7B58C036-BE9F-45DD-89F6-7FFAE7261A52}"/>
  <tableColumns count="10">
    <tableColumn id="1" xr3:uid="{15795ED4-7E87-4510-AEFE-F0B3FE88273C}" name="Date/Heure" dataDxfId="106"/>
    <tableColumn id="2" xr3:uid="{199D0401-3516-4DD3-A5BC-2448523826D1}" name="Connecteur 1" dataDxfId="175"/>
    <tableColumn id="3" xr3:uid="{FBBA962A-B1D9-48E4-A6C7-37DE165CB72D}" name="Connecteur 2" dataDxfId="174"/>
    <tableColumn id="4" xr3:uid="{36698CE3-1797-42AE-8637-1027FCE68C1A}" name="Connecteur 3" dataDxfId="173"/>
    <tableColumn id="5" xr3:uid="{C49670DB-2F39-4C20-92DB-8BA217F08381}" name="Connecteur 4" dataDxfId="172"/>
    <tableColumn id="6" xr3:uid="{07A77742-2E5F-475E-98E2-7261FBEC422F}" name="Connecteur 5" dataDxfId="171"/>
    <tableColumn id="7" xr3:uid="{53D69599-6677-4031-B112-D8B734960159}" name="Connecteur 6" dataDxfId="170"/>
    <tableColumn id="8" xr3:uid="{E7484F1D-635C-4532-B1E1-898BAFAC3FE6}" name="Connecteur 7" dataDxfId="169"/>
    <tableColumn id="9" xr3:uid="{5C273835-2721-4F07-A784-6B0F3DFDE661}" name="Connecteur 8" dataDxfId="168"/>
    <tableColumn id="10" xr3:uid="{90D15708-A48E-4326-BCC7-C6DA63B4B763}" name="Connecteur 9" dataDxfId="167"/>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2" totalsRowShown="0" headerRowDxfId="166" dataDxfId="103">
  <autoFilter ref="A1:J2" xr:uid="{AC535B93-49D5-4C0E-9722-3F012900CB12}"/>
  <tableColumns count="10">
    <tableColumn id="1" xr3:uid="{5BC26925-2B38-491F-AF44-61CA735710C4}" name="Date/Heure" dataDxfId="104"/>
    <tableColumn id="2" xr3:uid="{FC46513C-6376-44A5-890E-FB5B23A18B84}" name="Connecteur 1" dataDxfId="165"/>
    <tableColumn id="3" xr3:uid="{E9882541-6C92-48CF-BBC7-BB8247ED41B0}" name="Connecteur 2" dataDxfId="164"/>
    <tableColumn id="4" xr3:uid="{99ED9C46-0716-4B4B-BF48-44448B66E193}" name="Connecteur 3" dataDxfId="163"/>
    <tableColumn id="5" xr3:uid="{3785B769-5701-4A9A-A865-341BE198505D}" name="Connecteur 4" dataDxfId="162"/>
    <tableColumn id="6" xr3:uid="{DA59D146-9DB1-467E-B9D1-9E6D55D49F40}" name="Connecteur 5" dataDxfId="161"/>
    <tableColumn id="7" xr3:uid="{556C6545-1358-49CB-8B0F-45F46983EEEB}" name="Connecteur 6" dataDxfId="160"/>
    <tableColumn id="8" xr3:uid="{8C0AC3D9-ECE6-47EF-B270-1F97BBA3EBD9}" name="Connecteur 7" dataDxfId="159"/>
    <tableColumn id="9" xr3:uid="{C03CDE2E-7C8A-456B-AFBE-9A37784F1B3F}" name="Connecteur 8" dataDxfId="158"/>
    <tableColumn id="10" xr3:uid="{967ED64B-66B6-48F2-AA0A-7283094AA8E5}" name="Connecteur 9" dataDxfId="157"/>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2" totalsRowShown="0" headerRowDxfId="156" dataDxfId="101">
  <autoFilter ref="A1:J2" xr:uid="{0B03FD33-37C9-440C-98B6-D9930D8E7785}"/>
  <tableColumns count="10">
    <tableColumn id="1" xr3:uid="{02610730-F102-491A-8AA5-C83364B22E3F}" name="Date/Heure" dataDxfId="102"/>
    <tableColumn id="2" xr3:uid="{CADE2850-EDD1-4629-BFF9-DF3081FF980B}" name="Connecteur 1" dataDxfId="155"/>
    <tableColumn id="3" xr3:uid="{16CBF88E-ABF6-41AB-837C-AFDA5791D07D}" name="Connecteur 2" dataDxfId="154"/>
    <tableColumn id="4" xr3:uid="{9BF1A0F2-E85E-4539-ADB1-1D67D401844E}" name="Connecteur 3" dataDxfId="153"/>
    <tableColumn id="5" xr3:uid="{F7DF1D28-E04A-41CB-88F7-B2422BFAA719}" name="Connecteur 4" dataDxfId="152"/>
    <tableColumn id="6" xr3:uid="{78099FA6-73EA-4E8C-B270-77E5EF5CC531}" name="Connecteur 5" dataDxfId="151"/>
    <tableColumn id="7" xr3:uid="{3AED2108-0C09-4852-87C7-EC58FA856091}" name="Connecteur 6" dataDxfId="150"/>
    <tableColumn id="8" xr3:uid="{1610CFFF-D4E0-4DC6-B113-CC8D6B199E32}" name="Connecteur 7" dataDxfId="149"/>
    <tableColumn id="9" xr3:uid="{10030F88-C7B1-4A86-9248-380310E8ED75}" name="Connecteur 8" dataDxfId="148"/>
    <tableColumn id="10" xr3:uid="{9F3CD16B-A5BD-4789-8B18-A4B913D17EE2}" name="Connecteur 9" dataDxfId="147"/>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2" totalsRowShown="0" headerRowDxfId="146" dataDxfId="115">
  <autoFilter ref="A1:E2" xr:uid="{379CD2E1-AF7A-4C46-8E3C-ADBE233AE740}"/>
  <tableColumns count="5">
    <tableColumn id="1" xr3:uid="{9B884FF2-B992-49DC-9A46-4F8C53769A62}" name="Date/Heure" dataDxfId="116"/>
    <tableColumn id="2" xr3:uid="{1D504192-08F7-43DA-8A11-60D47A8A4CC9}" name="Pt Froid" dataDxfId="145"/>
    <tableColumn id="3" xr3:uid="{A410DC0A-6051-434D-9F5B-C203DF60BE17}" name="Regulation" dataDxfId="144"/>
    <tableColumn id="4" xr3:uid="{791EBD68-8612-4890-9FAD-4AE2064BF1C9}" name="Pt Chaud" dataDxfId="143"/>
    <tableColumn id="5" xr3:uid="{3DEE775C-E739-4CE1-A101-6A1312402D91}" name="Consigne T°" dataDxfId="142"/>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2" totalsRowShown="0" dataDxfId="113">
  <autoFilter ref="A1:E2" xr:uid="{A9EA353C-4D51-4794-8413-02ADDF49E149}"/>
  <tableColumns count="5">
    <tableColumn id="1" xr3:uid="{7379CADE-2609-47E7-A72F-E373C2BC43A0}" name="Date/Heure" dataDxfId="114"/>
    <tableColumn id="2" xr3:uid="{EA0BDD49-5C4C-4E3D-9D1A-E9EEF7880B5C}" name="Pt Froid" dataDxfId="141"/>
    <tableColumn id="3" xr3:uid="{367A1310-12FF-4590-B743-B04BB328514B}" name="Regulation" dataDxfId="140"/>
    <tableColumn id="4" xr3:uid="{8BDBEF48-B23A-48FE-9A71-B50F7728C4D5}" name="Pt Chaud" dataDxfId="139"/>
    <tableColumn id="5" xr3:uid="{55BC97C4-9E8C-4EDB-BD89-69FF260BF102}" name="Consigne T°" dataDxfId="138"/>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2" totalsRowShown="0" dataDxfId="111">
  <autoFilter ref="A1:E2" xr:uid="{D8D3FEF1-285E-4CEE-BFA9-1B473E0DA3BF}"/>
  <tableColumns count="5">
    <tableColumn id="1" xr3:uid="{E74DC693-A4DF-4531-A8AD-64477626BA48}" name="Date/Heure" dataDxfId="112"/>
    <tableColumn id="2" xr3:uid="{40E02439-7B43-4BDE-B79C-986D2B5E73EA}" name="Pt Froid" dataDxfId="137"/>
    <tableColumn id="3" xr3:uid="{1EEF40A1-882D-4642-89B0-A6CFDBBC02C3}" name="Regulation" dataDxfId="136"/>
    <tableColumn id="4" xr3:uid="{E825D205-23AD-42A0-9F41-2939BD7D4F9B}" name="Pt Chaud" dataDxfId="135"/>
    <tableColumn id="5" xr3:uid="{74DF8E94-3A8F-4556-A1EB-1D1F23F58804}" name="Consigne T°" dataDxfId="134"/>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2" totalsRowShown="0" dataDxfId="109">
  <autoFilter ref="A1:E2" xr:uid="{A0FBF2F2-4DCC-4307-AF98-C9FE32FE96DB}"/>
  <tableColumns count="5">
    <tableColumn id="1" xr3:uid="{D6F16877-04D9-4ABB-B134-2DE51D9B78FE}" name="Date/Heure" dataDxfId="110"/>
    <tableColumn id="2" xr3:uid="{D2566580-8B2F-4A0D-82CF-0C969AB1CBFB}" name="Pt Froid" dataDxfId="133"/>
    <tableColumn id="3" xr3:uid="{8CC81B64-B87F-4904-B484-27EE57536636}" name="Regulation" dataDxfId="132"/>
    <tableColumn id="4" xr3:uid="{A1C20226-B6E7-4C33-A8D1-4C78DC057BA4}" name="Pt Chaud" dataDxfId="131"/>
    <tableColumn id="5" xr3:uid="{044D41DC-25B1-4089-9A83-A965718F2C35}" name="Consigne T°" dataDxfId="130"/>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77" totalsRowShown="0">
  <autoFilter ref="A1:K77" xr:uid="{498CA035-7182-4959-95BD-969D4A12EFC9}"/>
  <tableColumns count="11">
    <tableColumn id="1" xr3:uid="{8ED4DD6E-1382-4B8A-88A5-3AC79DB516FD}" name="Date/Heure" dataDxfId="117"/>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29"/>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24"/>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28"/>
    <tableColumn id="8" xr3:uid="{D0E28A32-95DA-4050-AC7F-DF56082C1062}" name="Connecteur 7" dataDxfId="127"/>
    <tableColumn id="9" xr3:uid="{A5310FC2-C94B-4610-B3D3-B72F7C40F80F}" name="Connecteur 8" dataDxfId="126"/>
    <tableColumn id="10" xr3:uid="{5493D449-287B-46FD-90AB-57C33BC1800D}" name="Connecteur 9" dataDxfId="125"/>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23"/>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22"/>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21"/>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20"/>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19"/>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18"/>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19.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45329.342361111114</v>
      </c>
      <c r="C1">
        <v>11.96</v>
      </c>
      <c r="D1">
        <v>11.84</v>
      </c>
      <c r="E1">
        <v>11.85</v>
      </c>
      <c r="F1">
        <v>11.84</v>
      </c>
      <c r="G1">
        <v>12.3</v>
      </c>
      <c r="H1">
        <v>12.34</v>
      </c>
      <c r="I1">
        <v>12.42</v>
      </c>
      <c r="J1">
        <v>12.71</v>
      </c>
      <c r="K1">
        <v>13.33</v>
      </c>
      <c r="L1">
        <v>12.66</v>
      </c>
      <c r="M1">
        <v>-28.42</v>
      </c>
      <c r="N1">
        <v>-28.38</v>
      </c>
      <c r="O1">
        <v>31.28</v>
      </c>
    </row>
    <row r="2" spans="1:15" x14ac:dyDescent="0.25">
      <c r="A2" s="23">
        <v>45329.343055555553</v>
      </c>
      <c r="C2">
        <v>15.16</v>
      </c>
      <c r="D2">
        <v>14.2</v>
      </c>
      <c r="E2">
        <v>13.8</v>
      </c>
      <c r="F2">
        <v>14.06</v>
      </c>
      <c r="G2">
        <v>14.4</v>
      </c>
      <c r="H2">
        <v>15.87</v>
      </c>
      <c r="I2">
        <v>15.76</v>
      </c>
      <c r="J2">
        <v>14.12</v>
      </c>
      <c r="K2">
        <v>16.88</v>
      </c>
      <c r="L2">
        <v>13.86</v>
      </c>
      <c r="M2">
        <v>-29.16</v>
      </c>
      <c r="N2">
        <v>-29.07</v>
      </c>
      <c r="O2">
        <v>31.38</v>
      </c>
    </row>
    <row r="3" spans="1:15" x14ac:dyDescent="0.25">
      <c r="A3" s="23">
        <v>45329.34375</v>
      </c>
      <c r="C3">
        <v>18.93</v>
      </c>
      <c r="D3">
        <v>17.46</v>
      </c>
      <c r="E3">
        <v>16.68</v>
      </c>
      <c r="F3">
        <v>17.010000000000002</v>
      </c>
      <c r="G3">
        <v>17.82</v>
      </c>
      <c r="H3">
        <v>19.829999999999998</v>
      </c>
      <c r="I3">
        <v>19.7</v>
      </c>
      <c r="J3">
        <v>17.170000000000002</v>
      </c>
      <c r="K3">
        <v>21.6</v>
      </c>
      <c r="L3">
        <v>16.79</v>
      </c>
      <c r="M3">
        <v>-29.85</v>
      </c>
      <c r="N3">
        <v>-29.86</v>
      </c>
      <c r="O3">
        <v>33.090000000000003</v>
      </c>
    </row>
    <row r="4" spans="1:15" x14ac:dyDescent="0.25">
      <c r="A4" s="23">
        <v>45329.344444444447</v>
      </c>
      <c r="C4">
        <v>22.76</v>
      </c>
      <c r="D4">
        <v>20.43</v>
      </c>
      <c r="E4">
        <v>19.57</v>
      </c>
      <c r="F4">
        <v>20.16</v>
      </c>
      <c r="G4">
        <v>21.36</v>
      </c>
      <c r="H4">
        <v>23.76</v>
      </c>
      <c r="I4">
        <v>23.61</v>
      </c>
      <c r="J4">
        <v>20.22</v>
      </c>
      <c r="K4">
        <v>26.05</v>
      </c>
      <c r="L4">
        <v>20.010000000000002</v>
      </c>
      <c r="M4">
        <v>-30.3</v>
      </c>
      <c r="N4">
        <v>-29.63</v>
      </c>
      <c r="O4">
        <v>33.42</v>
      </c>
    </row>
    <row r="5" spans="1:15" x14ac:dyDescent="0.25">
      <c r="A5" s="23">
        <v>45329.345138888886</v>
      </c>
      <c r="C5">
        <v>26.45</v>
      </c>
      <c r="D5">
        <v>23.26</v>
      </c>
      <c r="E5">
        <v>22.51</v>
      </c>
      <c r="F5">
        <v>23.17</v>
      </c>
      <c r="G5">
        <v>24.73</v>
      </c>
      <c r="H5">
        <v>27.54</v>
      </c>
      <c r="I5">
        <v>27.36</v>
      </c>
      <c r="J5">
        <v>23.18</v>
      </c>
      <c r="K5">
        <v>30.14</v>
      </c>
      <c r="L5">
        <v>23.13</v>
      </c>
      <c r="M5">
        <v>-29.93</v>
      </c>
      <c r="N5">
        <v>-29.29</v>
      </c>
      <c r="O5">
        <v>47.65</v>
      </c>
    </row>
    <row r="6" spans="1:15" x14ac:dyDescent="0.25">
      <c r="A6" s="23">
        <v>45329.345833333333</v>
      </c>
      <c r="C6">
        <v>29.68</v>
      </c>
      <c r="D6">
        <v>26.69</v>
      </c>
      <c r="E6">
        <v>25.16</v>
      </c>
      <c r="F6">
        <v>26.04</v>
      </c>
      <c r="G6">
        <v>27.9</v>
      </c>
      <c r="H6">
        <v>31.03</v>
      </c>
      <c r="I6">
        <v>30.71</v>
      </c>
      <c r="J6">
        <v>26.49</v>
      </c>
      <c r="K6">
        <v>33.99</v>
      </c>
      <c r="L6">
        <v>25.94</v>
      </c>
      <c r="M6">
        <v>-29.74</v>
      </c>
      <c r="N6">
        <v>-29.01</v>
      </c>
      <c r="O6">
        <v>59.71</v>
      </c>
    </row>
    <row r="7" spans="1:15" x14ac:dyDescent="0.25">
      <c r="A7" s="23">
        <v>45329.34652777778</v>
      </c>
      <c r="C7">
        <v>33.04</v>
      </c>
      <c r="D7">
        <v>30.18</v>
      </c>
      <c r="E7">
        <v>27.96</v>
      </c>
      <c r="F7">
        <v>28.86</v>
      </c>
      <c r="G7">
        <v>31</v>
      </c>
      <c r="H7">
        <v>34.340000000000003</v>
      </c>
      <c r="I7">
        <v>33.92</v>
      </c>
      <c r="J7">
        <v>29.38</v>
      </c>
      <c r="K7">
        <v>37.44</v>
      </c>
      <c r="L7">
        <v>29.11</v>
      </c>
      <c r="M7">
        <v>-29.43</v>
      </c>
      <c r="N7">
        <v>-28.62</v>
      </c>
      <c r="O7">
        <v>59.84</v>
      </c>
    </row>
    <row r="8" spans="1:15" x14ac:dyDescent="0.25">
      <c r="A8" s="23">
        <v>45329.347222222219</v>
      </c>
      <c r="C8">
        <v>35.840000000000003</v>
      </c>
      <c r="D8">
        <v>33.020000000000003</v>
      </c>
      <c r="E8">
        <v>30.35</v>
      </c>
      <c r="F8">
        <v>31.39</v>
      </c>
      <c r="G8">
        <v>33.78</v>
      </c>
      <c r="H8">
        <v>37.31</v>
      </c>
      <c r="I8">
        <v>36.74</v>
      </c>
      <c r="J8">
        <v>31.97</v>
      </c>
      <c r="K8">
        <v>40.65</v>
      </c>
      <c r="L8">
        <v>31.62</v>
      </c>
      <c r="M8">
        <v>-29.02</v>
      </c>
      <c r="N8">
        <v>-28.28</v>
      </c>
      <c r="O8">
        <v>60.07</v>
      </c>
    </row>
    <row r="9" spans="1:15" x14ac:dyDescent="0.25">
      <c r="A9" s="23">
        <v>45329.347916666666</v>
      </c>
      <c r="C9">
        <v>38.520000000000003</v>
      </c>
      <c r="D9">
        <v>34.89</v>
      </c>
      <c r="E9">
        <v>32.82</v>
      </c>
      <c r="F9">
        <v>34.03</v>
      </c>
      <c r="G9">
        <v>36.450000000000003</v>
      </c>
      <c r="H9">
        <v>40.020000000000003</v>
      </c>
      <c r="I9">
        <v>39.46</v>
      </c>
      <c r="J9">
        <v>34.159999999999997</v>
      </c>
      <c r="K9">
        <v>43.42</v>
      </c>
      <c r="L9">
        <v>33.85</v>
      </c>
      <c r="M9">
        <v>-29.49</v>
      </c>
      <c r="N9">
        <v>-28.99</v>
      </c>
      <c r="O9">
        <v>59.35</v>
      </c>
    </row>
    <row r="10" spans="1:15" x14ac:dyDescent="0.25">
      <c r="A10" s="23">
        <v>45329.348611111112</v>
      </c>
      <c r="C10">
        <v>41.21</v>
      </c>
      <c r="D10">
        <v>37.909999999999997</v>
      </c>
      <c r="E10">
        <v>34.86</v>
      </c>
      <c r="F10">
        <v>36.04</v>
      </c>
      <c r="G10">
        <v>38.85</v>
      </c>
      <c r="H10">
        <v>42.63</v>
      </c>
      <c r="I10">
        <v>41.93</v>
      </c>
      <c r="J10">
        <v>36.89</v>
      </c>
      <c r="K10">
        <v>45.98</v>
      </c>
      <c r="L10">
        <v>36.229999999999997</v>
      </c>
      <c r="M10">
        <v>-29.93</v>
      </c>
      <c r="N10">
        <v>-29.39</v>
      </c>
      <c r="O10">
        <v>59.33</v>
      </c>
    </row>
    <row r="11" spans="1:15" x14ac:dyDescent="0.25">
      <c r="A11" s="23">
        <v>45329.349305555559</v>
      </c>
      <c r="C11">
        <v>43.32</v>
      </c>
      <c r="D11">
        <v>39.11</v>
      </c>
      <c r="E11">
        <v>37.35</v>
      </c>
      <c r="F11">
        <v>38.26</v>
      </c>
      <c r="G11">
        <v>41.06</v>
      </c>
      <c r="H11">
        <v>44.82</v>
      </c>
      <c r="I11">
        <v>44.09</v>
      </c>
      <c r="J11">
        <v>38.97</v>
      </c>
      <c r="K11">
        <v>48.24</v>
      </c>
      <c r="L11">
        <v>38.54</v>
      </c>
      <c r="M11">
        <v>-30.4</v>
      </c>
      <c r="N11">
        <v>-29.89</v>
      </c>
      <c r="O11">
        <v>59.14</v>
      </c>
    </row>
    <row r="12" spans="1:15" x14ac:dyDescent="0.25">
      <c r="A12" s="23">
        <v>45329.35</v>
      </c>
      <c r="C12">
        <v>45.5</v>
      </c>
      <c r="D12">
        <v>42.91</v>
      </c>
      <c r="E12">
        <v>39.15</v>
      </c>
      <c r="F12">
        <v>40.22</v>
      </c>
      <c r="G12">
        <v>43.2</v>
      </c>
      <c r="H12">
        <v>47.04</v>
      </c>
      <c r="I12">
        <v>46.15</v>
      </c>
      <c r="J12">
        <v>41.23</v>
      </c>
      <c r="K12">
        <v>50.68</v>
      </c>
      <c r="L12">
        <v>39.94</v>
      </c>
      <c r="M12">
        <v>-29.94</v>
      </c>
      <c r="N12">
        <v>-29.37</v>
      </c>
      <c r="O12">
        <v>59.25</v>
      </c>
    </row>
    <row r="13" spans="1:15" x14ac:dyDescent="0.25">
      <c r="A13" s="23">
        <v>45329.350694444445</v>
      </c>
      <c r="C13">
        <v>47.41</v>
      </c>
      <c r="D13">
        <v>43.4</v>
      </c>
      <c r="E13">
        <v>41.11</v>
      </c>
      <c r="F13">
        <v>42.07</v>
      </c>
      <c r="G13">
        <v>44.99</v>
      </c>
      <c r="H13">
        <v>48.93</v>
      </c>
      <c r="I13">
        <v>48.19</v>
      </c>
      <c r="J13">
        <v>43.05</v>
      </c>
      <c r="K13">
        <v>52.35</v>
      </c>
      <c r="L13">
        <v>42.05</v>
      </c>
      <c r="M13">
        <v>-29.43</v>
      </c>
      <c r="N13">
        <v>-28.71</v>
      </c>
      <c r="O13">
        <v>59.11</v>
      </c>
    </row>
    <row r="14" spans="1:15" x14ac:dyDescent="0.25">
      <c r="A14" s="23">
        <v>45329.351388888892</v>
      </c>
      <c r="C14">
        <v>49.31</v>
      </c>
      <c r="D14">
        <v>45.98</v>
      </c>
      <c r="E14">
        <v>42.64</v>
      </c>
      <c r="F14">
        <v>43.39</v>
      </c>
      <c r="G14">
        <v>46.71</v>
      </c>
      <c r="H14">
        <v>50.71</v>
      </c>
      <c r="I14">
        <v>49.91</v>
      </c>
      <c r="J14">
        <v>44.67</v>
      </c>
      <c r="K14">
        <v>54.32</v>
      </c>
      <c r="L14">
        <v>43.96</v>
      </c>
      <c r="M14">
        <v>-28.96</v>
      </c>
      <c r="N14">
        <v>-28.35</v>
      </c>
      <c r="O14">
        <v>59.03</v>
      </c>
    </row>
    <row r="15" spans="1:15" x14ac:dyDescent="0.25">
      <c r="A15" s="23">
        <v>45329.352083333331</v>
      </c>
      <c r="C15">
        <v>50.94</v>
      </c>
      <c r="D15">
        <v>46.8</v>
      </c>
      <c r="E15">
        <v>44.3</v>
      </c>
      <c r="F15">
        <v>44.97</v>
      </c>
      <c r="G15">
        <v>48.39</v>
      </c>
      <c r="H15">
        <v>52.4</v>
      </c>
      <c r="I15">
        <v>51.64</v>
      </c>
      <c r="J15">
        <v>45.9</v>
      </c>
      <c r="K15">
        <v>56.17</v>
      </c>
      <c r="L15">
        <v>45.36</v>
      </c>
      <c r="M15">
        <v>-29.28</v>
      </c>
      <c r="N15">
        <v>-28.58</v>
      </c>
      <c r="O15">
        <v>59.31</v>
      </c>
    </row>
    <row r="16" spans="1:15" x14ac:dyDescent="0.25">
      <c r="A16" s="23">
        <v>45329.352777777778</v>
      </c>
      <c r="C16">
        <v>52.48</v>
      </c>
      <c r="D16">
        <v>48.31</v>
      </c>
      <c r="E16">
        <v>45.8</v>
      </c>
      <c r="F16">
        <v>46.8</v>
      </c>
      <c r="G16">
        <v>50.01</v>
      </c>
      <c r="H16">
        <v>54</v>
      </c>
      <c r="I16">
        <v>53.35</v>
      </c>
      <c r="J16">
        <v>48.16</v>
      </c>
      <c r="K16">
        <v>57.86</v>
      </c>
      <c r="L16">
        <v>46.45</v>
      </c>
      <c r="M16">
        <v>-29.51</v>
      </c>
      <c r="N16">
        <v>-28.77</v>
      </c>
      <c r="O16">
        <v>59.33</v>
      </c>
    </row>
    <row r="17" spans="1:15" x14ac:dyDescent="0.25">
      <c r="A17" s="23">
        <v>45329.353472222225</v>
      </c>
      <c r="C17">
        <v>53.9</v>
      </c>
      <c r="D17">
        <v>50.02</v>
      </c>
      <c r="E17">
        <v>47.06</v>
      </c>
      <c r="F17">
        <v>48.08</v>
      </c>
      <c r="G17">
        <v>51.46</v>
      </c>
      <c r="H17">
        <v>55.44</v>
      </c>
      <c r="I17">
        <v>54.57</v>
      </c>
      <c r="J17">
        <v>49</v>
      </c>
      <c r="K17">
        <v>59.4</v>
      </c>
      <c r="L17">
        <v>48.39</v>
      </c>
      <c r="M17">
        <v>-29.85</v>
      </c>
      <c r="N17">
        <v>-29.07</v>
      </c>
      <c r="O17">
        <v>59.21</v>
      </c>
    </row>
    <row r="18" spans="1:15" x14ac:dyDescent="0.25">
      <c r="A18" s="23">
        <v>45329.354166666664</v>
      </c>
      <c r="C18">
        <v>55.39</v>
      </c>
      <c r="D18">
        <v>51.53</v>
      </c>
      <c r="E18">
        <v>48.36</v>
      </c>
      <c r="F18">
        <v>49.58</v>
      </c>
      <c r="G18">
        <v>52.98</v>
      </c>
      <c r="H18">
        <v>56.84</v>
      </c>
      <c r="I18">
        <v>56.04</v>
      </c>
      <c r="J18">
        <v>50.95</v>
      </c>
      <c r="K18">
        <v>60.49</v>
      </c>
      <c r="L18">
        <v>50.3</v>
      </c>
      <c r="M18">
        <v>-29.89</v>
      </c>
      <c r="N18">
        <v>-29.05</v>
      </c>
      <c r="O18">
        <v>59.13</v>
      </c>
    </row>
    <row r="19" spans="1:15" x14ac:dyDescent="0.25">
      <c r="A19" s="23">
        <v>45329.354861111111</v>
      </c>
      <c r="C19">
        <v>56.76</v>
      </c>
      <c r="D19">
        <v>53.27</v>
      </c>
      <c r="E19">
        <v>49.77</v>
      </c>
      <c r="F19">
        <v>51.01</v>
      </c>
      <c r="G19">
        <v>54.37</v>
      </c>
      <c r="H19">
        <v>58.32</v>
      </c>
      <c r="I19">
        <v>57.4</v>
      </c>
      <c r="J19">
        <v>52.08</v>
      </c>
      <c r="K19">
        <v>61.82</v>
      </c>
      <c r="L19">
        <v>51.31</v>
      </c>
      <c r="M19">
        <v>-29.8</v>
      </c>
      <c r="N19">
        <v>-28.86</v>
      </c>
      <c r="O19">
        <v>59.39</v>
      </c>
    </row>
    <row r="20" spans="1:15" x14ac:dyDescent="0.25">
      <c r="A20" s="23">
        <v>45329.355555555558</v>
      </c>
      <c r="C20">
        <v>57.91</v>
      </c>
      <c r="D20">
        <v>54.25</v>
      </c>
      <c r="E20">
        <v>51.17</v>
      </c>
      <c r="F20">
        <v>52.51</v>
      </c>
      <c r="G20">
        <v>55.58</v>
      </c>
      <c r="H20">
        <v>59.44</v>
      </c>
      <c r="I20">
        <v>58.64</v>
      </c>
      <c r="J20">
        <v>53.49</v>
      </c>
      <c r="K20">
        <v>63.04</v>
      </c>
      <c r="L20">
        <v>52.45</v>
      </c>
      <c r="M20">
        <v>-29.49</v>
      </c>
      <c r="N20">
        <v>-28.51</v>
      </c>
      <c r="O20">
        <v>59.43</v>
      </c>
    </row>
    <row r="21" spans="1:15" x14ac:dyDescent="0.25">
      <c r="A21" s="23">
        <v>45329.356249999997</v>
      </c>
      <c r="C21">
        <v>59.14</v>
      </c>
      <c r="D21">
        <v>55.26</v>
      </c>
      <c r="E21">
        <v>52.03</v>
      </c>
      <c r="F21">
        <v>53.26</v>
      </c>
      <c r="G21">
        <v>56.62</v>
      </c>
      <c r="H21">
        <v>60.55</v>
      </c>
      <c r="I21">
        <v>59.91</v>
      </c>
      <c r="J21">
        <v>54.43</v>
      </c>
      <c r="K21">
        <v>64.11</v>
      </c>
      <c r="L21">
        <v>53.85</v>
      </c>
      <c r="M21">
        <v>-29.15</v>
      </c>
      <c r="N21">
        <v>-28.16</v>
      </c>
      <c r="O21">
        <v>59.59</v>
      </c>
    </row>
    <row r="22" spans="1:15" x14ac:dyDescent="0.25">
      <c r="A22" s="23">
        <v>45329.356944444444</v>
      </c>
      <c r="C22">
        <v>58.43</v>
      </c>
      <c r="D22">
        <v>54.83</v>
      </c>
      <c r="E22">
        <v>52.26</v>
      </c>
      <c r="F22">
        <v>53.49</v>
      </c>
      <c r="G22">
        <v>56.62</v>
      </c>
      <c r="H22">
        <v>59.45</v>
      </c>
      <c r="I22">
        <v>58.73</v>
      </c>
      <c r="J22">
        <v>54.73</v>
      </c>
      <c r="K22">
        <v>62.12</v>
      </c>
      <c r="L22">
        <v>54.03</v>
      </c>
      <c r="M22">
        <v>-27.1</v>
      </c>
      <c r="N22">
        <v>-26.63</v>
      </c>
      <c r="O22">
        <v>59.82</v>
      </c>
    </row>
    <row r="23" spans="1:15" x14ac:dyDescent="0.25">
      <c r="A23" s="23">
        <v>45329.357638888891</v>
      </c>
      <c r="C23">
        <v>57.49</v>
      </c>
      <c r="D23">
        <v>54.53</v>
      </c>
      <c r="E23">
        <v>51.57</v>
      </c>
      <c r="F23">
        <v>52.78</v>
      </c>
      <c r="G23">
        <v>55.74</v>
      </c>
      <c r="H23">
        <v>58.62</v>
      </c>
      <c r="I23">
        <v>57.94</v>
      </c>
      <c r="J23">
        <v>53.93</v>
      </c>
      <c r="K23">
        <v>61.34</v>
      </c>
      <c r="L23">
        <v>53.22</v>
      </c>
      <c r="M23">
        <v>-27.36</v>
      </c>
      <c r="N23">
        <v>-27.05</v>
      </c>
      <c r="O23">
        <v>60.04</v>
      </c>
    </row>
    <row r="24" spans="1:15" x14ac:dyDescent="0.25">
      <c r="A24" s="23">
        <v>45329.35833333333</v>
      </c>
      <c r="C24">
        <v>58.34</v>
      </c>
      <c r="D24">
        <v>55.27</v>
      </c>
      <c r="E24">
        <v>52.37</v>
      </c>
      <c r="F24">
        <v>53.58</v>
      </c>
      <c r="G24">
        <v>56.33</v>
      </c>
      <c r="H24">
        <v>59.66</v>
      </c>
      <c r="I24">
        <v>59.08</v>
      </c>
      <c r="J24">
        <v>54.74</v>
      </c>
      <c r="K24">
        <v>62.7</v>
      </c>
      <c r="L24">
        <v>53.34</v>
      </c>
      <c r="M24">
        <v>-28.34</v>
      </c>
      <c r="N24">
        <v>-28.25</v>
      </c>
      <c r="O24">
        <v>60.33</v>
      </c>
    </row>
    <row r="25" spans="1:15" x14ac:dyDescent="0.25">
      <c r="A25" s="23">
        <v>45329.359027777777</v>
      </c>
      <c r="C25">
        <v>59.57</v>
      </c>
      <c r="D25">
        <v>56.1</v>
      </c>
      <c r="E25">
        <v>53.57</v>
      </c>
      <c r="F25">
        <v>54.59</v>
      </c>
      <c r="G25">
        <v>57.53</v>
      </c>
      <c r="H25">
        <v>60.83</v>
      </c>
      <c r="I25">
        <v>60.21</v>
      </c>
      <c r="J25">
        <v>55.29</v>
      </c>
      <c r="K25">
        <v>64.05</v>
      </c>
      <c r="L25">
        <v>54.74</v>
      </c>
      <c r="M25">
        <v>-29.1</v>
      </c>
      <c r="N25">
        <v>-28.94</v>
      </c>
      <c r="O25">
        <v>60.43</v>
      </c>
    </row>
    <row r="26" spans="1:15" x14ac:dyDescent="0.25">
      <c r="A26" s="23">
        <v>45329.359722222223</v>
      </c>
      <c r="C26">
        <v>59.52</v>
      </c>
      <c r="D26">
        <v>56.12</v>
      </c>
      <c r="E26">
        <v>53.66</v>
      </c>
      <c r="F26">
        <v>54.99</v>
      </c>
      <c r="G26">
        <v>57.92</v>
      </c>
      <c r="H26">
        <v>60.5</v>
      </c>
      <c r="I26">
        <v>59.84</v>
      </c>
      <c r="J26">
        <v>56.42</v>
      </c>
      <c r="K26">
        <v>63.1</v>
      </c>
      <c r="L26">
        <v>55.36</v>
      </c>
      <c r="M26">
        <v>-29.82</v>
      </c>
      <c r="N26">
        <v>-29.76</v>
      </c>
      <c r="O26">
        <v>60.66</v>
      </c>
    </row>
    <row r="27" spans="1:15" x14ac:dyDescent="0.25">
      <c r="A27" s="23">
        <v>45329.36041666667</v>
      </c>
      <c r="C27">
        <v>58.1</v>
      </c>
      <c r="D27">
        <v>54.95</v>
      </c>
      <c r="E27">
        <v>52.94</v>
      </c>
      <c r="F27">
        <v>54.21</v>
      </c>
      <c r="G27">
        <v>56.62</v>
      </c>
      <c r="H27">
        <v>59</v>
      </c>
      <c r="I27">
        <v>58.44</v>
      </c>
      <c r="J27">
        <v>55.21</v>
      </c>
      <c r="K27">
        <v>61.42</v>
      </c>
      <c r="L27">
        <v>54.46</v>
      </c>
      <c r="M27">
        <v>-30.19</v>
      </c>
      <c r="N27">
        <v>-29.63</v>
      </c>
      <c r="O27">
        <v>61.07</v>
      </c>
    </row>
    <row r="28" spans="1:15" x14ac:dyDescent="0.25">
      <c r="A28" s="23">
        <v>45329.361111111109</v>
      </c>
      <c r="C28">
        <v>58.67</v>
      </c>
      <c r="D28">
        <v>54.38</v>
      </c>
      <c r="E28">
        <v>53.09</v>
      </c>
      <c r="F28">
        <v>54.71</v>
      </c>
      <c r="G28">
        <v>56.99</v>
      </c>
      <c r="H28">
        <v>59.83</v>
      </c>
      <c r="I28">
        <v>59.21</v>
      </c>
      <c r="J28">
        <v>55.31</v>
      </c>
      <c r="K28">
        <v>62.58</v>
      </c>
      <c r="L28">
        <v>54.59</v>
      </c>
      <c r="M28">
        <v>-30.2</v>
      </c>
      <c r="N28">
        <v>-29.57</v>
      </c>
      <c r="O28">
        <v>61.21</v>
      </c>
    </row>
    <row r="29" spans="1:15" x14ac:dyDescent="0.25">
      <c r="A29" s="23">
        <v>45329.361805555556</v>
      </c>
      <c r="C29">
        <v>59.89</v>
      </c>
      <c r="D29">
        <v>57.4</v>
      </c>
      <c r="E29">
        <v>54.27</v>
      </c>
      <c r="F29">
        <v>55.65</v>
      </c>
      <c r="G29">
        <v>57.97</v>
      </c>
      <c r="H29">
        <v>61.19</v>
      </c>
      <c r="I29">
        <v>60.51</v>
      </c>
      <c r="J29">
        <v>55.99</v>
      </c>
      <c r="K29">
        <v>64.28</v>
      </c>
      <c r="L29">
        <v>55.68</v>
      </c>
      <c r="M29">
        <v>-30.1</v>
      </c>
      <c r="N29">
        <v>-29.62</v>
      </c>
      <c r="O29">
        <v>61.48</v>
      </c>
    </row>
    <row r="30" spans="1:15" x14ac:dyDescent="0.25">
      <c r="A30" s="23">
        <v>45329.362500000003</v>
      </c>
      <c r="C30">
        <v>60.03</v>
      </c>
      <c r="D30">
        <v>56.88</v>
      </c>
      <c r="E30">
        <v>54.64</v>
      </c>
      <c r="F30">
        <v>55.79</v>
      </c>
      <c r="G30">
        <v>58.56</v>
      </c>
      <c r="H30">
        <v>60.88</v>
      </c>
      <c r="I30">
        <v>60.44</v>
      </c>
      <c r="J30">
        <v>56.98</v>
      </c>
      <c r="K30">
        <v>63.33</v>
      </c>
      <c r="L30">
        <v>56.09</v>
      </c>
      <c r="M30">
        <v>-30.02</v>
      </c>
      <c r="N30">
        <v>-29.35</v>
      </c>
      <c r="O30">
        <v>61.76</v>
      </c>
    </row>
    <row r="31" spans="1:15" x14ac:dyDescent="0.25">
      <c r="A31" s="23">
        <v>45329.363194444442</v>
      </c>
      <c r="C31">
        <v>58.35</v>
      </c>
      <c r="D31">
        <v>55.71</v>
      </c>
      <c r="E31">
        <v>53.59</v>
      </c>
      <c r="F31">
        <v>54.86</v>
      </c>
      <c r="G31">
        <v>57.24</v>
      </c>
      <c r="H31">
        <v>59.23</v>
      </c>
      <c r="I31">
        <v>58.65</v>
      </c>
      <c r="J31">
        <v>55.74</v>
      </c>
      <c r="K31">
        <v>61.24</v>
      </c>
      <c r="L31">
        <v>55.3</v>
      </c>
      <c r="M31">
        <v>-29.76</v>
      </c>
      <c r="N31">
        <v>-29.09</v>
      </c>
      <c r="O31">
        <v>62.05</v>
      </c>
    </row>
    <row r="32" spans="1:15" x14ac:dyDescent="0.25">
      <c r="A32" s="23">
        <v>45329.363888888889</v>
      </c>
      <c r="C32">
        <v>58.73</v>
      </c>
      <c r="D32">
        <v>55.99</v>
      </c>
      <c r="E32">
        <v>53.56</v>
      </c>
      <c r="F32">
        <v>55.26</v>
      </c>
      <c r="G32">
        <v>57.32</v>
      </c>
      <c r="H32">
        <v>59.79</v>
      </c>
      <c r="I32">
        <v>59.29</v>
      </c>
      <c r="J32">
        <v>56.15</v>
      </c>
      <c r="K32">
        <v>62.38</v>
      </c>
      <c r="L32">
        <v>55.28</v>
      </c>
      <c r="M32">
        <v>-29.56</v>
      </c>
      <c r="N32">
        <v>-28.88</v>
      </c>
      <c r="O32">
        <v>62.13</v>
      </c>
    </row>
    <row r="33" spans="1:15" x14ac:dyDescent="0.25">
      <c r="A33" s="23">
        <v>45329.364583333336</v>
      </c>
      <c r="C33">
        <v>60.12</v>
      </c>
      <c r="D33">
        <v>56.88</v>
      </c>
      <c r="E33">
        <v>54.68</v>
      </c>
      <c r="F33">
        <v>55.96</v>
      </c>
      <c r="G33">
        <v>58.47</v>
      </c>
      <c r="H33">
        <v>61.24</v>
      </c>
      <c r="I33">
        <v>60.9</v>
      </c>
      <c r="J33">
        <v>56.54</v>
      </c>
      <c r="K33">
        <v>64.16</v>
      </c>
      <c r="L33">
        <v>56.11</v>
      </c>
      <c r="M33">
        <v>-29.32</v>
      </c>
      <c r="N33">
        <v>-28.58</v>
      </c>
      <c r="O33">
        <v>62.38</v>
      </c>
    </row>
    <row r="34" spans="1:15" x14ac:dyDescent="0.25">
      <c r="A34" s="23">
        <v>45329.365277777775</v>
      </c>
      <c r="C34">
        <v>60.3</v>
      </c>
      <c r="D34">
        <v>57.22</v>
      </c>
      <c r="E34">
        <v>55.27</v>
      </c>
      <c r="F34">
        <v>56.61</v>
      </c>
      <c r="G34">
        <v>59.03</v>
      </c>
      <c r="H34">
        <v>61.23</v>
      </c>
      <c r="I34">
        <v>60.71</v>
      </c>
      <c r="J34">
        <v>57.23</v>
      </c>
      <c r="K34">
        <v>63.51</v>
      </c>
      <c r="L34">
        <v>56.82</v>
      </c>
      <c r="M34">
        <v>-29.06</v>
      </c>
      <c r="N34">
        <v>-28.32</v>
      </c>
      <c r="O34">
        <v>62.49</v>
      </c>
    </row>
    <row r="35" spans="1:15" x14ac:dyDescent="0.25">
      <c r="A35" s="23">
        <v>45329.365972222222</v>
      </c>
      <c r="C35">
        <v>58.68</v>
      </c>
      <c r="D35">
        <v>55.79</v>
      </c>
      <c r="E35">
        <v>54.16</v>
      </c>
      <c r="F35">
        <v>55.4</v>
      </c>
      <c r="G35">
        <v>57.54</v>
      </c>
      <c r="H35">
        <v>59.42</v>
      </c>
      <c r="I35">
        <v>58.95</v>
      </c>
      <c r="J35">
        <v>56.33</v>
      </c>
      <c r="K35">
        <v>61.3</v>
      </c>
      <c r="L35">
        <v>55.72</v>
      </c>
      <c r="M35">
        <v>-28.78</v>
      </c>
      <c r="N35">
        <v>-28.1</v>
      </c>
      <c r="O35">
        <v>62.84</v>
      </c>
    </row>
    <row r="36" spans="1:15" x14ac:dyDescent="0.25">
      <c r="A36" s="23">
        <v>45329.366666666669</v>
      </c>
      <c r="C36">
        <v>59</v>
      </c>
      <c r="D36">
        <v>56.16</v>
      </c>
      <c r="E36">
        <v>54.16</v>
      </c>
      <c r="F36">
        <v>55.51</v>
      </c>
      <c r="G36">
        <v>57.48</v>
      </c>
      <c r="H36">
        <v>60.02</v>
      </c>
      <c r="I36">
        <v>59.53</v>
      </c>
      <c r="J36">
        <v>56.07</v>
      </c>
      <c r="K36">
        <v>62.46</v>
      </c>
      <c r="L36">
        <v>55.27</v>
      </c>
      <c r="M36">
        <v>-29.54</v>
      </c>
      <c r="N36">
        <v>-29</v>
      </c>
      <c r="O36">
        <v>70.75</v>
      </c>
    </row>
    <row r="37" spans="1:15" x14ac:dyDescent="0.25">
      <c r="A37" s="23">
        <v>45329.367361111108</v>
      </c>
      <c r="C37">
        <v>60.34</v>
      </c>
      <c r="D37">
        <v>57.36</v>
      </c>
      <c r="E37">
        <v>55.01</v>
      </c>
      <c r="F37">
        <v>56.43</v>
      </c>
      <c r="G37">
        <v>58.79</v>
      </c>
      <c r="H37">
        <v>61.46</v>
      </c>
      <c r="I37">
        <v>61.04</v>
      </c>
      <c r="J37">
        <v>57.06</v>
      </c>
      <c r="K37">
        <v>64.27</v>
      </c>
      <c r="L37">
        <v>56.48</v>
      </c>
      <c r="M37">
        <v>-30.2</v>
      </c>
      <c r="N37">
        <v>-29.68</v>
      </c>
      <c r="O37">
        <v>87.5</v>
      </c>
    </row>
    <row r="38" spans="1:15" x14ac:dyDescent="0.25">
      <c r="A38" s="23">
        <v>45329.368055555555</v>
      </c>
      <c r="C38">
        <v>60.31</v>
      </c>
      <c r="D38">
        <v>58.16</v>
      </c>
      <c r="E38">
        <v>55.58</v>
      </c>
      <c r="F38">
        <v>56.86</v>
      </c>
      <c r="G38">
        <v>59.21</v>
      </c>
      <c r="H38">
        <v>61.15</v>
      </c>
      <c r="I38">
        <v>60.67</v>
      </c>
      <c r="J38">
        <v>57.64</v>
      </c>
      <c r="K38">
        <v>63.3</v>
      </c>
      <c r="L38">
        <v>56.97</v>
      </c>
      <c r="M38">
        <v>-30.11</v>
      </c>
      <c r="N38">
        <v>-29.64</v>
      </c>
      <c r="O38">
        <v>98.37</v>
      </c>
    </row>
    <row r="39" spans="1:15" x14ac:dyDescent="0.25">
      <c r="A39" s="23">
        <v>45329.368750000001</v>
      </c>
      <c r="C39">
        <v>58.81</v>
      </c>
      <c r="D39">
        <v>56.34</v>
      </c>
      <c r="E39">
        <v>54.29</v>
      </c>
      <c r="F39">
        <v>55.76</v>
      </c>
      <c r="G39">
        <v>57.74</v>
      </c>
      <c r="H39">
        <v>59.53</v>
      </c>
      <c r="I39">
        <v>59.12</v>
      </c>
      <c r="J39">
        <v>56.24</v>
      </c>
      <c r="K39">
        <v>61.4</v>
      </c>
      <c r="L39">
        <v>55.85</v>
      </c>
      <c r="M39">
        <v>-29.7</v>
      </c>
      <c r="N39">
        <v>-28.96</v>
      </c>
      <c r="O39">
        <v>107.3</v>
      </c>
    </row>
    <row r="40" spans="1:15" x14ac:dyDescent="0.25">
      <c r="A40" s="23">
        <v>45329.369444444441</v>
      </c>
      <c r="C40">
        <v>59.31</v>
      </c>
      <c r="D40">
        <v>56.52</v>
      </c>
      <c r="E40">
        <v>54.64</v>
      </c>
      <c r="F40">
        <v>55.94</v>
      </c>
      <c r="G40">
        <v>57.92</v>
      </c>
      <c r="H40">
        <v>60.31</v>
      </c>
      <c r="I40">
        <v>59.86</v>
      </c>
      <c r="J40">
        <v>56.29</v>
      </c>
      <c r="K40">
        <v>62.73</v>
      </c>
      <c r="L40">
        <v>55.92</v>
      </c>
      <c r="M40">
        <v>-29.18</v>
      </c>
      <c r="N40">
        <v>-28.61</v>
      </c>
      <c r="O40">
        <v>115.29</v>
      </c>
    </row>
    <row r="41" spans="1:15" x14ac:dyDescent="0.25">
      <c r="A41" s="23">
        <v>45329.370138888888</v>
      </c>
      <c r="C41">
        <v>60.7</v>
      </c>
      <c r="D41">
        <v>58.17</v>
      </c>
      <c r="E41">
        <v>55.74</v>
      </c>
      <c r="F41">
        <v>56.97</v>
      </c>
      <c r="G41">
        <v>59.13</v>
      </c>
      <c r="H41">
        <v>61.85</v>
      </c>
      <c r="I41">
        <v>61.37</v>
      </c>
      <c r="J41">
        <v>57.55</v>
      </c>
      <c r="K41">
        <v>64.58</v>
      </c>
      <c r="L41">
        <v>57.09</v>
      </c>
      <c r="M41">
        <v>-28.86</v>
      </c>
      <c r="N41">
        <v>-28.36</v>
      </c>
      <c r="O41">
        <v>121.7</v>
      </c>
    </row>
    <row r="42" spans="1:15" x14ac:dyDescent="0.25">
      <c r="A42" s="23">
        <v>45329.370833333334</v>
      </c>
      <c r="C42">
        <v>60.35</v>
      </c>
      <c r="D42">
        <v>57.75</v>
      </c>
      <c r="E42">
        <v>55.75</v>
      </c>
      <c r="F42">
        <v>57.17</v>
      </c>
      <c r="G42">
        <v>59.33</v>
      </c>
      <c r="H42">
        <v>61.1</v>
      </c>
      <c r="I42">
        <v>60.74</v>
      </c>
      <c r="J42">
        <v>57.96</v>
      </c>
      <c r="K42">
        <v>63.11</v>
      </c>
      <c r="L42">
        <v>57.18</v>
      </c>
      <c r="M42">
        <v>-29.35</v>
      </c>
      <c r="N42">
        <v>-28.63</v>
      </c>
      <c r="O42">
        <v>126.15</v>
      </c>
    </row>
    <row r="43" spans="1:15" x14ac:dyDescent="0.25">
      <c r="A43" s="23">
        <v>45329.371527777781</v>
      </c>
      <c r="C43">
        <v>58.78</v>
      </c>
      <c r="D43">
        <v>56.19</v>
      </c>
      <c r="E43">
        <v>54.68</v>
      </c>
      <c r="F43">
        <v>56.25</v>
      </c>
      <c r="G43">
        <v>57.87</v>
      </c>
      <c r="H43">
        <v>59.53</v>
      </c>
      <c r="I43">
        <v>59.05</v>
      </c>
      <c r="J43">
        <v>56.6</v>
      </c>
      <c r="K43">
        <v>61.3</v>
      </c>
      <c r="L43">
        <v>56.34</v>
      </c>
      <c r="M43">
        <v>-29.77</v>
      </c>
      <c r="N43">
        <v>-28.91</v>
      </c>
      <c r="O43">
        <v>130.35</v>
      </c>
    </row>
    <row r="44" spans="1:15" x14ac:dyDescent="0.25">
      <c r="A44" s="23">
        <v>45329.37222222222</v>
      </c>
      <c r="C44">
        <v>59.41</v>
      </c>
      <c r="D44">
        <v>56.76</v>
      </c>
      <c r="E44">
        <v>54.79</v>
      </c>
      <c r="F44">
        <v>56.1</v>
      </c>
      <c r="G44">
        <v>58.09</v>
      </c>
      <c r="H44">
        <v>60.34</v>
      </c>
      <c r="I44">
        <v>59.85</v>
      </c>
      <c r="J44">
        <v>56.45</v>
      </c>
      <c r="K44">
        <v>62.73</v>
      </c>
      <c r="L44">
        <v>56.24</v>
      </c>
      <c r="M44">
        <v>-29.8</v>
      </c>
      <c r="N44">
        <v>-29.21</v>
      </c>
      <c r="O44">
        <v>138.65</v>
      </c>
    </row>
    <row r="45" spans="1:15" x14ac:dyDescent="0.25">
      <c r="A45" s="23">
        <v>45329.372916666667</v>
      </c>
      <c r="C45">
        <v>60.82</v>
      </c>
      <c r="D45">
        <v>58.04</v>
      </c>
      <c r="E45">
        <v>55.65</v>
      </c>
      <c r="F45">
        <v>57.28</v>
      </c>
      <c r="G45">
        <v>59.34</v>
      </c>
      <c r="H45">
        <v>62.05</v>
      </c>
      <c r="I45">
        <v>61.44</v>
      </c>
      <c r="J45">
        <v>57.98</v>
      </c>
      <c r="K45">
        <v>64.77</v>
      </c>
      <c r="L45">
        <v>57.08</v>
      </c>
      <c r="M45">
        <v>-29.89</v>
      </c>
      <c r="N45">
        <v>-29.03</v>
      </c>
      <c r="O45">
        <v>139.97999999999999</v>
      </c>
    </row>
    <row r="46" spans="1:15" x14ac:dyDescent="0.25">
      <c r="A46" s="23">
        <v>45329.373611111114</v>
      </c>
      <c r="C46">
        <v>60.7</v>
      </c>
      <c r="D46">
        <v>58.46</v>
      </c>
      <c r="E46">
        <v>56.18</v>
      </c>
      <c r="F46">
        <v>57.45</v>
      </c>
      <c r="G46">
        <v>59.59</v>
      </c>
      <c r="H46">
        <v>61.39</v>
      </c>
      <c r="I46">
        <v>60.84</v>
      </c>
      <c r="J46">
        <v>58.23</v>
      </c>
      <c r="K46">
        <v>63.34</v>
      </c>
      <c r="L46">
        <v>57.42</v>
      </c>
      <c r="M46">
        <v>-29.7</v>
      </c>
      <c r="N46">
        <v>-28.82</v>
      </c>
      <c r="O46">
        <v>144.81</v>
      </c>
    </row>
    <row r="47" spans="1:15" x14ac:dyDescent="0.25">
      <c r="A47" s="23">
        <v>45329.374305555553</v>
      </c>
      <c r="C47">
        <v>58.97</v>
      </c>
      <c r="D47">
        <v>56.72</v>
      </c>
      <c r="E47">
        <v>54.88</v>
      </c>
      <c r="F47">
        <v>56.26</v>
      </c>
      <c r="G47">
        <v>58.15</v>
      </c>
      <c r="H47">
        <v>59.8</v>
      </c>
      <c r="I47">
        <v>59.29</v>
      </c>
      <c r="J47">
        <v>57.16</v>
      </c>
      <c r="K47">
        <v>61.49</v>
      </c>
      <c r="L47">
        <v>56.47</v>
      </c>
      <c r="M47">
        <v>-29.34</v>
      </c>
      <c r="N47">
        <v>-28.53</v>
      </c>
      <c r="O47">
        <v>149.97999999999999</v>
      </c>
    </row>
    <row r="48" spans="1:15" x14ac:dyDescent="0.25">
      <c r="A48" s="23">
        <v>45329.375</v>
      </c>
      <c r="C48">
        <v>59.6</v>
      </c>
      <c r="D48">
        <v>56.68</v>
      </c>
      <c r="E48">
        <v>54.98</v>
      </c>
      <c r="F48">
        <v>56.52</v>
      </c>
      <c r="G48">
        <v>58.22</v>
      </c>
      <c r="H48">
        <v>60.51</v>
      </c>
      <c r="I48">
        <v>60.11</v>
      </c>
      <c r="J48">
        <v>56.74</v>
      </c>
      <c r="K48">
        <v>62.88</v>
      </c>
      <c r="L48">
        <v>56.38</v>
      </c>
      <c r="M48">
        <v>-29.04</v>
      </c>
      <c r="N48">
        <v>-28.28</v>
      </c>
      <c r="O48">
        <v>154.44999999999999</v>
      </c>
    </row>
    <row r="49" spans="1:15" x14ac:dyDescent="0.25">
      <c r="A49" s="23">
        <v>45329.375694444447</v>
      </c>
      <c r="C49">
        <v>61</v>
      </c>
      <c r="D49">
        <v>58.14</v>
      </c>
      <c r="E49">
        <v>56.09</v>
      </c>
      <c r="F49">
        <v>57.64</v>
      </c>
      <c r="G49">
        <v>59.64</v>
      </c>
      <c r="H49">
        <v>62.05</v>
      </c>
      <c r="I49">
        <v>61.6</v>
      </c>
      <c r="J49">
        <v>57.81</v>
      </c>
      <c r="K49">
        <v>64.7</v>
      </c>
      <c r="L49">
        <v>57.41</v>
      </c>
      <c r="M49">
        <v>-28.82</v>
      </c>
      <c r="N49">
        <v>-28.01</v>
      </c>
      <c r="O49">
        <v>154.35</v>
      </c>
    </row>
    <row r="50" spans="1:15" x14ac:dyDescent="0.25">
      <c r="A50" s="23">
        <v>45329.376388888886</v>
      </c>
      <c r="C50">
        <v>60.34</v>
      </c>
      <c r="D50">
        <v>57.92</v>
      </c>
      <c r="E50">
        <v>55.84</v>
      </c>
      <c r="F50">
        <v>57.61</v>
      </c>
      <c r="G50">
        <v>59.51</v>
      </c>
      <c r="H50">
        <v>61.08</v>
      </c>
      <c r="I50">
        <v>60.72</v>
      </c>
      <c r="J50">
        <v>58.2</v>
      </c>
      <c r="K50">
        <v>62.99</v>
      </c>
      <c r="L50">
        <v>57.42</v>
      </c>
      <c r="M50">
        <v>-29.21</v>
      </c>
      <c r="N50">
        <v>-28.56</v>
      </c>
      <c r="O50">
        <v>156.91999999999999</v>
      </c>
    </row>
    <row r="51" spans="1:15" x14ac:dyDescent="0.25">
      <c r="A51" s="23">
        <v>45329.377083333333</v>
      </c>
      <c r="C51">
        <v>58.98</v>
      </c>
      <c r="D51">
        <v>57.28</v>
      </c>
      <c r="E51">
        <v>54.94</v>
      </c>
      <c r="F51">
        <v>56.47</v>
      </c>
      <c r="G51">
        <v>58.06</v>
      </c>
      <c r="H51">
        <v>59.74</v>
      </c>
      <c r="I51">
        <v>59.29</v>
      </c>
      <c r="J51">
        <v>56.9</v>
      </c>
      <c r="K51">
        <v>61.49</v>
      </c>
      <c r="L51">
        <v>56.48</v>
      </c>
      <c r="M51">
        <v>-30.12</v>
      </c>
      <c r="N51">
        <v>-29.55</v>
      </c>
      <c r="O51">
        <v>153.72</v>
      </c>
    </row>
    <row r="52" spans="1:15" x14ac:dyDescent="0.25">
      <c r="A52" s="23">
        <v>45329.37777777778</v>
      </c>
      <c r="C52">
        <v>59.83</v>
      </c>
      <c r="D52">
        <v>57.95</v>
      </c>
      <c r="E52">
        <v>55.36</v>
      </c>
      <c r="F52">
        <v>56.65</v>
      </c>
      <c r="G52">
        <v>58.47</v>
      </c>
      <c r="H52">
        <v>60.73</v>
      </c>
      <c r="I52">
        <v>60.36</v>
      </c>
      <c r="J52">
        <v>56.87</v>
      </c>
      <c r="K52">
        <v>63.19</v>
      </c>
      <c r="L52">
        <v>56.53</v>
      </c>
      <c r="M52">
        <v>-30.3</v>
      </c>
      <c r="N52">
        <v>-29.69</v>
      </c>
      <c r="O52">
        <v>153.86000000000001</v>
      </c>
    </row>
    <row r="53" spans="1:15" x14ac:dyDescent="0.25">
      <c r="A53" s="23">
        <v>45329.378472222219</v>
      </c>
      <c r="C53">
        <v>61.27</v>
      </c>
      <c r="D53">
        <v>58.8</v>
      </c>
      <c r="E53">
        <v>56.32</v>
      </c>
      <c r="F53">
        <v>57.8</v>
      </c>
      <c r="G53">
        <v>59.82</v>
      </c>
      <c r="H53">
        <v>62.32</v>
      </c>
      <c r="I53">
        <v>61.84</v>
      </c>
      <c r="J53">
        <v>58.33</v>
      </c>
      <c r="K53">
        <v>64.849999999999994</v>
      </c>
      <c r="L53">
        <v>57.37</v>
      </c>
      <c r="M53">
        <v>-29.95</v>
      </c>
      <c r="N53">
        <v>-29.23</v>
      </c>
      <c r="O53">
        <v>152.21</v>
      </c>
    </row>
    <row r="54" spans="1:15" x14ac:dyDescent="0.25">
      <c r="A54" s="23">
        <v>45329.379166666666</v>
      </c>
      <c r="C54">
        <v>59.87</v>
      </c>
      <c r="D54">
        <v>57.39</v>
      </c>
      <c r="E54">
        <v>55.83</v>
      </c>
      <c r="F54">
        <v>57.38</v>
      </c>
      <c r="G54">
        <v>59.17</v>
      </c>
      <c r="H54">
        <v>60.54</v>
      </c>
      <c r="I54">
        <v>60.06</v>
      </c>
      <c r="J54">
        <v>57.6</v>
      </c>
      <c r="K54">
        <v>62.26</v>
      </c>
      <c r="L54">
        <v>57.28</v>
      </c>
      <c r="M54">
        <v>-29.47</v>
      </c>
      <c r="N54">
        <v>-28.81</v>
      </c>
      <c r="O54">
        <v>153.13999999999999</v>
      </c>
    </row>
    <row r="55" spans="1:15" x14ac:dyDescent="0.25">
      <c r="A55" s="23">
        <v>45329.379861111112</v>
      </c>
      <c r="C55">
        <v>59.06</v>
      </c>
      <c r="D55">
        <v>56.37</v>
      </c>
      <c r="E55">
        <v>55.14</v>
      </c>
      <c r="F55">
        <v>56.57</v>
      </c>
      <c r="G55">
        <v>58.15</v>
      </c>
      <c r="H55">
        <v>59.91</v>
      </c>
      <c r="I55">
        <v>59.48</v>
      </c>
      <c r="J55">
        <v>56.5</v>
      </c>
      <c r="K55">
        <v>61.78</v>
      </c>
      <c r="L55">
        <v>56.4</v>
      </c>
      <c r="M55">
        <v>-29.08</v>
      </c>
      <c r="N55">
        <v>-28.46</v>
      </c>
      <c r="O55">
        <v>151.91</v>
      </c>
    </row>
    <row r="56" spans="1:15" x14ac:dyDescent="0.25">
      <c r="A56" s="23">
        <v>45329.380555555559</v>
      </c>
      <c r="C56">
        <v>60.25</v>
      </c>
      <c r="D56">
        <v>57.25</v>
      </c>
      <c r="E56">
        <v>55.59</v>
      </c>
      <c r="F56">
        <v>57.16</v>
      </c>
      <c r="G56">
        <v>58.89</v>
      </c>
      <c r="H56">
        <v>61.24</v>
      </c>
      <c r="I56">
        <v>60.85</v>
      </c>
      <c r="J56">
        <v>57.69</v>
      </c>
      <c r="K56">
        <v>63.71</v>
      </c>
      <c r="L56">
        <v>56.79</v>
      </c>
      <c r="M56">
        <v>-28.77</v>
      </c>
      <c r="N56">
        <v>-28.24</v>
      </c>
      <c r="O56">
        <v>153.1</v>
      </c>
    </row>
    <row r="57" spans="1:15" x14ac:dyDescent="0.25">
      <c r="A57" s="23">
        <v>45329.381249999999</v>
      </c>
      <c r="C57">
        <v>61.35</v>
      </c>
      <c r="D57">
        <v>57.82</v>
      </c>
      <c r="E57">
        <v>56.71</v>
      </c>
      <c r="F57">
        <v>58.23</v>
      </c>
      <c r="G57">
        <v>60.12</v>
      </c>
      <c r="H57">
        <v>62.17</v>
      </c>
      <c r="I57">
        <v>61.85</v>
      </c>
      <c r="J57">
        <v>58.04</v>
      </c>
      <c r="K57">
        <v>64.569999999999993</v>
      </c>
      <c r="L57">
        <v>58.04</v>
      </c>
      <c r="M57">
        <v>-29.29</v>
      </c>
      <c r="N57">
        <v>-28.56</v>
      </c>
      <c r="O57">
        <v>151.87</v>
      </c>
    </row>
    <row r="58" spans="1:15" x14ac:dyDescent="0.25">
      <c r="A58" s="23">
        <v>45329.381944444445</v>
      </c>
      <c r="C58">
        <v>59.55</v>
      </c>
      <c r="D58">
        <v>57.37</v>
      </c>
      <c r="E58">
        <v>55.56</v>
      </c>
      <c r="F58">
        <v>57.17</v>
      </c>
      <c r="G58">
        <v>58.85</v>
      </c>
      <c r="H58">
        <v>60.04</v>
      </c>
      <c r="I58">
        <v>59.58</v>
      </c>
      <c r="J58">
        <v>57.78</v>
      </c>
      <c r="K58">
        <v>61.54</v>
      </c>
      <c r="L58">
        <v>57.33</v>
      </c>
      <c r="M58">
        <v>-29.68</v>
      </c>
      <c r="N58">
        <v>-28.87</v>
      </c>
      <c r="O58">
        <v>151.33000000000001</v>
      </c>
    </row>
    <row r="59" spans="1:15" x14ac:dyDescent="0.25">
      <c r="A59" s="23">
        <v>45329.382638888892</v>
      </c>
      <c r="C59">
        <v>59.26</v>
      </c>
      <c r="D59">
        <v>57.28</v>
      </c>
      <c r="E59">
        <v>55.05</v>
      </c>
      <c r="F59">
        <v>56.78</v>
      </c>
      <c r="G59">
        <v>58.29</v>
      </c>
      <c r="H59">
        <v>60.09</v>
      </c>
      <c r="I59">
        <v>59.71</v>
      </c>
      <c r="J59">
        <v>56.99</v>
      </c>
      <c r="K59">
        <v>62.18</v>
      </c>
      <c r="L59">
        <v>56.46</v>
      </c>
      <c r="M59">
        <v>-29.85</v>
      </c>
      <c r="N59">
        <v>-29</v>
      </c>
      <c r="O59">
        <v>153.08000000000001</v>
      </c>
    </row>
    <row r="60" spans="1:15" x14ac:dyDescent="0.25">
      <c r="A60" s="23">
        <v>45329.383333333331</v>
      </c>
      <c r="C60">
        <v>60.75</v>
      </c>
      <c r="D60">
        <v>57.81</v>
      </c>
      <c r="E60">
        <v>55.92</v>
      </c>
      <c r="F60">
        <v>57.47</v>
      </c>
      <c r="G60">
        <v>59.31</v>
      </c>
      <c r="H60">
        <v>61.69</v>
      </c>
      <c r="I60">
        <v>61.21</v>
      </c>
      <c r="J60">
        <v>57.66</v>
      </c>
      <c r="K60">
        <v>64.2</v>
      </c>
      <c r="L60">
        <v>57.37</v>
      </c>
      <c r="M60">
        <v>-29.86</v>
      </c>
      <c r="N60">
        <v>-28.98</v>
      </c>
      <c r="O60">
        <v>152.29</v>
      </c>
    </row>
    <row r="61" spans="1:15" x14ac:dyDescent="0.25">
      <c r="A61" s="23">
        <v>45329.384027777778</v>
      </c>
      <c r="C61">
        <v>60.98</v>
      </c>
      <c r="D61">
        <v>58.77</v>
      </c>
      <c r="E61">
        <v>56.59</v>
      </c>
      <c r="F61">
        <v>58.09</v>
      </c>
      <c r="G61">
        <v>59.97</v>
      </c>
      <c r="H61">
        <v>61.76</v>
      </c>
      <c r="I61">
        <v>61.28</v>
      </c>
      <c r="J61">
        <v>58.61</v>
      </c>
      <c r="K61">
        <v>63.65</v>
      </c>
      <c r="L61">
        <v>57.9</v>
      </c>
      <c r="M61">
        <v>-29.51</v>
      </c>
      <c r="N61">
        <v>-28.72</v>
      </c>
      <c r="O61">
        <v>152.53</v>
      </c>
    </row>
    <row r="62" spans="1:15" x14ac:dyDescent="0.25">
      <c r="A62" s="23">
        <v>45329.384722222225</v>
      </c>
      <c r="C62">
        <v>59.4</v>
      </c>
      <c r="D62">
        <v>56.8</v>
      </c>
      <c r="E62">
        <v>55.44</v>
      </c>
      <c r="F62">
        <v>57.01</v>
      </c>
      <c r="G62">
        <v>58.56</v>
      </c>
      <c r="H62">
        <v>60.03</v>
      </c>
      <c r="I62">
        <v>59.63</v>
      </c>
      <c r="J62">
        <v>57.66</v>
      </c>
      <c r="K62">
        <v>61.7</v>
      </c>
      <c r="L62">
        <v>56.98</v>
      </c>
      <c r="M62">
        <v>-29.25</v>
      </c>
      <c r="N62">
        <v>-28.5</v>
      </c>
      <c r="O62">
        <v>152.09</v>
      </c>
    </row>
    <row r="63" spans="1:15" x14ac:dyDescent="0.25">
      <c r="A63" s="23">
        <v>45329.385416666664</v>
      </c>
      <c r="C63">
        <v>59.8</v>
      </c>
      <c r="D63">
        <v>57.17</v>
      </c>
      <c r="E63">
        <v>55.4</v>
      </c>
      <c r="F63">
        <v>56.92</v>
      </c>
      <c r="G63">
        <v>58.63</v>
      </c>
      <c r="H63">
        <v>60.66</v>
      </c>
      <c r="I63">
        <v>60.28</v>
      </c>
      <c r="J63">
        <v>57.23</v>
      </c>
      <c r="K63">
        <v>62.86</v>
      </c>
      <c r="L63">
        <v>56.7</v>
      </c>
      <c r="M63">
        <v>-29.02</v>
      </c>
      <c r="N63">
        <v>-28.25</v>
      </c>
      <c r="O63">
        <v>151.43</v>
      </c>
    </row>
    <row r="64" spans="1:15" x14ac:dyDescent="0.25">
      <c r="A64" s="23">
        <v>45329.386111111111</v>
      </c>
      <c r="C64">
        <v>61.2</v>
      </c>
      <c r="D64">
        <v>58.13</v>
      </c>
      <c r="E64">
        <v>56.46</v>
      </c>
      <c r="F64">
        <v>58.1</v>
      </c>
      <c r="G64">
        <v>59.83</v>
      </c>
      <c r="H64">
        <v>62.22</v>
      </c>
      <c r="I64">
        <v>61.94</v>
      </c>
      <c r="J64">
        <v>58.38</v>
      </c>
      <c r="K64">
        <v>64.8</v>
      </c>
      <c r="L64">
        <v>57.86</v>
      </c>
      <c r="M64">
        <v>-28.85</v>
      </c>
      <c r="N64">
        <v>-28.09</v>
      </c>
      <c r="O64">
        <v>151.56</v>
      </c>
    </row>
    <row r="65" spans="1:15" x14ac:dyDescent="0.25">
      <c r="A65" s="23">
        <v>45329.386805555558</v>
      </c>
      <c r="C65">
        <v>60.59</v>
      </c>
      <c r="D65">
        <v>58.16</v>
      </c>
      <c r="E65">
        <v>56.49</v>
      </c>
      <c r="F65">
        <v>57.8</v>
      </c>
      <c r="G65">
        <v>59.73</v>
      </c>
      <c r="H65">
        <v>61.19</v>
      </c>
      <c r="I65">
        <v>60.81</v>
      </c>
      <c r="J65">
        <v>58.49</v>
      </c>
      <c r="K65">
        <v>62.83</v>
      </c>
      <c r="L65">
        <v>57.93</v>
      </c>
      <c r="M65">
        <v>-29.5</v>
      </c>
      <c r="N65">
        <v>-28.88</v>
      </c>
      <c r="O65">
        <v>152.77000000000001</v>
      </c>
    </row>
    <row r="66" spans="1:15" x14ac:dyDescent="0.25">
      <c r="A66" s="23">
        <v>45329.387499999997</v>
      </c>
      <c r="C66">
        <v>59.17</v>
      </c>
      <c r="D66">
        <v>57.28</v>
      </c>
      <c r="E66">
        <v>55.27</v>
      </c>
      <c r="F66">
        <v>56.9</v>
      </c>
      <c r="G66">
        <v>58.39</v>
      </c>
      <c r="H66">
        <v>59.97</v>
      </c>
      <c r="I66">
        <v>59.52</v>
      </c>
      <c r="J66">
        <v>57.23</v>
      </c>
      <c r="K66">
        <v>61.7</v>
      </c>
      <c r="L66">
        <v>56.64</v>
      </c>
      <c r="M66">
        <v>-30.37</v>
      </c>
      <c r="N66">
        <v>-29.73</v>
      </c>
      <c r="O66">
        <v>152.6</v>
      </c>
    </row>
    <row r="67" spans="1:15" x14ac:dyDescent="0.25">
      <c r="A67" s="23">
        <v>45329.388194444444</v>
      </c>
      <c r="C67">
        <v>60.18</v>
      </c>
      <c r="D67">
        <v>57.62</v>
      </c>
      <c r="E67">
        <v>55.84</v>
      </c>
      <c r="F67">
        <v>57.34</v>
      </c>
      <c r="G67">
        <v>58.96</v>
      </c>
      <c r="H67">
        <v>61.14</v>
      </c>
      <c r="I67">
        <v>60.75</v>
      </c>
      <c r="J67">
        <v>57.66</v>
      </c>
      <c r="K67">
        <v>63.5</v>
      </c>
      <c r="L67">
        <v>57.16</v>
      </c>
      <c r="M67">
        <v>-30.27</v>
      </c>
      <c r="N67">
        <v>-29.61</v>
      </c>
      <c r="O67">
        <v>152.19999999999999</v>
      </c>
    </row>
    <row r="68" spans="1:15" x14ac:dyDescent="0.25">
      <c r="A68" s="23">
        <v>45329.388888888891</v>
      </c>
      <c r="C68">
        <v>61.52</v>
      </c>
      <c r="D68">
        <v>59.17</v>
      </c>
      <c r="E68">
        <v>56.79</v>
      </c>
      <c r="F68">
        <v>58.59</v>
      </c>
      <c r="G68">
        <v>60.24</v>
      </c>
      <c r="H68">
        <v>62.5</v>
      </c>
      <c r="I68">
        <v>62.02</v>
      </c>
      <c r="J68">
        <v>58.8</v>
      </c>
      <c r="K68">
        <v>64.81</v>
      </c>
      <c r="L68">
        <v>58.27</v>
      </c>
      <c r="M68">
        <v>-29.81</v>
      </c>
      <c r="N68">
        <v>-29.15</v>
      </c>
      <c r="O68">
        <v>152.16</v>
      </c>
    </row>
    <row r="69" spans="1:15" x14ac:dyDescent="0.25">
      <c r="A69" s="23">
        <v>45329.38958333333</v>
      </c>
      <c r="C69">
        <v>60.01</v>
      </c>
      <c r="D69">
        <v>57.65</v>
      </c>
      <c r="E69">
        <v>56.03</v>
      </c>
      <c r="F69">
        <v>57.76</v>
      </c>
      <c r="G69">
        <v>59.42</v>
      </c>
      <c r="H69">
        <v>60.52</v>
      </c>
      <c r="I69">
        <v>60.18</v>
      </c>
      <c r="J69">
        <v>58.45</v>
      </c>
      <c r="K69">
        <v>62.14</v>
      </c>
      <c r="L69">
        <v>57.65</v>
      </c>
      <c r="M69">
        <v>-29.36</v>
      </c>
      <c r="N69">
        <v>-28.82</v>
      </c>
      <c r="O69">
        <v>151.76</v>
      </c>
    </row>
    <row r="70" spans="1:15" x14ac:dyDescent="0.25">
      <c r="A70" s="23">
        <v>45329.390277777777</v>
      </c>
      <c r="C70">
        <v>59.27</v>
      </c>
      <c r="D70">
        <v>57.29</v>
      </c>
      <c r="E70">
        <v>55.37</v>
      </c>
      <c r="F70">
        <v>56.9</v>
      </c>
      <c r="G70">
        <v>58.32</v>
      </c>
      <c r="H70">
        <v>60.03</v>
      </c>
      <c r="I70">
        <v>59.52</v>
      </c>
      <c r="J70">
        <v>57.27</v>
      </c>
      <c r="K70">
        <v>61.84</v>
      </c>
      <c r="L70">
        <v>56.63</v>
      </c>
      <c r="M70">
        <v>-29.05</v>
      </c>
      <c r="N70">
        <v>-28.47</v>
      </c>
      <c r="O70">
        <v>151.77000000000001</v>
      </c>
    </row>
    <row r="71" spans="1:15" x14ac:dyDescent="0.25">
      <c r="A71" s="23">
        <v>45329.390972222223</v>
      </c>
      <c r="C71">
        <v>60.54</v>
      </c>
      <c r="D71">
        <v>57.71</v>
      </c>
      <c r="E71">
        <v>56.01</v>
      </c>
      <c r="F71">
        <v>57.75</v>
      </c>
      <c r="G71">
        <v>59.14</v>
      </c>
      <c r="H71">
        <v>61.47</v>
      </c>
      <c r="I71">
        <v>61.02</v>
      </c>
      <c r="J71">
        <v>58.07</v>
      </c>
      <c r="K71">
        <v>63.85</v>
      </c>
      <c r="L71">
        <v>57.34</v>
      </c>
      <c r="M71">
        <v>-28.74</v>
      </c>
      <c r="N71">
        <v>-28.27</v>
      </c>
      <c r="O71">
        <v>151.56</v>
      </c>
    </row>
    <row r="72" spans="1:15" x14ac:dyDescent="0.25">
      <c r="A72" s="23">
        <v>45329.39166666667</v>
      </c>
      <c r="C72">
        <v>61.37</v>
      </c>
      <c r="D72">
        <v>58.16</v>
      </c>
      <c r="E72">
        <v>56.73</v>
      </c>
      <c r="F72">
        <v>58.42</v>
      </c>
      <c r="G72">
        <v>60.28</v>
      </c>
      <c r="H72">
        <v>62.19</v>
      </c>
      <c r="I72">
        <v>61.79</v>
      </c>
      <c r="J72">
        <v>59.12</v>
      </c>
      <c r="K72">
        <v>64.400000000000006</v>
      </c>
      <c r="L72">
        <v>58.14</v>
      </c>
      <c r="M72">
        <v>-29.17</v>
      </c>
      <c r="N72">
        <v>-28.47</v>
      </c>
      <c r="O72">
        <v>151.84</v>
      </c>
    </row>
    <row r="73" spans="1:15" x14ac:dyDescent="0.25">
      <c r="A73" s="23">
        <v>45329.392361111109</v>
      </c>
      <c r="C73">
        <v>59.68</v>
      </c>
      <c r="D73">
        <v>57.32</v>
      </c>
      <c r="E73">
        <v>55.84</v>
      </c>
      <c r="F73">
        <v>57.37</v>
      </c>
      <c r="G73">
        <v>58.93</v>
      </c>
      <c r="H73">
        <v>60.29</v>
      </c>
      <c r="I73">
        <v>59.84</v>
      </c>
      <c r="J73">
        <v>57.88</v>
      </c>
      <c r="K73">
        <v>61.73</v>
      </c>
      <c r="L73">
        <v>57.55</v>
      </c>
      <c r="M73">
        <v>-29.64</v>
      </c>
      <c r="N73">
        <v>-28.97</v>
      </c>
      <c r="O73">
        <v>152.35</v>
      </c>
    </row>
    <row r="74" spans="1:15" x14ac:dyDescent="0.25">
      <c r="A74" s="23">
        <v>45329.393055555556</v>
      </c>
      <c r="C74">
        <v>59.58</v>
      </c>
      <c r="D74">
        <v>57.64</v>
      </c>
      <c r="E74">
        <v>55.44</v>
      </c>
      <c r="F74">
        <v>57.04</v>
      </c>
      <c r="G74">
        <v>58.51</v>
      </c>
      <c r="H74">
        <v>60.37</v>
      </c>
      <c r="I74">
        <v>59.92</v>
      </c>
      <c r="J74">
        <v>57.58</v>
      </c>
      <c r="K74">
        <v>62.48</v>
      </c>
      <c r="L74">
        <v>56.93</v>
      </c>
      <c r="M74">
        <v>-29.72</v>
      </c>
      <c r="N74">
        <v>-29.15</v>
      </c>
      <c r="O74">
        <v>152</v>
      </c>
    </row>
    <row r="75" spans="1:15" x14ac:dyDescent="0.25">
      <c r="A75" s="23">
        <v>45329.393750000003</v>
      </c>
      <c r="C75">
        <v>61.03</v>
      </c>
      <c r="D75">
        <v>58.18</v>
      </c>
      <c r="E75">
        <v>56.46</v>
      </c>
      <c r="F75">
        <v>57.95</v>
      </c>
      <c r="G75">
        <v>59.65</v>
      </c>
      <c r="H75">
        <v>61.96</v>
      </c>
      <c r="I75">
        <v>61.57</v>
      </c>
      <c r="J75">
        <v>58.34</v>
      </c>
      <c r="K75">
        <v>64.5</v>
      </c>
      <c r="L75">
        <v>57.85</v>
      </c>
      <c r="M75">
        <v>-29.76</v>
      </c>
      <c r="N75">
        <v>-29.01</v>
      </c>
      <c r="O75">
        <v>152.41999999999999</v>
      </c>
    </row>
    <row r="76" spans="1:15" x14ac:dyDescent="0.25">
      <c r="A76" s="23">
        <v>45329.394444444442</v>
      </c>
      <c r="C76">
        <v>60.94</v>
      </c>
      <c r="D76">
        <v>58.57</v>
      </c>
      <c r="E76">
        <v>56.67</v>
      </c>
      <c r="F76">
        <v>58.11</v>
      </c>
      <c r="G76">
        <v>60.17</v>
      </c>
      <c r="H76">
        <v>61.68</v>
      </c>
      <c r="I76">
        <v>61.34</v>
      </c>
      <c r="J76">
        <v>58.53</v>
      </c>
      <c r="K76">
        <v>63.54</v>
      </c>
      <c r="L76">
        <v>58.43</v>
      </c>
      <c r="M76">
        <v>-29.57</v>
      </c>
      <c r="N76">
        <v>-28.79</v>
      </c>
      <c r="O76">
        <v>151.88</v>
      </c>
    </row>
    <row r="77" spans="1:15" x14ac:dyDescent="0.25">
      <c r="A77" s="23">
        <v>45238.63958333333</v>
      </c>
      <c r="C77">
        <v>96.44</v>
      </c>
      <c r="D77">
        <v>99.28</v>
      </c>
      <c r="E77">
        <v>95.67</v>
      </c>
      <c r="F77">
        <v>97.9</v>
      </c>
      <c r="G77">
        <v>97.81</v>
      </c>
      <c r="H77">
        <v>91.96</v>
      </c>
      <c r="I77">
        <v>95.14</v>
      </c>
      <c r="J77">
        <v>93.04</v>
      </c>
      <c r="K77">
        <v>98.6</v>
      </c>
      <c r="L77">
        <v>151.12</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150.88999999999999</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Oh+MF4nYCtvcG9QeTTuGM+9IQz6ey/8F+kOMQjV+DfI1LgHoVZr+LfwxWntwuiu1KulGfxRLLQLasyBuBSL+qg==" saltValue="cqP+jC8/hGDHDYWb0T35Cw=="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0"/>
  <sheetViews>
    <sheetView topLeftCell="A106" workbookViewId="0">
      <selection activeCell="A121" sqref="A121:L130"/>
    </sheetView>
  </sheetViews>
  <sheetFormatPr baseColWidth="10" defaultRowHeight="15" x14ac:dyDescent="0.25"/>
  <sheetData>
    <row r="1" spans="1:14" x14ac:dyDescent="0.25">
      <c r="A1" s="330" t="s">
        <v>85</v>
      </c>
      <c r="B1" s="330"/>
      <c r="C1" s="330"/>
      <c r="D1" s="330"/>
      <c r="E1" s="330"/>
      <c r="F1" s="330"/>
      <c r="G1" s="330"/>
      <c r="H1" s="330"/>
      <c r="I1" s="330"/>
      <c r="J1" s="330"/>
      <c r="K1" s="330"/>
      <c r="L1" s="330"/>
      <c r="M1" s="330"/>
      <c r="N1" s="330"/>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0" t="s">
        <v>86</v>
      </c>
      <c r="B24" s="330"/>
      <c r="C24" s="330"/>
      <c r="D24" s="330"/>
      <c r="E24" s="330"/>
      <c r="F24" s="330"/>
      <c r="G24" s="330"/>
      <c r="H24" s="330"/>
      <c r="I24" s="330"/>
      <c r="J24" s="330"/>
      <c r="K24" s="330"/>
      <c r="L24" s="330"/>
      <c r="M24" s="330"/>
      <c r="N24" s="330"/>
      <c r="O24" s="330"/>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1" t="s">
        <v>249</v>
      </c>
      <c r="B45" s="331"/>
      <c r="C45" s="331"/>
      <c r="D45" s="331"/>
      <c r="E45" s="331"/>
      <c r="F45" s="331"/>
      <c r="G45" s="331"/>
      <c r="H45" s="331"/>
      <c r="I45" s="331"/>
      <c r="J45" s="331"/>
      <c r="K45" s="331"/>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2" t="s">
        <v>281</v>
      </c>
      <c r="B63" s="333"/>
      <c r="C63" s="333"/>
      <c r="D63" s="333"/>
      <c r="E63" s="333"/>
      <c r="F63" s="333"/>
      <c r="G63" s="333"/>
      <c r="H63" s="333"/>
      <c r="I63" s="333"/>
      <c r="J63" s="334"/>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2" t="s">
        <v>545</v>
      </c>
      <c r="B79" s="333"/>
      <c r="C79" s="333"/>
      <c r="D79" s="333"/>
      <c r="E79" s="333"/>
      <c r="F79" s="333"/>
      <c r="G79" s="333"/>
      <c r="H79" s="333"/>
      <c r="I79" s="333"/>
      <c r="J79" s="333"/>
      <c r="K79" s="333"/>
      <c r="L79" s="333"/>
      <c r="M79" s="333"/>
      <c r="N79" s="333"/>
      <c r="O79" s="333"/>
      <c r="P79" s="333"/>
      <c r="Q79" s="334"/>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2" spans="1:17" ht="15.75" thickBot="1" x14ac:dyDescent="0.3"/>
    <row r="103" spans="1:17" ht="15.75" thickBot="1" x14ac:dyDescent="0.3">
      <c r="A103" s="327" t="str">
        <f>C104</f>
        <v>6100 PORTABLE</v>
      </c>
      <c r="B103" s="328"/>
      <c r="C103" s="328"/>
      <c r="D103" s="328"/>
      <c r="E103" s="328"/>
      <c r="F103" s="328"/>
      <c r="G103" s="328"/>
      <c r="H103" s="328"/>
      <c r="I103" s="328"/>
      <c r="J103" s="328"/>
      <c r="K103" s="328"/>
      <c r="L103" s="329"/>
    </row>
    <row r="104" spans="1:17" ht="15.75" thickTop="1" x14ac:dyDescent="0.25">
      <c r="A104" s="312" t="s">
        <v>50</v>
      </c>
      <c r="B104" t="s">
        <v>51</v>
      </c>
      <c r="C104" t="s">
        <v>52</v>
      </c>
      <c r="E104" t="s">
        <v>53</v>
      </c>
      <c r="F104">
        <v>8480381</v>
      </c>
      <c r="H104" t="s">
        <v>54</v>
      </c>
      <c r="I104" t="s">
        <v>55</v>
      </c>
      <c r="L104" s="313"/>
    </row>
    <row r="105" spans="1:17" x14ac:dyDescent="0.25">
      <c r="A105" s="312"/>
      <c r="B105" t="s">
        <v>56</v>
      </c>
      <c r="C105" t="s">
        <v>57</v>
      </c>
      <c r="E105" t="s">
        <v>58</v>
      </c>
      <c r="F105" t="s">
        <v>59</v>
      </c>
      <c r="H105" t="s">
        <v>60</v>
      </c>
      <c r="I105" t="s">
        <v>61</v>
      </c>
      <c r="K105" t="s">
        <v>62</v>
      </c>
      <c r="L105" s="313" t="s">
        <v>63</v>
      </c>
    </row>
    <row r="106" spans="1:17" x14ac:dyDescent="0.25">
      <c r="A106" s="312" t="s">
        <v>64</v>
      </c>
      <c r="B106" t="s">
        <v>65</v>
      </c>
      <c r="L106" s="313"/>
    </row>
    <row r="107" spans="1:17" x14ac:dyDescent="0.25">
      <c r="A107" s="312" t="s">
        <v>66</v>
      </c>
      <c r="B107" t="s">
        <v>67</v>
      </c>
      <c r="C107">
        <v>20</v>
      </c>
      <c r="D107" t="s">
        <v>68</v>
      </c>
      <c r="E107">
        <v>550</v>
      </c>
      <c r="F107" t="s">
        <v>69</v>
      </c>
      <c r="G107" t="s">
        <v>70</v>
      </c>
      <c r="L107" s="313"/>
    </row>
    <row r="108" spans="1:17" x14ac:dyDescent="0.25">
      <c r="A108" s="312" t="s">
        <v>71</v>
      </c>
      <c r="B108" t="s">
        <v>67</v>
      </c>
      <c r="C108">
        <v>20</v>
      </c>
      <c r="D108" t="s">
        <v>68</v>
      </c>
      <c r="E108">
        <v>550</v>
      </c>
      <c r="F108" t="s">
        <v>69</v>
      </c>
      <c r="G108" t="s">
        <v>70</v>
      </c>
      <c r="L108" s="313"/>
    </row>
    <row r="109" spans="1:17" x14ac:dyDescent="0.25">
      <c r="A109" s="312" t="s">
        <v>72</v>
      </c>
      <c r="B109" t="s">
        <v>67</v>
      </c>
      <c r="C109">
        <v>20</v>
      </c>
      <c r="D109" t="s">
        <v>68</v>
      </c>
      <c r="E109">
        <v>550</v>
      </c>
      <c r="F109" t="s">
        <v>69</v>
      </c>
      <c r="G109" t="s">
        <v>70</v>
      </c>
      <c r="L109" s="313"/>
    </row>
    <row r="110" spans="1:17" x14ac:dyDescent="0.25">
      <c r="A110" s="312" t="s">
        <v>73</v>
      </c>
      <c r="B110" t="s">
        <v>67</v>
      </c>
      <c r="C110">
        <v>20</v>
      </c>
      <c r="D110" t="s">
        <v>68</v>
      </c>
      <c r="E110">
        <v>550</v>
      </c>
      <c r="F110" t="s">
        <v>69</v>
      </c>
      <c r="G110" t="s">
        <v>70</v>
      </c>
      <c r="L110" s="313"/>
    </row>
    <row r="111" spans="1:17" x14ac:dyDescent="0.25">
      <c r="A111" s="312" t="s">
        <v>74</v>
      </c>
      <c r="B111" t="s">
        <v>67</v>
      </c>
      <c r="C111">
        <v>20</v>
      </c>
      <c r="D111" t="s">
        <v>68</v>
      </c>
      <c r="E111">
        <v>550</v>
      </c>
      <c r="F111" t="s">
        <v>69</v>
      </c>
      <c r="G111" t="s">
        <v>70</v>
      </c>
      <c r="L111" s="313"/>
    </row>
    <row r="112" spans="1:17" x14ac:dyDescent="0.25">
      <c r="A112" s="312" t="s">
        <v>75</v>
      </c>
      <c r="B112" t="s">
        <v>67</v>
      </c>
      <c r="C112">
        <v>20</v>
      </c>
      <c r="D112" t="s">
        <v>68</v>
      </c>
      <c r="E112">
        <v>550</v>
      </c>
      <c r="F112" t="s">
        <v>69</v>
      </c>
      <c r="G112" t="s">
        <v>70</v>
      </c>
      <c r="L112" s="313"/>
    </row>
    <row r="113" spans="1:12" x14ac:dyDescent="0.25">
      <c r="A113" s="312" t="s">
        <v>76</v>
      </c>
      <c r="B113" t="s">
        <v>67</v>
      </c>
      <c r="C113">
        <v>20</v>
      </c>
      <c r="D113" t="s">
        <v>68</v>
      </c>
      <c r="E113">
        <v>550</v>
      </c>
      <c r="F113" t="s">
        <v>69</v>
      </c>
      <c r="G113" t="s">
        <v>70</v>
      </c>
      <c r="L113" s="313"/>
    </row>
    <row r="114" spans="1:12" x14ac:dyDescent="0.25">
      <c r="A114" s="312" t="s">
        <v>77</v>
      </c>
      <c r="B114" t="s">
        <v>67</v>
      </c>
      <c r="C114">
        <v>20</v>
      </c>
      <c r="D114" t="s">
        <v>68</v>
      </c>
      <c r="E114">
        <v>550</v>
      </c>
      <c r="F114" t="s">
        <v>69</v>
      </c>
      <c r="G114" t="s">
        <v>70</v>
      </c>
      <c r="L114" s="313"/>
    </row>
    <row r="115" spans="1:12" x14ac:dyDescent="0.25">
      <c r="A115" s="312" t="s">
        <v>78</v>
      </c>
      <c r="B115" t="s">
        <v>67</v>
      </c>
      <c r="C115">
        <v>20</v>
      </c>
      <c r="D115" t="s">
        <v>68</v>
      </c>
      <c r="E115">
        <v>550</v>
      </c>
      <c r="F115" t="s">
        <v>69</v>
      </c>
      <c r="G115" t="s">
        <v>70</v>
      </c>
      <c r="L115" s="313"/>
    </row>
    <row r="116" spans="1:12" x14ac:dyDescent="0.25">
      <c r="A116" s="312" t="s">
        <v>36</v>
      </c>
      <c r="C116" t="s">
        <v>66</v>
      </c>
      <c r="D116" t="s">
        <v>71</v>
      </c>
      <c r="E116" t="s">
        <v>72</v>
      </c>
      <c r="F116" t="s">
        <v>73</v>
      </c>
      <c r="G116" t="s">
        <v>74</v>
      </c>
      <c r="H116" t="s">
        <v>75</v>
      </c>
      <c r="I116" t="s">
        <v>76</v>
      </c>
      <c r="J116" t="s">
        <v>77</v>
      </c>
      <c r="K116" t="s">
        <v>78</v>
      </c>
      <c r="L116" s="313"/>
    </row>
    <row r="117" spans="1:12" ht="15.75" thickBot="1" x14ac:dyDescent="0.3">
      <c r="A117" s="314"/>
      <c r="B117" s="315"/>
      <c r="C117" s="315" t="s">
        <v>70</v>
      </c>
      <c r="D117" s="315" t="s">
        <v>70</v>
      </c>
      <c r="E117" s="315" t="s">
        <v>70</v>
      </c>
      <c r="F117" s="315" t="s">
        <v>70</v>
      </c>
      <c r="G117" s="315" t="s">
        <v>70</v>
      </c>
      <c r="H117" s="315" t="s">
        <v>70</v>
      </c>
      <c r="I117" s="315" t="s">
        <v>70</v>
      </c>
      <c r="J117" s="315" t="s">
        <v>70</v>
      </c>
      <c r="K117" s="315" t="s">
        <v>70</v>
      </c>
      <c r="L117" s="316"/>
    </row>
    <row r="119" spans="1:12" ht="15.75" thickBot="1" x14ac:dyDescent="0.3"/>
    <row r="120" spans="1:12" ht="15.75" thickBot="1" x14ac:dyDescent="0.3">
      <c r="A120" s="327" t="str">
        <f>C121</f>
        <v>Four Thermidor Efita</v>
      </c>
      <c r="B120" s="328"/>
      <c r="C120" s="328"/>
      <c r="D120" s="328"/>
      <c r="E120" s="328"/>
      <c r="F120" s="328"/>
      <c r="G120" s="328"/>
      <c r="H120" s="328"/>
      <c r="I120" s="328"/>
      <c r="J120" s="328"/>
      <c r="K120" s="328"/>
      <c r="L120" s="329"/>
    </row>
    <row r="121" spans="1:12" ht="15.75" thickTop="1" x14ac:dyDescent="0.25">
      <c r="A121" s="312" t="s">
        <v>50</v>
      </c>
      <c r="B121" t="s">
        <v>51</v>
      </c>
      <c r="C121" t="s">
        <v>546</v>
      </c>
      <c r="E121" t="s">
        <v>53</v>
      </c>
      <c r="F121">
        <v>8470479</v>
      </c>
      <c r="H121" t="s">
        <v>54</v>
      </c>
      <c r="I121" t="s">
        <v>547</v>
      </c>
      <c r="L121" s="313"/>
    </row>
    <row r="122" spans="1:12" x14ac:dyDescent="0.25">
      <c r="A122" s="312"/>
      <c r="B122" t="s">
        <v>56</v>
      </c>
      <c r="C122" t="s">
        <v>548</v>
      </c>
      <c r="E122" t="s">
        <v>58</v>
      </c>
      <c r="F122" t="s">
        <v>59</v>
      </c>
      <c r="H122" t="s">
        <v>60</v>
      </c>
      <c r="I122" t="s">
        <v>61</v>
      </c>
      <c r="K122" t="s">
        <v>62</v>
      </c>
      <c r="L122" s="313" t="s">
        <v>63</v>
      </c>
    </row>
    <row r="123" spans="1:12" x14ac:dyDescent="0.25">
      <c r="A123" s="312" t="s">
        <v>64</v>
      </c>
      <c r="B123" t="s">
        <v>65</v>
      </c>
      <c r="L123" s="313"/>
    </row>
    <row r="124" spans="1:12" x14ac:dyDescent="0.25">
      <c r="A124" s="312" t="s">
        <v>541</v>
      </c>
      <c r="B124" t="s">
        <v>67</v>
      </c>
      <c r="C124">
        <v>50</v>
      </c>
      <c r="D124" t="s">
        <v>68</v>
      </c>
      <c r="E124">
        <v>550</v>
      </c>
      <c r="F124" t="s">
        <v>69</v>
      </c>
      <c r="G124" t="s">
        <v>70</v>
      </c>
      <c r="L124" s="313"/>
    </row>
    <row r="125" spans="1:12" x14ac:dyDescent="0.25">
      <c r="A125" s="312" t="s">
        <v>549</v>
      </c>
      <c r="B125" t="s">
        <v>67</v>
      </c>
      <c r="C125">
        <v>0</v>
      </c>
      <c r="D125" t="s">
        <v>68</v>
      </c>
      <c r="E125">
        <v>100</v>
      </c>
      <c r="F125" t="s">
        <v>69</v>
      </c>
      <c r="G125" t="s">
        <v>550</v>
      </c>
      <c r="L125" s="313"/>
    </row>
    <row r="126" spans="1:12" x14ac:dyDescent="0.25">
      <c r="A126" s="312" t="s">
        <v>542</v>
      </c>
      <c r="B126" t="s">
        <v>67</v>
      </c>
      <c r="C126">
        <v>50</v>
      </c>
      <c r="D126" t="s">
        <v>68</v>
      </c>
      <c r="E126">
        <v>550</v>
      </c>
      <c r="F126" t="s">
        <v>69</v>
      </c>
      <c r="G126" t="s">
        <v>70</v>
      </c>
      <c r="L126" s="313"/>
    </row>
    <row r="127" spans="1:12" x14ac:dyDescent="0.25">
      <c r="A127" s="312" t="s">
        <v>544</v>
      </c>
      <c r="B127" t="s">
        <v>67</v>
      </c>
      <c r="C127">
        <v>50</v>
      </c>
      <c r="D127" t="s">
        <v>68</v>
      </c>
      <c r="E127">
        <v>550</v>
      </c>
      <c r="F127" t="s">
        <v>69</v>
      </c>
      <c r="G127" t="s">
        <v>70</v>
      </c>
      <c r="L127" s="313"/>
    </row>
    <row r="128" spans="1:12" x14ac:dyDescent="0.25">
      <c r="A128" s="312" t="s">
        <v>543</v>
      </c>
      <c r="B128" t="s">
        <v>67</v>
      </c>
      <c r="C128">
        <v>50</v>
      </c>
      <c r="D128" t="s">
        <v>68</v>
      </c>
      <c r="E128">
        <v>550</v>
      </c>
      <c r="F128" t="s">
        <v>69</v>
      </c>
      <c r="G128" t="s">
        <v>70</v>
      </c>
      <c r="L128" s="313"/>
    </row>
    <row r="129" spans="1:12" x14ac:dyDescent="0.25">
      <c r="A129" s="312" t="s">
        <v>36</v>
      </c>
      <c r="C129" t="s">
        <v>541</v>
      </c>
      <c r="D129" t="s">
        <v>549</v>
      </c>
      <c r="E129" t="s">
        <v>542</v>
      </c>
      <c r="F129" t="s">
        <v>544</v>
      </c>
      <c r="G129" t="s">
        <v>543</v>
      </c>
      <c r="L129" s="313"/>
    </row>
    <row r="130" spans="1:12" ht="15.75" thickBot="1" x14ac:dyDescent="0.3">
      <c r="A130" s="314"/>
      <c r="B130" s="315"/>
      <c r="C130" s="315" t="s">
        <v>70</v>
      </c>
      <c r="D130" s="315" t="s">
        <v>550</v>
      </c>
      <c r="E130" s="315" t="s">
        <v>70</v>
      </c>
      <c r="F130" s="315" t="s">
        <v>70</v>
      </c>
      <c r="G130" s="315" t="s">
        <v>70</v>
      </c>
      <c r="H130" s="315"/>
      <c r="I130" s="315"/>
      <c r="J130" s="315"/>
      <c r="K130" s="315"/>
      <c r="L130" s="316"/>
    </row>
  </sheetData>
  <sheetProtection algorithmName="SHA-512" hashValue="tb4YZPjl7pgteNHRIpnz2kovXaarUsyNYvTqie217XzX0w+jHGg7w2KQGfosw+GFj+qxYp6TYKfvYld0QUXtLA==" saltValue="sNOIfa27X1eoDmtkb2kl9w==" spinCount="100000" sheet="1" objects="1" scenarios="1"/>
  <mergeCells count="7">
    <mergeCell ref="A103:L103"/>
    <mergeCell ref="A120:L120"/>
    <mergeCell ref="A1:N1"/>
    <mergeCell ref="A24:O24"/>
    <mergeCell ref="A45:K45"/>
    <mergeCell ref="A63:J63"/>
    <mergeCell ref="A79:Q79"/>
  </mergeCells>
  <phoneticPr fontId="4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3:M10"/>
  <sheetViews>
    <sheetView tabSelected="1" workbookViewId="0">
      <selection activeCell="I22" sqref="I22"/>
    </sheetView>
  </sheetViews>
  <sheetFormatPr baseColWidth="10" defaultColWidth="9.140625" defaultRowHeight="15" x14ac:dyDescent="0.25"/>
  <cols>
    <col min="2" max="2" width="15.28515625" customWidth="1"/>
  </cols>
  <sheetData>
    <row r="3" spans="2:13" x14ac:dyDescent="0.25">
      <c r="B3" s="24" t="s">
        <v>283</v>
      </c>
    </row>
    <row r="4" spans="2:13" x14ac:dyDescent="0.25">
      <c r="B4" s="24" t="s">
        <v>246</v>
      </c>
      <c r="D4" s="24"/>
    </row>
    <row r="5" spans="2:13" x14ac:dyDescent="0.25">
      <c r="B5" s="24" t="s">
        <v>290</v>
      </c>
    </row>
    <row r="6" spans="2:13" x14ac:dyDescent="0.25">
      <c r="B6" s="24" t="s">
        <v>247</v>
      </c>
    </row>
    <row r="7" spans="2:13" x14ac:dyDescent="0.25">
      <c r="B7" s="24" t="s">
        <v>291</v>
      </c>
      <c r="K7" s="159" t="s">
        <v>334</v>
      </c>
    </row>
    <row r="8" spans="2:13" x14ac:dyDescent="0.25">
      <c r="B8" s="24" t="s">
        <v>336</v>
      </c>
    </row>
    <row r="10" spans="2:13" x14ac:dyDescent="0.25">
      <c r="M10" t="s">
        <v>248</v>
      </c>
    </row>
  </sheetData>
  <sheetProtection algorithmName="SHA-512" hashValue="z9ZccmfDnW/exM1Sinjr6UoITWSJNSHrMyHtnmsyZlzRS8TqyTI32c5tebOyfz9P8ei2pNAa2muFXKECdlqnxQ==" saltValue="gqcc0K6Q2sMpwMNh2b3uxw==" spinCount="100000"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15</xdr:col>
                <xdr:colOff>409575</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zoomScale="70" zoomScaleNormal="85" workbookViewId="0">
      <selection activeCell="B10" sqref="B10"/>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36" t="s">
        <v>485</v>
      </c>
      <c r="B1" s="336"/>
      <c r="C1" s="336"/>
      <c r="D1" s="336"/>
      <c r="E1" s="336"/>
      <c r="F1" s="336"/>
      <c r="G1" s="336"/>
      <c r="H1" s="336"/>
      <c r="I1" s="336"/>
      <c r="J1" s="336"/>
      <c r="K1" s="336"/>
      <c r="L1" s="336"/>
      <c r="M1" s="336"/>
    </row>
    <row r="2" spans="1:14" ht="20.25" x14ac:dyDescent="0.3">
      <c r="A2" s="337" t="s">
        <v>486</v>
      </c>
      <c r="B2" s="337"/>
      <c r="C2" s="337"/>
      <c r="D2" s="337"/>
      <c r="E2" s="337"/>
      <c r="F2" s="337"/>
      <c r="G2" s="337"/>
      <c r="H2" s="337"/>
      <c r="I2" s="337"/>
      <c r="J2" s="337"/>
      <c r="K2" s="337"/>
      <c r="L2" s="337"/>
      <c r="M2" s="337"/>
    </row>
    <row r="4" spans="1:14" x14ac:dyDescent="0.25">
      <c r="A4" t="s">
        <v>487</v>
      </c>
      <c r="B4" s="338" t="s">
        <v>488</v>
      </c>
      <c r="C4" s="338"/>
      <c r="D4" s="338"/>
      <c r="E4" s="270" t="s">
        <v>489</v>
      </c>
    </row>
    <row r="5" spans="1:14" x14ac:dyDescent="0.25">
      <c r="A5" s="271" t="s">
        <v>490</v>
      </c>
      <c r="B5" s="272"/>
      <c r="C5" s="24" t="s">
        <v>491</v>
      </c>
    </row>
    <row r="6" spans="1:14" x14ac:dyDescent="0.25">
      <c r="A6" s="271" t="s">
        <v>492</v>
      </c>
      <c r="B6" s="273"/>
    </row>
    <row r="7" spans="1:14" x14ac:dyDescent="0.25">
      <c r="A7" s="339" t="s">
        <v>493</v>
      </c>
      <c r="B7" s="272"/>
    </row>
    <row r="8" spans="1:14" x14ac:dyDescent="0.25">
      <c r="A8" s="340"/>
      <c r="B8" s="272"/>
    </row>
    <row r="9" spans="1:14" x14ac:dyDescent="0.25">
      <c r="A9" s="341"/>
      <c r="B9" s="272"/>
    </row>
    <row r="10" spans="1:14" x14ac:dyDescent="0.25">
      <c r="A10" s="271" t="s">
        <v>494</v>
      </c>
      <c r="B10" s="272"/>
    </row>
    <row r="11" spans="1:14" x14ac:dyDescent="0.25">
      <c r="A11" s="271" t="s">
        <v>5</v>
      </c>
      <c r="B11" s="274"/>
    </row>
    <row r="12" spans="1:14" x14ac:dyDescent="0.25">
      <c r="A12" s="271" t="s">
        <v>495</v>
      </c>
      <c r="B12" s="275"/>
    </row>
    <row r="14" spans="1:14" x14ac:dyDescent="0.25">
      <c r="A14" s="276" t="s">
        <v>496</v>
      </c>
      <c r="B14" s="277" t="s">
        <v>497</v>
      </c>
      <c r="C14" s="278" t="s">
        <v>498</v>
      </c>
      <c r="D14" s="342" t="s">
        <v>499</v>
      </c>
      <c r="E14" s="343"/>
      <c r="F14" s="276" t="s">
        <v>500</v>
      </c>
      <c r="H14" s="1"/>
      <c r="J14" s="335" t="s">
        <v>501</v>
      </c>
      <c r="K14" s="335"/>
      <c r="L14" s="335"/>
      <c r="M14" s="335"/>
      <c r="N14" s="335"/>
    </row>
    <row r="15" spans="1:14" x14ac:dyDescent="0.25">
      <c r="B15" s="279"/>
      <c r="C15" s="280"/>
      <c r="D15" s="281" t="s">
        <v>502</v>
      </c>
      <c r="E15" s="282" t="s">
        <v>503</v>
      </c>
      <c r="F15" s="1" t="s">
        <v>503</v>
      </c>
      <c r="H15" s="1"/>
      <c r="J15" s="344" t="s">
        <v>504</v>
      </c>
      <c r="K15" s="344"/>
      <c r="L15" s="344"/>
      <c r="M15" s="344"/>
      <c r="N15" s="344"/>
    </row>
    <row r="16" spans="1:14" x14ac:dyDescent="0.25">
      <c r="A16" s="254" t="s">
        <v>50</v>
      </c>
      <c r="B16" s="283" t="s">
        <v>505</v>
      </c>
      <c r="C16" s="284" t="s">
        <v>186</v>
      </c>
      <c r="D16" s="285"/>
      <c r="E16" s="285"/>
      <c r="F16" s="286"/>
      <c r="G16" s="287"/>
    </row>
    <row r="17" spans="1:14" x14ac:dyDescent="0.25">
      <c r="A17" s="254" t="s">
        <v>12</v>
      </c>
      <c r="B17" s="283" t="s">
        <v>506</v>
      </c>
      <c r="C17" s="285"/>
      <c r="D17" s="285"/>
      <c r="E17" s="285"/>
      <c r="F17" s="285"/>
      <c r="G17" s="287"/>
      <c r="J17" s="288" t="s">
        <v>507</v>
      </c>
      <c r="K17" s="288"/>
      <c r="L17" s="288"/>
      <c r="M17" s="288"/>
      <c r="N17" s="288"/>
    </row>
    <row r="18" spans="1:14" ht="25.5" x14ac:dyDescent="0.25">
      <c r="A18" s="254" t="s">
        <v>12</v>
      </c>
      <c r="B18" s="283" t="s">
        <v>506</v>
      </c>
      <c r="C18" s="285"/>
      <c r="D18" s="285"/>
      <c r="E18" s="285"/>
      <c r="F18" s="285"/>
      <c r="G18" s="287"/>
      <c r="H18" s="289" t="s">
        <v>508</v>
      </c>
      <c r="J18" s="288" t="s">
        <v>509</v>
      </c>
      <c r="K18" s="288"/>
      <c r="L18" s="288"/>
      <c r="M18" s="288"/>
      <c r="N18" s="288"/>
    </row>
    <row r="19" spans="1:14" x14ac:dyDescent="0.25">
      <c r="A19" s="89"/>
      <c r="B19" s="1"/>
      <c r="C19" s="1"/>
      <c r="D19" s="1"/>
      <c r="E19" s="1"/>
      <c r="F19" s="1"/>
      <c r="G19" s="1"/>
      <c r="H19" s="1"/>
      <c r="I19" s="345"/>
      <c r="J19" s="345"/>
      <c r="K19" s="345"/>
      <c r="L19" s="345"/>
      <c r="M19" s="345"/>
    </row>
    <row r="20" spans="1:14" x14ac:dyDescent="0.25">
      <c r="A20" s="89"/>
      <c r="B20" s="291" t="s">
        <v>510</v>
      </c>
      <c r="C20" s="291" t="s">
        <v>511</v>
      </c>
      <c r="D20" s="291" t="s">
        <v>512</v>
      </c>
      <c r="E20" s="291" t="s">
        <v>513</v>
      </c>
      <c r="F20" s="291" t="s">
        <v>514</v>
      </c>
      <c r="G20" s="291" t="s">
        <v>515</v>
      </c>
      <c r="H20" s="1"/>
      <c r="I20" s="290"/>
      <c r="J20" s="290"/>
      <c r="K20" s="290"/>
      <c r="L20" s="290"/>
      <c r="M20" s="290"/>
    </row>
    <row r="21" spans="1:14" x14ac:dyDescent="0.25">
      <c r="A21" s="89"/>
      <c r="B21" s="292">
        <v>80</v>
      </c>
      <c r="C21" s="292">
        <v>-0.6</v>
      </c>
      <c r="D21" s="292">
        <v>-0.27</v>
      </c>
      <c r="E21" s="292">
        <v>0.5</v>
      </c>
      <c r="F21" s="292">
        <v>3</v>
      </c>
      <c r="G21" s="292">
        <v>6</v>
      </c>
      <c r="H21" s="1"/>
      <c r="I21" s="290"/>
      <c r="J21" s="290"/>
      <c r="K21" s="290"/>
      <c r="L21" s="290"/>
      <c r="M21" s="290"/>
    </row>
    <row r="22" spans="1:14" x14ac:dyDescent="0.25">
      <c r="A22" s="89"/>
      <c r="B22" s="292">
        <v>200</v>
      </c>
      <c r="C22" s="293">
        <v>-0.6</v>
      </c>
      <c r="D22" s="293">
        <v>-0.27</v>
      </c>
      <c r="E22" s="293">
        <v>0.5</v>
      </c>
      <c r="F22" s="293">
        <v>3</v>
      </c>
      <c r="G22" s="293">
        <v>6</v>
      </c>
      <c r="H22" s="1"/>
      <c r="I22" s="290"/>
      <c r="J22" s="290"/>
      <c r="K22" s="290"/>
      <c r="L22" s="290"/>
      <c r="M22" s="290"/>
    </row>
    <row r="23" spans="1:14" x14ac:dyDescent="0.25">
      <c r="A23" s="89"/>
      <c r="B23" s="292">
        <v>385</v>
      </c>
      <c r="C23" s="293">
        <v>-0.6</v>
      </c>
      <c r="D23" s="293">
        <v>-0.27</v>
      </c>
      <c r="E23" s="293">
        <v>0.5</v>
      </c>
      <c r="F23" s="293">
        <v>5</v>
      </c>
      <c r="G23" s="293">
        <v>10</v>
      </c>
      <c r="H23" s="1"/>
      <c r="I23" s="290"/>
      <c r="J23" s="290"/>
      <c r="K23" s="290"/>
      <c r="L23" s="290"/>
      <c r="M23" s="290"/>
    </row>
    <row r="24" spans="1:14" x14ac:dyDescent="0.25">
      <c r="A24" s="89"/>
      <c r="B24" s="292">
        <v>535</v>
      </c>
      <c r="C24" s="293">
        <v>-0.6</v>
      </c>
      <c r="D24" s="293">
        <v>-0.27</v>
      </c>
      <c r="E24" s="293">
        <v>0.5</v>
      </c>
      <c r="F24" s="293">
        <v>5</v>
      </c>
      <c r="G24" s="293">
        <v>10</v>
      </c>
      <c r="H24" s="1"/>
      <c r="I24" s="290"/>
      <c r="J24" s="290"/>
      <c r="K24" s="290"/>
      <c r="L24" s="290"/>
      <c r="M24" s="290"/>
    </row>
    <row r="25" spans="1:14" x14ac:dyDescent="0.25">
      <c r="A25" s="89"/>
      <c r="B25" s="1"/>
      <c r="C25" s="1"/>
      <c r="D25" s="1"/>
      <c r="E25" s="1"/>
      <c r="F25" s="1"/>
      <c r="G25" s="1"/>
      <c r="H25" s="1"/>
      <c r="I25" s="290"/>
      <c r="J25" s="290"/>
      <c r="K25" s="290"/>
      <c r="L25" s="290"/>
      <c r="M25" s="290"/>
    </row>
    <row r="26" spans="1:14" x14ac:dyDescent="0.25">
      <c r="A26" s="346" t="s">
        <v>516</v>
      </c>
      <c r="B26" s="346"/>
      <c r="C26" s="346"/>
      <c r="D26" s="347" t="s">
        <v>517</v>
      </c>
      <c r="E26" s="348"/>
      <c r="F26" s="348"/>
      <c r="G26" s="348"/>
      <c r="H26" s="349"/>
      <c r="I26" s="290"/>
      <c r="J26" s="290"/>
      <c r="K26" s="290"/>
      <c r="L26" s="290"/>
      <c r="M26" s="290"/>
    </row>
    <row r="27" spans="1:14" ht="36" customHeight="1" x14ac:dyDescent="0.25">
      <c r="A27" s="294" t="s">
        <v>518</v>
      </c>
      <c r="B27" s="294" t="s">
        <v>519</v>
      </c>
      <c r="C27" s="295" t="s">
        <v>520</v>
      </c>
      <c r="D27" s="295" t="str">
        <f>_xlfn.CONCAT(B$21,"°C")</f>
        <v>80°C</v>
      </c>
      <c r="E27" s="295" t="str">
        <f>_xlfn.CONCAT(B$22,"°C")</f>
        <v>200°C</v>
      </c>
      <c r="F27" s="295" t="str">
        <f>_xlfn.CONCAT(B$23,"°C")</f>
        <v>385°C</v>
      </c>
      <c r="G27" s="295" t="str">
        <f>_xlfn.CONCAT(B$24,"°C")</f>
        <v>535°C</v>
      </c>
      <c r="H27" s="295" t="s">
        <v>521</v>
      </c>
      <c r="I27" s="290"/>
      <c r="J27" s="290"/>
      <c r="K27" s="290"/>
      <c r="L27" s="290"/>
      <c r="M27" s="290"/>
    </row>
    <row r="28" spans="1:14" ht="22.5" customHeight="1" x14ac:dyDescent="0.25">
      <c r="A28" s="251">
        <v>1</v>
      </c>
      <c r="B28" s="296"/>
      <c r="C28" s="296"/>
      <c r="D28" s="297"/>
      <c r="E28" s="297"/>
      <c r="F28" s="297"/>
      <c r="G28" s="297"/>
      <c r="H28" s="298"/>
      <c r="I28" s="290"/>
      <c r="J28" s="290"/>
      <c r="K28" s="290"/>
      <c r="L28" s="290"/>
      <c r="M28" s="290"/>
    </row>
    <row r="29" spans="1:14" ht="22.5" customHeight="1" x14ac:dyDescent="0.25">
      <c r="A29" s="251">
        <v>2</v>
      </c>
      <c r="B29" s="296"/>
      <c r="C29" s="296"/>
      <c r="D29" s="297"/>
      <c r="E29" s="297"/>
      <c r="F29" s="297"/>
      <c r="G29" s="297"/>
      <c r="H29" s="298"/>
      <c r="J29" s="335" t="s">
        <v>522</v>
      </c>
      <c r="K29" s="335"/>
      <c r="L29" s="335"/>
      <c r="M29" s="335"/>
      <c r="N29" s="335"/>
    </row>
    <row r="30" spans="1:14" ht="18" customHeight="1" x14ac:dyDescent="0.25">
      <c r="A30" s="251">
        <v>3</v>
      </c>
      <c r="B30" s="296"/>
      <c r="C30" s="296"/>
      <c r="D30" s="297"/>
      <c r="E30" s="297"/>
      <c r="F30" s="297"/>
      <c r="G30" s="297"/>
      <c r="H30" s="298"/>
      <c r="J30" s="335" t="s">
        <v>523</v>
      </c>
      <c r="K30" s="335"/>
      <c r="L30" s="335"/>
      <c r="M30" s="335"/>
      <c r="N30" s="335"/>
    </row>
    <row r="31" spans="1:14" ht="24" customHeight="1" x14ac:dyDescent="0.25">
      <c r="A31" s="251">
        <v>4</v>
      </c>
      <c r="B31" s="296"/>
      <c r="C31" s="296"/>
      <c r="D31" s="297"/>
      <c r="E31" s="297"/>
      <c r="F31" s="297"/>
      <c r="G31" s="297"/>
      <c r="H31" s="298"/>
      <c r="J31" s="335" t="s">
        <v>524</v>
      </c>
      <c r="K31" s="335"/>
      <c r="L31" s="335"/>
      <c r="M31" s="335"/>
      <c r="N31" s="335"/>
    </row>
    <row r="32" spans="1:14" ht="19.5" customHeight="1" x14ac:dyDescent="0.25">
      <c r="A32" s="251">
        <v>5</v>
      </c>
      <c r="B32" s="296"/>
      <c r="C32" s="296"/>
      <c r="D32" s="297"/>
      <c r="E32" s="297"/>
      <c r="F32" s="297"/>
      <c r="G32" s="297"/>
      <c r="H32" s="298"/>
      <c r="I32" s="290"/>
      <c r="J32" s="290"/>
      <c r="K32" s="290"/>
      <c r="L32" s="290"/>
      <c r="M32" s="290"/>
    </row>
    <row r="33" spans="1:13" ht="20.25" customHeight="1" x14ac:dyDescent="0.25">
      <c r="A33" s="251">
        <v>6</v>
      </c>
      <c r="B33" s="296"/>
      <c r="C33" s="296"/>
      <c r="D33" s="297"/>
      <c r="E33" s="297"/>
      <c r="F33" s="297"/>
      <c r="G33" s="297"/>
      <c r="H33" s="298"/>
      <c r="I33" s="290"/>
      <c r="J33" s="290"/>
      <c r="K33" s="290"/>
      <c r="L33" s="290"/>
      <c r="M33" s="290"/>
    </row>
    <row r="34" spans="1:13" ht="20.25" customHeight="1" x14ac:dyDescent="0.25">
      <c r="A34" s="251">
        <v>7</v>
      </c>
      <c r="B34" s="296"/>
      <c r="C34" s="296"/>
      <c r="D34" s="297"/>
      <c r="E34" s="297"/>
      <c r="F34" s="297"/>
      <c r="G34" s="297"/>
      <c r="H34" s="298"/>
      <c r="I34" s="290"/>
      <c r="J34" s="290"/>
      <c r="K34" s="290"/>
      <c r="L34" s="290"/>
      <c r="M34" s="290"/>
    </row>
    <row r="35" spans="1:13" ht="21" customHeight="1" x14ac:dyDescent="0.25">
      <c r="A35" s="251">
        <v>8</v>
      </c>
      <c r="B35" s="296"/>
      <c r="C35" s="296"/>
      <c r="D35" s="297"/>
      <c r="E35" s="297"/>
      <c r="F35" s="297"/>
      <c r="G35" s="297"/>
      <c r="H35" s="298"/>
      <c r="I35" s="290"/>
      <c r="J35" s="290"/>
      <c r="K35" s="290"/>
      <c r="L35" s="290"/>
      <c r="M35" s="290"/>
    </row>
    <row r="36" spans="1:13" ht="26.25" customHeight="1" x14ac:dyDescent="0.25">
      <c r="A36" s="251">
        <v>9</v>
      </c>
      <c r="B36" s="296"/>
      <c r="C36" s="296"/>
      <c r="D36" s="297"/>
      <c r="E36" s="297"/>
      <c r="F36" s="297"/>
      <c r="G36" s="297"/>
      <c r="H36" s="298"/>
      <c r="I36" s="290"/>
      <c r="J36" s="290"/>
      <c r="K36" s="290"/>
      <c r="L36" s="290"/>
      <c r="M36" s="290"/>
    </row>
    <row r="37" spans="1:13" x14ac:dyDescent="0.25">
      <c r="A37" s="89"/>
      <c r="B37" s="1"/>
      <c r="C37" s="1"/>
      <c r="D37" s="1"/>
      <c r="E37" s="1"/>
      <c r="F37" s="1"/>
      <c r="G37" s="1"/>
      <c r="H37" s="1"/>
      <c r="I37" s="290"/>
      <c r="J37" s="290"/>
      <c r="K37" s="290"/>
      <c r="L37" s="290"/>
      <c r="M37" s="290"/>
    </row>
    <row r="38" spans="1:13" x14ac:dyDescent="0.25">
      <c r="A38" s="89"/>
      <c r="B38" s="1"/>
      <c r="C38" s="346" t="s">
        <v>525</v>
      </c>
      <c r="D38" s="346" t="s">
        <v>526</v>
      </c>
      <c r="E38" s="346"/>
      <c r="F38" s="346"/>
      <c r="G38" s="127" t="str">
        <f>IF(+D16&lt;&gt;"",D16,"")</f>
        <v/>
      </c>
      <c r="H38" s="1"/>
      <c r="I38" s="290"/>
      <c r="J38" s="290"/>
      <c r="K38" s="290"/>
      <c r="L38" s="290"/>
      <c r="M38" s="290"/>
    </row>
    <row r="39" spans="1:13" x14ac:dyDescent="0.25">
      <c r="A39" s="89"/>
      <c r="B39" s="1"/>
      <c r="C39" s="346"/>
      <c r="D39" s="127" t="str">
        <f>_xlfn.CONCAT(B$21,"°C")</f>
        <v>80°C</v>
      </c>
      <c r="E39" s="127" t="str">
        <f>_xlfn.CONCAT(B$22,"°C")</f>
        <v>200°C</v>
      </c>
      <c r="F39" s="127" t="str">
        <f>_xlfn.CONCAT(B$23,"°C")</f>
        <v>385°C</v>
      </c>
      <c r="G39" s="127" t="str">
        <f>_xlfn.CONCAT(B$24,"°C")</f>
        <v>535°C</v>
      </c>
      <c r="H39" s="1"/>
      <c r="I39" s="290"/>
      <c r="J39" s="290"/>
      <c r="K39" s="290"/>
      <c r="L39" s="290"/>
      <c r="M39" s="290"/>
    </row>
    <row r="40" spans="1:13" ht="24" customHeight="1" x14ac:dyDescent="0.25">
      <c r="A40" s="89"/>
      <c r="B40" s="1"/>
      <c r="C40" s="251">
        <v>1</v>
      </c>
      <c r="D40" s="297"/>
      <c r="E40" s="297"/>
      <c r="F40" s="297"/>
      <c r="G40" s="297"/>
      <c r="H40" s="1"/>
      <c r="I40" s="290"/>
      <c r="J40" s="290"/>
      <c r="K40" s="290"/>
      <c r="L40" s="290"/>
      <c r="M40" s="290"/>
    </row>
    <row r="41" spans="1:13" ht="23.25" customHeight="1" x14ac:dyDescent="0.25">
      <c r="A41" s="89"/>
      <c r="B41" s="1"/>
      <c r="C41" s="251">
        <v>2</v>
      </c>
      <c r="D41" s="297"/>
      <c r="E41" s="297"/>
      <c r="F41" s="297"/>
      <c r="G41" s="297"/>
      <c r="H41" s="1"/>
      <c r="I41" s="290"/>
      <c r="J41" s="290"/>
      <c r="K41" s="290"/>
      <c r="L41" s="290"/>
      <c r="M41" s="290"/>
    </row>
    <row r="42" spans="1:13" ht="24" customHeight="1" x14ac:dyDescent="0.25">
      <c r="A42" s="89"/>
      <c r="B42" s="1"/>
      <c r="C42" s="251">
        <v>3</v>
      </c>
      <c r="D42" s="297"/>
      <c r="E42" s="297"/>
      <c r="F42" s="297"/>
      <c r="G42" s="297"/>
      <c r="H42" s="1"/>
      <c r="I42" s="290"/>
      <c r="J42" s="290"/>
      <c r="K42" s="290"/>
      <c r="L42" s="290"/>
      <c r="M42" s="290"/>
    </row>
    <row r="43" spans="1:13" ht="21" customHeight="1" x14ac:dyDescent="0.25">
      <c r="A43" s="89"/>
      <c r="B43" s="1"/>
      <c r="C43" s="251">
        <v>4</v>
      </c>
      <c r="D43" s="297"/>
      <c r="E43" s="297"/>
      <c r="F43" s="297"/>
      <c r="G43" s="297"/>
      <c r="H43" s="1"/>
      <c r="I43" s="290"/>
      <c r="J43" s="290"/>
      <c r="K43" s="290"/>
      <c r="L43" s="290"/>
      <c r="M43" s="290"/>
    </row>
    <row r="44" spans="1:13" ht="28.5" customHeight="1" x14ac:dyDescent="0.25">
      <c r="A44" s="89"/>
      <c r="B44" s="1"/>
      <c r="C44" s="251">
        <v>5</v>
      </c>
      <c r="D44" s="297"/>
      <c r="E44" s="297"/>
      <c r="F44" s="297"/>
      <c r="G44" s="297"/>
      <c r="H44" s="1"/>
      <c r="I44" s="290"/>
      <c r="J44" s="290"/>
      <c r="K44" s="290"/>
      <c r="L44" s="290"/>
      <c r="M44" s="290"/>
    </row>
    <row r="45" spans="1:13" ht="24" customHeight="1" x14ac:dyDescent="0.25">
      <c r="A45" s="89"/>
      <c r="B45" s="1"/>
      <c r="C45" s="251">
        <v>6</v>
      </c>
      <c r="D45" s="297"/>
      <c r="E45" s="297"/>
      <c r="F45" s="297"/>
      <c r="G45" s="297"/>
      <c r="H45" s="1"/>
      <c r="I45" s="290"/>
      <c r="J45" s="290"/>
      <c r="K45" s="290"/>
      <c r="L45" s="290"/>
      <c r="M45" s="290"/>
    </row>
    <row r="46" spans="1:13" ht="24" customHeight="1" x14ac:dyDescent="0.25">
      <c r="A46" s="89"/>
      <c r="B46" s="1"/>
      <c r="C46" s="251">
        <v>7</v>
      </c>
      <c r="D46" s="297"/>
      <c r="E46" s="297"/>
      <c r="F46" s="297"/>
      <c r="G46" s="297"/>
      <c r="H46" s="1"/>
      <c r="I46" s="290"/>
      <c r="J46" s="290"/>
      <c r="K46" s="290"/>
      <c r="L46" s="290"/>
      <c r="M46" s="290"/>
    </row>
    <row r="47" spans="1:13" ht="23.25" customHeight="1" x14ac:dyDescent="0.25">
      <c r="A47" s="89"/>
      <c r="B47" s="1"/>
      <c r="C47" s="251">
        <v>8</v>
      </c>
      <c r="D47" s="297"/>
      <c r="E47" s="297"/>
      <c r="F47" s="297"/>
      <c r="G47" s="297"/>
      <c r="H47" s="1"/>
      <c r="I47" s="290"/>
      <c r="J47" s="290"/>
      <c r="K47" s="290"/>
      <c r="L47" s="290"/>
      <c r="M47" s="290"/>
    </row>
    <row r="48" spans="1:13" ht="24" customHeight="1" x14ac:dyDescent="0.25">
      <c r="A48" s="89"/>
      <c r="B48" s="1"/>
      <c r="C48" s="251">
        <v>9</v>
      </c>
      <c r="D48" s="297"/>
      <c r="E48" s="297"/>
      <c r="F48" s="297"/>
      <c r="G48" s="297"/>
      <c r="H48" s="1"/>
      <c r="I48" s="290"/>
      <c r="J48" s="290"/>
      <c r="K48" s="290"/>
      <c r="L48" s="290"/>
      <c r="M48" s="290"/>
    </row>
    <row r="49" spans="1:13" x14ac:dyDescent="0.25">
      <c r="A49" s="89"/>
      <c r="B49" s="1"/>
      <c r="C49" s="1"/>
      <c r="D49" s="1"/>
      <c r="E49" s="1"/>
      <c r="F49" s="1"/>
      <c r="G49" s="1"/>
      <c r="H49" s="1"/>
      <c r="I49" s="290"/>
      <c r="J49" s="290"/>
      <c r="K49" s="290"/>
      <c r="L49" s="290"/>
      <c r="M49" s="290"/>
    </row>
    <row r="50" spans="1:13" x14ac:dyDescent="0.25">
      <c r="A50" s="89"/>
      <c r="B50" s="1"/>
      <c r="C50" s="1"/>
      <c r="D50" s="1"/>
      <c r="E50" s="1"/>
      <c r="F50" s="1"/>
      <c r="G50" s="1"/>
      <c r="H50" s="1"/>
      <c r="I50" s="290"/>
      <c r="J50" s="290"/>
      <c r="K50" s="290"/>
      <c r="L50" s="290"/>
      <c r="M50" s="290"/>
    </row>
    <row r="51" spans="1:13" x14ac:dyDescent="0.25">
      <c r="A51" s="299" t="s">
        <v>527</v>
      </c>
      <c r="B51" s="1"/>
      <c r="C51" s="300" t="s">
        <v>498</v>
      </c>
      <c r="D51" s="346"/>
      <c r="E51" s="346"/>
      <c r="F51" s="89"/>
      <c r="G51" s="1"/>
      <c r="H51" s="1"/>
    </row>
    <row r="52" spans="1:13" x14ac:dyDescent="0.25">
      <c r="C52" s="280"/>
      <c r="D52" s="251" t="s">
        <v>502</v>
      </c>
      <c r="E52" s="251" t="s">
        <v>503</v>
      </c>
      <c r="F52" s="1"/>
      <c r="I52" s="301"/>
      <c r="J52" s="302"/>
      <c r="K52" s="303"/>
      <c r="L52" s="304"/>
      <c r="M52" s="305"/>
    </row>
    <row r="53" spans="1:13" ht="28.9" customHeight="1" x14ac:dyDescent="0.25">
      <c r="A53" s="306" t="s">
        <v>528</v>
      </c>
      <c r="B53" s="307" t="s">
        <v>529</v>
      </c>
      <c r="C53" s="283" t="s">
        <v>530</v>
      </c>
      <c r="D53" s="283" t="s">
        <v>531</v>
      </c>
      <c r="E53" s="308">
        <v>42901</v>
      </c>
      <c r="F53" s="287"/>
      <c r="G53" s="302"/>
      <c r="H53" s="302"/>
      <c r="I53" s="335" t="s">
        <v>507</v>
      </c>
      <c r="J53" s="335"/>
      <c r="K53" s="335"/>
      <c r="L53" s="335"/>
      <c r="M53" s="335"/>
    </row>
    <row r="54" spans="1:13" ht="25.9" customHeight="1" x14ac:dyDescent="0.25">
      <c r="A54" s="309"/>
      <c r="B54" s="307" t="s">
        <v>532</v>
      </c>
      <c r="C54" s="283" t="s">
        <v>533</v>
      </c>
      <c r="D54" s="283" t="s">
        <v>534</v>
      </c>
      <c r="E54" s="308">
        <v>44785</v>
      </c>
      <c r="F54" s="302"/>
      <c r="G54" s="287"/>
      <c r="H54" s="287"/>
      <c r="I54" s="335" t="s">
        <v>509</v>
      </c>
      <c r="J54" s="335"/>
      <c r="K54" s="335"/>
      <c r="L54" s="335"/>
      <c r="M54" s="335"/>
    </row>
    <row r="55" spans="1:13" ht="28.9" customHeight="1" x14ac:dyDescent="0.25">
      <c r="A55" s="309"/>
      <c r="B55" s="307" t="s">
        <v>535</v>
      </c>
      <c r="C55" s="283" t="s">
        <v>536</v>
      </c>
      <c r="D55" s="283" t="s">
        <v>537</v>
      </c>
      <c r="E55" s="308">
        <v>44865</v>
      </c>
      <c r="F55" s="287"/>
      <c r="G55" s="287"/>
      <c r="H55" s="287"/>
      <c r="I55" s="310"/>
      <c r="J55" s="304"/>
      <c r="K55" s="305"/>
      <c r="L55" s="302"/>
      <c r="M55" s="305"/>
    </row>
    <row r="56" spans="1:13" x14ac:dyDescent="0.25">
      <c r="A56" s="311"/>
      <c r="B56" s="311"/>
      <c r="C56" s="311"/>
      <c r="D56" s="311"/>
      <c r="E56" s="311"/>
      <c r="F56" s="311"/>
      <c r="G56" s="311"/>
      <c r="H56" s="311"/>
      <c r="I56" s="302"/>
      <c r="J56" s="302"/>
      <c r="K56" s="302"/>
    </row>
    <row r="58" spans="1:13" x14ac:dyDescent="0.25">
      <c r="A58" s="309" t="s">
        <v>538</v>
      </c>
      <c r="B58" s="350"/>
      <c r="C58" s="351"/>
      <c r="D58" s="351"/>
      <c r="E58" s="351"/>
      <c r="F58" s="352"/>
    </row>
    <row r="59" spans="1:13" x14ac:dyDescent="0.25">
      <c r="A59" s="309" t="s">
        <v>539</v>
      </c>
      <c r="B59" s="353"/>
      <c r="C59" s="354"/>
      <c r="D59" s="354"/>
      <c r="E59" s="354"/>
      <c r="F59" s="355"/>
    </row>
    <row r="60" spans="1:13" x14ac:dyDescent="0.25">
      <c r="B60" s="356"/>
      <c r="C60" s="357"/>
      <c r="D60" s="357"/>
      <c r="E60" s="357"/>
      <c r="F60" s="358"/>
    </row>
    <row r="63" spans="1:13" ht="30" customHeight="1" x14ac:dyDescent="0.25"/>
  </sheetData>
  <sheetProtection algorithmName="SHA-512" hashValue="xIwLhZq0881OMxWcjTlAvnwQTe+gutBoKBd/Su4YlJjVaPZ1LiRL8bbXdD4Okc+cdrUXCUE8BTYBKwcqW8FkKg==" saltValue="jMYCJaR+lSsVh0k5qJV9mw==" spinCount="100000" sheet="1" objects="1" scenarios="1" selectLockedCells="1"/>
  <protectedRanges>
    <protectedRange sqref="B5:B12" name="Donnees controleur"/>
  </protectedRanges>
  <dataConsolidate/>
  <mergeCells count="19">
    <mergeCell ref="B58:F60"/>
    <mergeCell ref="J31:N31"/>
    <mergeCell ref="C38:C39"/>
    <mergeCell ref="D38:F38"/>
    <mergeCell ref="D51:E51"/>
    <mergeCell ref="I53:M53"/>
    <mergeCell ref="I54:M54"/>
    <mergeCell ref="J30:N30"/>
    <mergeCell ref="A1:M1"/>
    <mergeCell ref="A2:M2"/>
    <mergeCell ref="B4:D4"/>
    <mergeCell ref="A7:A9"/>
    <mergeCell ref="D14:E14"/>
    <mergeCell ref="J14:N14"/>
    <mergeCell ref="J15:N15"/>
    <mergeCell ref="I19:M19"/>
    <mergeCell ref="A26:C26"/>
    <mergeCell ref="D26:H26"/>
    <mergeCell ref="J29:N29"/>
  </mergeCells>
  <conditionalFormatting sqref="E16">
    <cfRule type="expression" dxfId="100" priority="2">
      <formula>$B$6&gt;EDATE($E$16,3)</formula>
    </cfRule>
  </conditionalFormatting>
  <conditionalFormatting sqref="F17:F18">
    <cfRule type="expression" dxfId="99" priority="3">
      <formula>$B$6&gt;(EDATE($F18,3)-JOUR.DECALER(4))</formula>
    </cfRule>
  </conditionalFormatting>
  <conditionalFormatting sqref="F18">
    <cfRule type="containsBlanks" priority="1">
      <formula>LEN(TRIM(F18))=0</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6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4"/>
      <c r="B2" s="89"/>
      <c r="C2" s="89"/>
      <c r="D2" s="89"/>
      <c r="E2" s="325"/>
      <c r="F2" s="89"/>
      <c r="G2" s="89"/>
      <c r="H2" s="89"/>
      <c r="I2" s="89"/>
      <c r="J2" s="89"/>
      <c r="P2" s="23"/>
    </row>
    <row r="3" spans="1:16" x14ac:dyDescent="0.25">
      <c r="P3" s="23"/>
    </row>
    <row r="4" spans="1:16" x14ac:dyDescent="0.25">
      <c r="P4" s="23"/>
    </row>
    <row r="5" spans="1:16" x14ac:dyDescent="0.25">
      <c r="P5" s="23"/>
    </row>
    <row r="6" spans="1:16" x14ac:dyDescent="0.25">
      <c r="P6" s="23"/>
    </row>
    <row r="7" spans="1:16" x14ac:dyDescent="0.25">
      <c r="P7" s="23"/>
    </row>
    <row r="8" spans="1:16" ht="15.75" thickBot="1" x14ac:dyDescent="0.3">
      <c r="P8" s="23"/>
    </row>
    <row r="9" spans="1:16" ht="14.45" customHeight="1" x14ac:dyDescent="0.25">
      <c r="L9" s="359" t="s">
        <v>540</v>
      </c>
      <c r="M9" s="360"/>
      <c r="N9" s="360"/>
      <c r="O9" s="361"/>
      <c r="P9" s="23"/>
    </row>
    <row r="10" spans="1:16" ht="14.45" customHeight="1" x14ac:dyDescent="0.25">
      <c r="L10" s="362"/>
      <c r="M10" s="363"/>
      <c r="N10" s="363"/>
      <c r="O10" s="364"/>
      <c r="P10" s="23"/>
    </row>
    <row r="11" spans="1:16" ht="14.45" customHeight="1" x14ac:dyDescent="0.25">
      <c r="L11" s="362"/>
      <c r="M11" s="363"/>
      <c r="N11" s="363"/>
      <c r="O11" s="364"/>
      <c r="P11" s="23"/>
    </row>
    <row r="12" spans="1:16" ht="14.45" customHeight="1" x14ac:dyDescent="0.25">
      <c r="L12" s="362"/>
      <c r="M12" s="363"/>
      <c r="N12" s="363"/>
      <c r="O12" s="364"/>
      <c r="P12" s="23"/>
    </row>
    <row r="13" spans="1:16" ht="14.45" customHeight="1" x14ac:dyDescent="0.25">
      <c r="L13" s="362"/>
      <c r="M13" s="363"/>
      <c r="N13" s="363"/>
      <c r="O13" s="364"/>
      <c r="P13" s="23"/>
    </row>
    <row r="14" spans="1:16" ht="14.45" customHeight="1" x14ac:dyDescent="0.25">
      <c r="L14" s="362"/>
      <c r="M14" s="363"/>
      <c r="N14" s="363"/>
      <c r="O14" s="364"/>
      <c r="P14" s="23"/>
    </row>
    <row r="15" spans="1:16" ht="15" customHeight="1" thickBot="1" x14ac:dyDescent="0.3">
      <c r="L15" s="365"/>
      <c r="M15" s="366"/>
      <c r="N15" s="366"/>
      <c r="O15" s="367"/>
      <c r="P15" s="23"/>
    </row>
    <row r="16" spans="1:16" x14ac:dyDescent="0.25">
      <c r="P16" s="23"/>
    </row>
    <row r="17" spans="16:16" x14ac:dyDescent="0.25">
      <c r="P17" s="23"/>
    </row>
    <row r="18" spans="16:16" x14ac:dyDescent="0.25">
      <c r="P18" s="23"/>
    </row>
    <row r="19" spans="16:16" x14ac:dyDescent="0.25">
      <c r="P19" s="23"/>
    </row>
    <row r="20" spans="16:16" x14ac:dyDescent="0.25">
      <c r="P20" s="23"/>
    </row>
    <row r="21" spans="16:16" x14ac:dyDescent="0.25">
      <c r="P21" s="23"/>
    </row>
    <row r="22" spans="16:16" x14ac:dyDescent="0.25">
      <c r="P22" s="23"/>
    </row>
    <row r="23" spans="16:16" x14ac:dyDescent="0.25">
      <c r="P23" s="23"/>
    </row>
    <row r="24" spans="16:16" x14ac:dyDescent="0.25">
      <c r="P24" s="23"/>
    </row>
    <row r="25" spans="16:16" x14ac:dyDescent="0.25">
      <c r="P25" s="23"/>
    </row>
    <row r="26" spans="16:16" x14ac:dyDescent="0.25">
      <c r="P26" s="23"/>
    </row>
    <row r="27" spans="16:16" x14ac:dyDescent="0.25">
      <c r="P27" s="23"/>
    </row>
    <row r="28" spans="16:16" x14ac:dyDescent="0.25">
      <c r="P28" s="23"/>
    </row>
    <row r="29" spans="16:16" x14ac:dyDescent="0.25">
      <c r="P29" s="23"/>
    </row>
    <row r="30" spans="16:16" x14ac:dyDescent="0.25">
      <c r="P30" s="23"/>
    </row>
    <row r="31" spans="16:16" x14ac:dyDescent="0.25">
      <c r="P31" s="23"/>
    </row>
    <row r="32" spans="16:16" x14ac:dyDescent="0.25">
      <c r="P32" s="23"/>
    </row>
    <row r="33" spans="16:16" x14ac:dyDescent="0.25">
      <c r="P33" s="23"/>
    </row>
    <row r="34" spans="16:16" x14ac:dyDescent="0.25">
      <c r="P34" s="23"/>
    </row>
    <row r="35" spans="16:16" x14ac:dyDescent="0.25">
      <c r="P35" s="23"/>
    </row>
    <row r="36" spans="16:16" x14ac:dyDescent="0.25">
      <c r="P36" s="23"/>
    </row>
    <row r="37" spans="16:16" x14ac:dyDescent="0.25">
      <c r="P37" s="23"/>
    </row>
    <row r="38" spans="16:16" x14ac:dyDescent="0.25">
      <c r="P38" s="23"/>
    </row>
    <row r="39" spans="16:16" x14ac:dyDescent="0.25">
      <c r="P39" s="23"/>
    </row>
    <row r="40" spans="16:16" x14ac:dyDescent="0.25">
      <c r="P40" s="23"/>
    </row>
    <row r="41" spans="16:16" x14ac:dyDescent="0.25">
      <c r="P41" s="23"/>
    </row>
    <row r="42" spans="16:16" x14ac:dyDescent="0.25">
      <c r="P42" s="23"/>
    </row>
    <row r="43" spans="16:16" x14ac:dyDescent="0.25">
      <c r="P43" s="23"/>
    </row>
    <row r="44" spans="16:16" x14ac:dyDescent="0.25">
      <c r="P44" s="23"/>
    </row>
    <row r="45" spans="16:16" x14ac:dyDescent="0.25">
      <c r="P45" s="23"/>
    </row>
    <row r="46" spans="16:16" x14ac:dyDescent="0.25">
      <c r="P46" s="23"/>
    </row>
    <row r="47" spans="16:16" x14ac:dyDescent="0.25">
      <c r="P47" s="23"/>
    </row>
    <row r="48" spans="16:16" x14ac:dyDescent="0.25">
      <c r="P48" s="23"/>
    </row>
    <row r="49" spans="16:16" x14ac:dyDescent="0.25">
      <c r="P49" s="23"/>
    </row>
    <row r="50" spans="16:16" x14ac:dyDescent="0.25">
      <c r="P50" s="23"/>
    </row>
    <row r="51" spans="16:16" x14ac:dyDescent="0.25">
      <c r="P51" s="23"/>
    </row>
    <row r="52" spans="16:16" x14ac:dyDescent="0.25">
      <c r="P52" s="23"/>
    </row>
    <row r="53" spans="16:16" x14ac:dyDescent="0.25">
      <c r="P53" s="23"/>
    </row>
    <row r="54" spans="16:16" x14ac:dyDescent="0.25">
      <c r="P54" s="23"/>
    </row>
    <row r="55" spans="16:16" x14ac:dyDescent="0.25">
      <c r="P55" s="23"/>
    </row>
    <row r="56" spans="16:16" x14ac:dyDescent="0.25">
      <c r="P56" s="23"/>
    </row>
    <row r="57" spans="16:16" x14ac:dyDescent="0.25">
      <c r="P57" s="23"/>
    </row>
    <row r="58" spans="16:16" x14ac:dyDescent="0.25">
      <c r="P58" s="23"/>
    </row>
    <row r="59" spans="16:16" x14ac:dyDescent="0.25">
      <c r="P59" s="23"/>
    </row>
    <row r="60" spans="16:16" x14ac:dyDescent="0.25">
      <c r="P60" s="23"/>
    </row>
    <row r="61" spans="16:16" x14ac:dyDescent="0.25">
      <c r="P61" s="23"/>
    </row>
    <row r="62" spans="16:16" x14ac:dyDescent="0.25">
      <c r="P62" s="23"/>
    </row>
    <row r="63" spans="16:16" x14ac:dyDescent="0.25">
      <c r="P63" s="23"/>
    </row>
    <row r="64" spans="16:16" x14ac:dyDescent="0.25">
      <c r="P64" s="23"/>
    </row>
    <row r="65" spans="16:16" x14ac:dyDescent="0.25">
      <c r="P65" s="23"/>
    </row>
    <row r="66" spans="16:16" x14ac:dyDescent="0.25">
      <c r="P66" s="23"/>
    </row>
  </sheetData>
  <sheetProtection algorithmName="SHA-512" hashValue="cN9qZ0PP94Xwtwi76Z18CDS/zblCpiKU3kSvN1gshWPiwOV4MgGxmmH95Qt07Wldahd85GanQXOLhGgxUEFeJQ==" saltValue="di4nZBGTbL5pho1hYb6Ja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4"/>
      <c r="B2" s="89"/>
      <c r="C2" s="89"/>
      <c r="D2" s="89"/>
      <c r="E2" s="89"/>
      <c r="F2" s="89"/>
      <c r="G2" s="89"/>
      <c r="H2" s="89"/>
      <c r="I2" s="89"/>
      <c r="J2" s="89"/>
    </row>
    <row r="8" spans="1:15" ht="15.75" thickBot="1" x14ac:dyDescent="0.3"/>
    <row r="9" spans="1:15" ht="14.45" customHeight="1" x14ac:dyDescent="0.25">
      <c r="L9" s="359" t="s">
        <v>540</v>
      </c>
      <c r="M9" s="360"/>
      <c r="N9" s="360"/>
      <c r="O9" s="361"/>
    </row>
    <row r="10" spans="1:15" ht="14.45" customHeight="1" x14ac:dyDescent="0.25">
      <c r="L10" s="362"/>
      <c r="M10" s="363"/>
      <c r="N10" s="363"/>
      <c r="O10" s="364"/>
    </row>
    <row r="11" spans="1:15" ht="14.45" customHeight="1" x14ac:dyDescent="0.25">
      <c r="L11" s="362"/>
      <c r="M11" s="363"/>
      <c r="N11" s="363"/>
      <c r="O11" s="364"/>
    </row>
    <row r="12" spans="1:15" ht="14.45" customHeight="1" x14ac:dyDescent="0.25">
      <c r="L12" s="362"/>
      <c r="M12" s="363"/>
      <c r="N12" s="363"/>
      <c r="O12" s="364"/>
    </row>
    <row r="13" spans="1:15" ht="14.45" customHeight="1" x14ac:dyDescent="0.25">
      <c r="L13" s="362"/>
      <c r="M13" s="363"/>
      <c r="N13" s="363"/>
      <c r="O13" s="364"/>
    </row>
    <row r="14" spans="1:15" ht="14.45" customHeight="1" x14ac:dyDescent="0.25">
      <c r="L14" s="362"/>
      <c r="M14" s="363"/>
      <c r="N14" s="363"/>
      <c r="O14" s="364"/>
    </row>
    <row r="15" spans="1:15" ht="15.75" thickBot="1" x14ac:dyDescent="0.3">
      <c r="L15" s="365"/>
      <c r="M15" s="366"/>
      <c r="N15" s="366"/>
      <c r="O15" s="367"/>
    </row>
  </sheetData>
  <sheetProtection algorithmName="SHA-512" hashValue="I0BBh/dQ7+BU73U94qfD6+oKc/33LAiHJLsZblwXGTmlUzH6NZqlSHVa+YxlPbDqo07wmDgmfN2Ic+4XY21OXQ==" saltValue="ac/1J4IEgHVQ/jrhfMKXSA=="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4"/>
      <c r="B2" s="89"/>
      <c r="C2" s="89"/>
      <c r="D2" s="89"/>
      <c r="E2" s="89"/>
      <c r="F2" s="89"/>
      <c r="G2" s="89"/>
      <c r="H2" s="89"/>
      <c r="I2" s="89"/>
      <c r="J2" s="89"/>
    </row>
    <row r="8" spans="1:15" ht="15.75" thickBot="1" x14ac:dyDescent="0.3"/>
    <row r="9" spans="1:15" x14ac:dyDescent="0.25">
      <c r="L9" s="359" t="s">
        <v>540</v>
      </c>
      <c r="M9" s="360"/>
      <c r="N9" s="360"/>
      <c r="O9" s="361"/>
    </row>
    <row r="10" spans="1:15" x14ac:dyDescent="0.25">
      <c r="L10" s="362"/>
      <c r="M10" s="363"/>
      <c r="N10" s="363"/>
      <c r="O10" s="364"/>
    </row>
    <row r="11" spans="1:15" x14ac:dyDescent="0.25">
      <c r="L11" s="362"/>
      <c r="M11" s="363"/>
      <c r="N11" s="363"/>
      <c r="O11" s="364"/>
    </row>
    <row r="12" spans="1:15" x14ac:dyDescent="0.25">
      <c r="L12" s="362"/>
      <c r="M12" s="363"/>
      <c r="N12" s="363"/>
      <c r="O12" s="364"/>
    </row>
    <row r="13" spans="1:15" x14ac:dyDescent="0.25">
      <c r="L13" s="362"/>
      <c r="M13" s="363"/>
      <c r="N13" s="363"/>
      <c r="O13" s="364"/>
    </row>
    <row r="14" spans="1:15" x14ac:dyDescent="0.25">
      <c r="L14" s="362"/>
      <c r="M14" s="363"/>
      <c r="N14" s="363"/>
      <c r="O14" s="364"/>
    </row>
    <row r="15" spans="1:15" ht="15.75" thickBot="1" x14ac:dyDescent="0.3">
      <c r="L15" s="365"/>
      <c r="M15" s="366"/>
      <c r="N15" s="366"/>
      <c r="O15" s="367"/>
    </row>
  </sheetData>
  <sheetProtection algorithmName="SHA-512" hashValue="mpxWXjwDaDcHMlFDwDxTrnSTfQy2rLRYSwLYAv2bIkzh+6bsfMvxQNtHBWFqUSeusP7KvB+pMdUxhuJOXOQMbQ==" saltValue="6VWLwVXoFZak70wSVUqS/A=="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4"/>
      <c r="B2" s="89"/>
      <c r="C2" s="89"/>
      <c r="D2" s="89"/>
      <c r="E2" s="89"/>
      <c r="F2" s="89"/>
      <c r="G2" s="89"/>
      <c r="H2" s="89"/>
      <c r="I2" s="89"/>
      <c r="J2" s="89"/>
    </row>
    <row r="8" spans="1:15" ht="15.75" thickBot="1" x14ac:dyDescent="0.3"/>
    <row r="9" spans="1:15" x14ac:dyDescent="0.25">
      <c r="L9" s="359" t="s">
        <v>540</v>
      </c>
      <c r="M9" s="360"/>
      <c r="N9" s="360"/>
      <c r="O9" s="361"/>
    </row>
    <row r="10" spans="1:15" x14ac:dyDescent="0.25">
      <c r="L10" s="362"/>
      <c r="M10" s="363"/>
      <c r="N10" s="363"/>
      <c r="O10" s="364"/>
    </row>
    <row r="11" spans="1:15" x14ac:dyDescent="0.25">
      <c r="L11" s="362"/>
      <c r="M11" s="363"/>
      <c r="N11" s="363"/>
      <c r="O11" s="364"/>
    </row>
    <row r="12" spans="1:15" x14ac:dyDescent="0.25">
      <c r="L12" s="362"/>
      <c r="M12" s="363"/>
      <c r="N12" s="363"/>
      <c r="O12" s="364"/>
    </row>
    <row r="13" spans="1:15" x14ac:dyDescent="0.25">
      <c r="L13" s="362"/>
      <c r="M13" s="363"/>
      <c r="N13" s="363"/>
      <c r="O13" s="364"/>
    </row>
    <row r="14" spans="1:15" x14ac:dyDescent="0.25">
      <c r="L14" s="362"/>
      <c r="M14" s="363"/>
      <c r="N14" s="363"/>
      <c r="O14" s="364"/>
    </row>
    <row r="15" spans="1:15" ht="15.75" thickBot="1" x14ac:dyDescent="0.3">
      <c r="L15" s="365"/>
      <c r="M15" s="366"/>
      <c r="N15" s="366"/>
      <c r="O15" s="367"/>
    </row>
  </sheetData>
  <sheetProtection algorithmName="SHA-512" hashValue="NNgEOlhz7bv+tJP02Ij9WO89C3tFn9vcbaHAXaYqscLrTuSYODCSvis+RMTzjdGTB/OdrfwMhLKQkWetCXRMSw==" saltValue="nU7nzRJrqF49aGG9Wd397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5"/>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541</v>
      </c>
      <c r="C1" t="s">
        <v>542</v>
      </c>
      <c r="D1" t="s">
        <v>543</v>
      </c>
      <c r="E1" t="s">
        <v>544</v>
      </c>
    </row>
    <row r="2" spans="1:11" x14ac:dyDescent="0.25">
      <c r="A2" s="324"/>
      <c r="B2" s="89"/>
      <c r="C2" s="89"/>
      <c r="D2" s="89"/>
      <c r="E2" s="89"/>
    </row>
    <row r="8" spans="1:11" ht="15.75" thickBot="1" x14ac:dyDescent="0.3"/>
    <row r="9" spans="1:11" x14ac:dyDescent="0.25">
      <c r="H9" s="359" t="s">
        <v>540</v>
      </c>
      <c r="I9" s="360"/>
      <c r="J9" s="360"/>
      <c r="K9" s="361"/>
    </row>
    <row r="10" spans="1:11" x14ac:dyDescent="0.25">
      <c r="H10" s="362"/>
      <c r="I10" s="363"/>
      <c r="J10" s="363"/>
      <c r="K10" s="364"/>
    </row>
    <row r="11" spans="1:11" x14ac:dyDescent="0.25">
      <c r="H11" s="362"/>
      <c r="I11" s="363"/>
      <c r="J11" s="363"/>
      <c r="K11" s="364"/>
    </row>
    <row r="12" spans="1:11" x14ac:dyDescent="0.25">
      <c r="H12" s="362"/>
      <c r="I12" s="363"/>
      <c r="J12" s="363"/>
      <c r="K12" s="364"/>
    </row>
    <row r="13" spans="1:11" x14ac:dyDescent="0.25">
      <c r="H13" s="362"/>
      <c r="I13" s="363"/>
      <c r="J13" s="363"/>
      <c r="K13" s="364"/>
    </row>
    <row r="14" spans="1:11" x14ac:dyDescent="0.25">
      <c r="H14" s="362"/>
      <c r="I14" s="363"/>
      <c r="J14" s="363"/>
      <c r="K14" s="364"/>
    </row>
    <row r="15" spans="1:11" ht="15.75" thickBot="1" x14ac:dyDescent="0.3">
      <c r="H15" s="365"/>
      <c r="I15" s="366"/>
      <c r="J15" s="366"/>
      <c r="K15" s="367"/>
    </row>
  </sheetData>
  <sheetProtection algorithmName="SHA-512" hashValue="j/QZlUM4ISptRqid25FfgUOf4kdUdwsbX6gtMy3gbORAlBYKkYKIVN5is/lNzYP4GIwznuth/pChQrKxAFW5GA==" saltValue="fYLDEpD2jw08kVPmLISV2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15"/>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541</v>
      </c>
      <c r="C1" t="s">
        <v>542</v>
      </c>
      <c r="D1" t="s">
        <v>543</v>
      </c>
      <c r="E1" t="s">
        <v>544</v>
      </c>
    </row>
    <row r="2" spans="1:11" x14ac:dyDescent="0.25">
      <c r="A2" s="324"/>
      <c r="B2" s="89"/>
      <c r="C2" s="89"/>
      <c r="D2" s="89"/>
      <c r="E2" s="89"/>
    </row>
    <row r="8" spans="1:11" ht="15.75" thickBot="1" x14ac:dyDescent="0.3"/>
    <row r="9" spans="1:11" x14ac:dyDescent="0.25">
      <c r="H9" s="359" t="s">
        <v>540</v>
      </c>
      <c r="I9" s="360"/>
      <c r="J9" s="360"/>
      <c r="K9" s="361"/>
    </row>
    <row r="10" spans="1:11" x14ac:dyDescent="0.25">
      <c r="H10" s="362"/>
      <c r="I10" s="363"/>
      <c r="J10" s="363"/>
      <c r="K10" s="364"/>
    </row>
    <row r="11" spans="1:11" x14ac:dyDescent="0.25">
      <c r="H11" s="362"/>
      <c r="I11" s="363"/>
      <c r="J11" s="363"/>
      <c r="K11" s="364"/>
    </row>
    <row r="12" spans="1:11" x14ac:dyDescent="0.25">
      <c r="H12" s="362"/>
      <c r="I12" s="363"/>
      <c r="J12" s="363"/>
      <c r="K12" s="364"/>
    </row>
    <row r="13" spans="1:11" x14ac:dyDescent="0.25">
      <c r="H13" s="362"/>
      <c r="I13" s="363"/>
      <c r="J13" s="363"/>
      <c r="K13" s="364"/>
    </row>
    <row r="14" spans="1:11" x14ac:dyDescent="0.25">
      <c r="H14" s="362"/>
      <c r="I14" s="363"/>
      <c r="J14" s="363"/>
      <c r="K14" s="364"/>
    </row>
    <row r="15" spans="1:11" ht="15.75" thickBot="1" x14ac:dyDescent="0.3">
      <c r="H15" s="365"/>
      <c r="I15" s="366"/>
      <c r="J15" s="366"/>
      <c r="K15" s="367"/>
    </row>
  </sheetData>
  <sheetProtection algorithmName="SHA-512" hashValue="po2wfKGi+9L1rQzkrOb/FKjmCnXB26WTOUIRykpmgbcIa5Qd6EinuT+L42nSr95DP7hcnRjtVs0COFIe5SBDKQ==" saltValue="WWHHa3gOpXQ+a/wSavDkjA=="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541</v>
      </c>
      <c r="C1" t="s">
        <v>542</v>
      </c>
      <c r="D1" t="s">
        <v>543</v>
      </c>
      <c r="E1" t="s">
        <v>544</v>
      </c>
    </row>
    <row r="2" spans="1:11" x14ac:dyDescent="0.25">
      <c r="A2" s="324"/>
      <c r="B2" s="89"/>
      <c r="C2" s="89"/>
      <c r="D2" s="89"/>
      <c r="E2" s="89"/>
    </row>
    <row r="8" spans="1:11" ht="15.75" thickBot="1" x14ac:dyDescent="0.3"/>
    <row r="9" spans="1:11" x14ac:dyDescent="0.25">
      <c r="H9" s="359" t="s">
        <v>540</v>
      </c>
      <c r="I9" s="360"/>
      <c r="J9" s="360"/>
      <c r="K9" s="361"/>
    </row>
    <row r="10" spans="1:11" x14ac:dyDescent="0.25">
      <c r="H10" s="362"/>
      <c r="I10" s="363"/>
      <c r="J10" s="363"/>
      <c r="K10" s="364"/>
    </row>
    <row r="11" spans="1:11" x14ac:dyDescent="0.25">
      <c r="H11" s="362"/>
      <c r="I11" s="363"/>
      <c r="J11" s="363"/>
      <c r="K11" s="364"/>
    </row>
    <row r="12" spans="1:11" x14ac:dyDescent="0.25">
      <c r="H12" s="362"/>
      <c r="I12" s="363"/>
      <c r="J12" s="363"/>
      <c r="K12" s="364"/>
    </row>
    <row r="13" spans="1:11" x14ac:dyDescent="0.25">
      <c r="H13" s="362"/>
      <c r="I13" s="363"/>
      <c r="J13" s="363"/>
      <c r="K13" s="364"/>
    </row>
    <row r="14" spans="1:11" x14ac:dyDescent="0.25">
      <c r="H14" s="362"/>
      <c r="I14" s="363"/>
      <c r="J14" s="363"/>
      <c r="K14" s="364"/>
    </row>
    <row r="15" spans="1:11" ht="15.75" thickBot="1" x14ac:dyDescent="0.3">
      <c r="H15" s="365"/>
      <c r="I15" s="366"/>
      <c r="J15" s="366"/>
      <c r="K15" s="367"/>
    </row>
  </sheetData>
  <sheetProtection algorithmName="SHA-512" hashValue="BmRxBerbMOMaFiMlby1zPl2jDAdXgkTR8W/doZn5e5X7iTn+zCQWXQzjeDp9DhBcb5YMC8KJ5mxzScc8MegWCg==" saltValue="E2/KX/nms5xOIY8xGqhcfA=="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541</v>
      </c>
      <c r="C1" t="s">
        <v>542</v>
      </c>
      <c r="D1" t="s">
        <v>543</v>
      </c>
      <c r="E1" t="s">
        <v>544</v>
      </c>
    </row>
    <row r="2" spans="1:11" x14ac:dyDescent="0.25">
      <c r="A2" s="324"/>
      <c r="B2" s="89"/>
      <c r="C2" s="89"/>
      <c r="D2" s="89"/>
      <c r="E2" s="89"/>
    </row>
    <row r="8" spans="1:11" ht="15.75" thickBot="1" x14ac:dyDescent="0.3"/>
    <row r="9" spans="1:11" x14ac:dyDescent="0.25">
      <c r="H9" s="359" t="s">
        <v>540</v>
      </c>
      <c r="I9" s="360"/>
      <c r="J9" s="360"/>
      <c r="K9" s="361"/>
    </row>
    <row r="10" spans="1:11" x14ac:dyDescent="0.25">
      <c r="H10" s="362"/>
      <c r="I10" s="363"/>
      <c r="J10" s="363"/>
      <c r="K10" s="364"/>
    </row>
    <row r="11" spans="1:11" x14ac:dyDescent="0.25">
      <c r="H11" s="362"/>
      <c r="I11" s="363"/>
      <c r="J11" s="363"/>
      <c r="K11" s="364"/>
    </row>
    <row r="12" spans="1:11" x14ac:dyDescent="0.25">
      <c r="H12" s="362"/>
      <c r="I12" s="363"/>
      <c r="J12" s="363"/>
      <c r="K12" s="364"/>
    </row>
    <row r="13" spans="1:11" x14ac:dyDescent="0.25">
      <c r="H13" s="362"/>
      <c r="I13" s="363"/>
      <c r="J13" s="363"/>
      <c r="K13" s="364"/>
    </row>
    <row r="14" spans="1:11" x14ac:dyDescent="0.25">
      <c r="H14" s="362"/>
      <c r="I14" s="363"/>
      <c r="J14" s="363"/>
      <c r="K14" s="364"/>
    </row>
    <row r="15" spans="1:11" ht="15.75" thickBot="1" x14ac:dyDescent="0.3">
      <c r="H15" s="365"/>
      <c r="I15" s="366"/>
      <c r="J15" s="366"/>
      <c r="K15" s="367"/>
    </row>
  </sheetData>
  <sheetProtection algorithmName="SHA-512" hashValue="CdgCkmxkBroIpzCCYvl4rwgPCKHjag4eOjnSMtIVGh/zCXWMIUZeU9M/74kRVMU5DVCXATq5WpvF+zqyCucPpA==" saltValue="i2fIL9pGA4v69XkecZwcK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501"/>
  <sheetViews>
    <sheetView topLeftCell="A329" zoomScale="85" zoomScaleNormal="85" workbookViewId="0">
      <selection activeCell="A351" sqref="A351"/>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68" t="str">
        <f>Mesures_Four!D27</f>
        <v>80°C</v>
      </c>
      <c r="B1" s="369"/>
      <c r="C1" s="369"/>
      <c r="D1" s="369"/>
      <c r="E1" s="369"/>
      <c r="F1" s="369"/>
      <c r="G1" s="369"/>
      <c r="H1" s="369"/>
      <c r="I1" s="369"/>
      <c r="J1" s="369"/>
      <c r="K1" s="369"/>
      <c r="L1" s="369"/>
      <c r="M1" s="369"/>
      <c r="N1" s="369"/>
      <c r="O1" s="369"/>
      <c r="P1" s="369"/>
      <c r="Q1" s="369"/>
      <c r="R1" s="369"/>
      <c r="S1" s="369"/>
      <c r="T1" s="369"/>
      <c r="U1" s="369"/>
      <c r="V1" s="369"/>
      <c r="W1" s="369"/>
      <c r="X1" s="369"/>
      <c r="Y1" s="369"/>
      <c r="Z1" s="369"/>
      <c r="AA1" s="369"/>
      <c r="AB1" s="369"/>
      <c r="AC1" s="369"/>
    </row>
    <row r="2" spans="1:31" x14ac:dyDescent="0.25">
      <c r="A2" s="146"/>
      <c r="M2" s="23" t="s">
        <v>87</v>
      </c>
      <c r="N2" s="44">
        <f>Mesures_Four!D40</f>
        <v>0</v>
      </c>
      <c r="O2" s="44">
        <f>Mesures_Four!D41</f>
        <v>0</v>
      </c>
      <c r="P2" s="44">
        <f>Mesures_Four!D42</f>
        <v>0</v>
      </c>
      <c r="Q2" s="44">
        <f>Mesures_Four!D43</f>
        <v>0</v>
      </c>
      <c r="R2" s="44">
        <f>Mesures_Four!D44</f>
        <v>0</v>
      </c>
      <c r="S2" s="44">
        <f>Mesures_Four!D45</f>
        <v>0</v>
      </c>
      <c r="T2" s="44">
        <f>Mesures_Four!D46</f>
        <v>0</v>
      </c>
      <c r="U2" s="44">
        <f>Mesures_Four!D47</f>
        <v>0</v>
      </c>
      <c r="V2" s="44">
        <f>Mesures_Four!D48</f>
        <v>0</v>
      </c>
      <c r="W2" s="213"/>
      <c r="X2" s="159"/>
      <c r="Y2" s="159"/>
    </row>
    <row r="3" spans="1:31" x14ac:dyDescent="0.25">
      <c r="M3" s="23" t="s">
        <v>23</v>
      </c>
      <c r="N3" s="44">
        <f>Mesures_Four!D28</f>
        <v>0</v>
      </c>
      <c r="O3" s="44">
        <f>Mesures_Four!D29</f>
        <v>0</v>
      </c>
      <c r="P3" s="44">
        <f>Mesures_Four!D30</f>
        <v>0</v>
      </c>
      <c r="Q3" s="44">
        <f>Mesures_Four!D31</f>
        <v>0</v>
      </c>
      <c r="R3" s="44">
        <f>Mesures_Four!D32</f>
        <v>0</v>
      </c>
      <c r="S3" s="44">
        <f>Mesures_Four!D33</f>
        <v>0</v>
      </c>
      <c r="T3" s="44">
        <f>Mesures_Four!D34</f>
        <v>0</v>
      </c>
      <c r="U3" s="44">
        <f>Mesures_Four!D35</f>
        <v>0</v>
      </c>
      <c r="V3" s="44">
        <f>Mesures_Four!D36</f>
        <v>0</v>
      </c>
      <c r="W3" s="213"/>
      <c r="X3" s="159"/>
      <c r="Y3" s="159"/>
    </row>
    <row r="4" spans="1:31" x14ac:dyDescent="0.25">
      <c r="M4" s="23"/>
      <c r="N4" s="211"/>
      <c r="O4" s="211"/>
      <c r="P4" s="211"/>
      <c r="Q4" s="211"/>
      <c r="R4" s="211"/>
      <c r="S4" s="211"/>
      <c r="T4" s="211"/>
      <c r="U4" s="211"/>
      <c r="V4" s="211"/>
      <c r="W4" s="213"/>
      <c r="X4" s="159"/>
      <c r="Y4" s="159"/>
    </row>
    <row r="5" spans="1:31" x14ac:dyDescent="0.25">
      <c r="B5" s="370" t="s">
        <v>344</v>
      </c>
      <c r="C5" s="370"/>
      <c r="D5" s="370"/>
      <c r="E5" s="370"/>
      <c r="F5" s="370"/>
      <c r="G5" s="370"/>
      <c r="H5" s="370"/>
      <c r="I5" s="370"/>
      <c r="J5" s="370"/>
      <c r="N5" s="371" t="s">
        <v>88</v>
      </c>
      <c r="O5" s="371"/>
      <c r="P5" s="371"/>
      <c r="Q5" s="371"/>
      <c r="R5" s="371"/>
      <c r="S5" s="371"/>
      <c r="T5" s="371"/>
      <c r="U5" s="371"/>
      <c r="V5" s="371"/>
    </row>
    <row r="6" spans="1:31" x14ac:dyDescent="0.25">
      <c r="A6" s="208" t="str" cm="1">
        <f t="array" ref="A6:J7">tab_transfert80[#All]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343</v>
      </c>
      <c r="N6" s="202" t="str" cm="1">
        <f t="array" ref="N6:V6">tab_transfert80[[#Headers],[Connecteur 1]:[Connecteur 9]]</f>
        <v>Connecteur 1</v>
      </c>
      <c r="O6" s="202" t="str">
        <v>Connecteur 2</v>
      </c>
      <c r="P6" s="202" t="str">
        <v>Connecteur 3</v>
      </c>
      <c r="Q6" s="202" t="str">
        <v>Connecteur 4</v>
      </c>
      <c r="R6" s="202" t="str">
        <v>Connecteur 5</v>
      </c>
      <c r="S6" s="202" t="str">
        <v>Connecteur 6</v>
      </c>
      <c r="T6" s="202" t="str">
        <v>Connecteur 7</v>
      </c>
      <c r="U6" s="202" t="str">
        <v>Connecteur 8</v>
      </c>
      <c r="V6" s="202" t="str">
        <v>Connecteur 9</v>
      </c>
      <c r="W6" s="202" t="str" cm="1">
        <f t="array" ref="W6:W7">tab_four80[[#All],[Consigne T°]]</f>
        <v>Consigne T°</v>
      </c>
      <c r="Z6" s="202" t="str" cm="1">
        <f t="array" ref="Z6:AC7">tab_four80[[#All],[Date/Heure]:[Pt Chaud]]</f>
        <v>Date/Heure</v>
      </c>
      <c r="AA6" s="202" t="str">
        <v>Pt Froid</v>
      </c>
      <c r="AB6" s="202" t="str">
        <v>Regulation</v>
      </c>
      <c r="AC6" s="202" t="str">
        <v>Pt Chaud</v>
      </c>
      <c r="AE6" s="23"/>
    </row>
    <row r="7" spans="1:31" ht="14.45" customHeight="1" x14ac:dyDescent="0.25">
      <c r="A7">
        <v>0</v>
      </c>
      <c r="B7">
        <v>0</v>
      </c>
      <c r="C7">
        <v>0</v>
      </c>
      <c r="D7">
        <v>0</v>
      </c>
      <c r="E7">
        <v>0</v>
      </c>
      <c r="F7">
        <v>0</v>
      </c>
      <c r="G7">
        <v>0</v>
      </c>
      <c r="H7">
        <v>0</v>
      </c>
      <c r="I7">
        <v>0</v>
      </c>
      <c r="J7">
        <v>0</v>
      </c>
      <c r="M7" s="374" t="s">
        <v>342</v>
      </c>
      <c r="N7" s="206" cm="1">
        <f t="array" ref="N7:V7">tab_transfert80[[Connecteur 1]:[Connecteur 9]]+N2:V2+N3:V3</f>
        <v>0</v>
      </c>
      <c r="O7" s="206">
        <v>0</v>
      </c>
      <c r="P7" s="206">
        <v>0</v>
      </c>
      <c r="Q7" s="206">
        <v>0</v>
      </c>
      <c r="R7" s="206">
        <v>0</v>
      </c>
      <c r="S7" s="206">
        <v>0</v>
      </c>
      <c r="T7" s="206">
        <v>0</v>
      </c>
      <c r="U7" s="206">
        <v>0</v>
      </c>
      <c r="V7" s="206">
        <v>0</v>
      </c>
      <c r="W7" s="214">
        <v>0</v>
      </c>
      <c r="Z7" s="23">
        <v>0</v>
      </c>
      <c r="AA7" s="27">
        <v>0</v>
      </c>
      <c r="AB7" s="27">
        <v>0</v>
      </c>
      <c r="AC7" s="27">
        <v>0</v>
      </c>
    </row>
    <row r="8" spans="1:31" ht="14.45" customHeight="1" x14ac:dyDescent="0.25">
      <c r="A8"/>
      <c r="B8"/>
      <c r="C8"/>
      <c r="D8"/>
      <c r="E8"/>
      <c r="F8"/>
      <c r="G8"/>
      <c r="H8"/>
      <c r="I8"/>
      <c r="J8"/>
      <c r="M8" s="374"/>
      <c r="N8" s="206"/>
      <c r="O8" s="206"/>
      <c r="P8" s="206"/>
      <c r="Q8" s="206"/>
      <c r="R8" s="206"/>
      <c r="S8" s="206"/>
      <c r="T8" s="206"/>
      <c r="U8" s="206"/>
      <c r="V8" s="206"/>
      <c r="W8" s="214"/>
      <c r="Z8" s="23"/>
    </row>
    <row r="9" spans="1:31" ht="14.45" customHeight="1" x14ac:dyDescent="0.25">
      <c r="A9"/>
      <c r="B9"/>
      <c r="C9"/>
      <c r="D9"/>
      <c r="E9"/>
      <c r="F9"/>
      <c r="G9"/>
      <c r="H9"/>
      <c r="I9"/>
      <c r="J9"/>
      <c r="M9" s="374"/>
      <c r="N9" s="206"/>
      <c r="O9" s="206"/>
      <c r="P9" s="206"/>
      <c r="Q9" s="206"/>
      <c r="R9" s="206"/>
      <c r="S9" s="206"/>
      <c r="T9" s="206"/>
      <c r="U9" s="206"/>
      <c r="V9" s="206"/>
      <c r="W9" s="214"/>
      <c r="Z9" s="23"/>
    </row>
    <row r="10" spans="1:31" ht="14.45" customHeight="1" x14ac:dyDescent="0.25">
      <c r="A10"/>
      <c r="B10"/>
      <c r="C10"/>
      <c r="D10"/>
      <c r="E10"/>
      <c r="F10"/>
      <c r="G10"/>
      <c r="H10"/>
      <c r="I10"/>
      <c r="J10"/>
      <c r="M10" s="374"/>
      <c r="N10" s="206"/>
      <c r="O10" s="206"/>
      <c r="P10" s="206"/>
      <c r="Q10" s="206"/>
      <c r="R10" s="206"/>
      <c r="S10" s="206"/>
      <c r="T10" s="206"/>
      <c r="U10" s="206"/>
      <c r="V10" s="206"/>
      <c r="W10" s="214"/>
      <c r="Z10" s="23"/>
    </row>
    <row r="11" spans="1:31" ht="14.45" customHeight="1" x14ac:dyDescent="0.25">
      <c r="A11"/>
      <c r="B11"/>
      <c r="C11"/>
      <c r="D11"/>
      <c r="E11"/>
      <c r="F11"/>
      <c r="G11"/>
      <c r="H11"/>
      <c r="I11"/>
      <c r="J11"/>
      <c r="M11" s="374"/>
      <c r="N11" s="206"/>
      <c r="O11" s="206"/>
      <c r="P11" s="206"/>
      <c r="Q11" s="206"/>
      <c r="R11" s="206"/>
      <c r="S11" s="206"/>
      <c r="T11" s="206"/>
      <c r="U11" s="206"/>
      <c r="V11" s="206"/>
      <c r="W11" s="214"/>
      <c r="Z11" s="23"/>
    </row>
    <row r="12" spans="1:31" ht="14.45" customHeight="1" x14ac:dyDescent="0.25">
      <c r="A12"/>
      <c r="B12"/>
      <c r="C12"/>
      <c r="D12"/>
      <c r="E12"/>
      <c r="F12"/>
      <c r="G12"/>
      <c r="H12"/>
      <c r="I12"/>
      <c r="J12"/>
      <c r="M12" s="374"/>
      <c r="N12" s="206"/>
      <c r="O12" s="206"/>
      <c r="P12" s="206"/>
      <c r="Q12" s="206"/>
      <c r="R12" s="206"/>
      <c r="S12" s="206"/>
      <c r="T12" s="206"/>
      <c r="U12" s="206"/>
      <c r="V12" s="206"/>
      <c r="W12" s="214"/>
      <c r="Z12" s="23"/>
    </row>
    <row r="13" spans="1:31" ht="14.45" customHeight="1" x14ac:dyDescent="0.25">
      <c r="A13"/>
      <c r="B13"/>
      <c r="C13"/>
      <c r="D13"/>
      <c r="E13"/>
      <c r="F13"/>
      <c r="G13"/>
      <c r="H13"/>
      <c r="I13"/>
      <c r="J13"/>
      <c r="M13" s="374"/>
      <c r="N13" s="206"/>
      <c r="O13" s="206"/>
      <c r="P13" s="206"/>
      <c r="Q13" s="206"/>
      <c r="R13" s="206"/>
      <c r="S13" s="206"/>
      <c r="T13" s="206"/>
      <c r="U13" s="206"/>
      <c r="V13" s="206"/>
      <c r="W13" s="214"/>
      <c r="Z13" s="23"/>
    </row>
    <row r="14" spans="1:31" ht="14.45" customHeight="1" x14ac:dyDescent="0.25">
      <c r="A14"/>
      <c r="B14"/>
      <c r="C14"/>
      <c r="D14"/>
      <c r="E14"/>
      <c r="F14"/>
      <c r="G14"/>
      <c r="H14"/>
      <c r="I14"/>
      <c r="J14"/>
      <c r="M14" s="374"/>
      <c r="N14" s="206"/>
      <c r="O14" s="206"/>
      <c r="P14" s="206"/>
      <c r="Q14" s="206"/>
      <c r="R14" s="206"/>
      <c r="S14" s="206"/>
      <c r="T14" s="206"/>
      <c r="U14" s="206"/>
      <c r="V14" s="206"/>
      <c r="W14" s="214"/>
      <c r="Z14" s="23"/>
    </row>
    <row r="15" spans="1:31" ht="14.45" customHeight="1" x14ac:dyDescent="0.25">
      <c r="A15"/>
      <c r="B15"/>
      <c r="C15"/>
      <c r="D15"/>
      <c r="E15"/>
      <c r="F15"/>
      <c r="G15"/>
      <c r="H15"/>
      <c r="I15"/>
      <c r="J15"/>
      <c r="M15" s="374"/>
      <c r="N15" s="206"/>
      <c r="O15" s="206"/>
      <c r="P15" s="206"/>
      <c r="Q15" s="206"/>
      <c r="R15" s="206"/>
      <c r="S15" s="206"/>
      <c r="T15" s="206"/>
      <c r="U15" s="206"/>
      <c r="V15" s="206"/>
      <c r="W15" s="214"/>
      <c r="Z15" s="23"/>
    </row>
    <row r="16" spans="1:31" ht="14.45" customHeight="1" x14ac:dyDescent="0.25">
      <c r="A16"/>
      <c r="B16"/>
      <c r="C16"/>
      <c r="D16"/>
      <c r="E16"/>
      <c r="F16"/>
      <c r="G16"/>
      <c r="H16"/>
      <c r="I16"/>
      <c r="J16"/>
      <c r="M16" s="374"/>
      <c r="N16" s="206"/>
      <c r="O16" s="206"/>
      <c r="P16" s="206"/>
      <c r="Q16" s="206"/>
      <c r="R16" s="206"/>
      <c r="S16" s="206"/>
      <c r="T16" s="206"/>
      <c r="U16" s="206"/>
      <c r="V16" s="206"/>
      <c r="W16" s="214"/>
      <c r="Z16" s="23"/>
    </row>
    <row r="17" spans="1:26" ht="14.45" customHeight="1" x14ac:dyDescent="0.25">
      <c r="A17"/>
      <c r="B17"/>
      <c r="C17"/>
      <c r="D17"/>
      <c r="E17"/>
      <c r="F17"/>
      <c r="G17"/>
      <c r="H17"/>
      <c r="I17"/>
      <c r="J17"/>
      <c r="M17" s="374"/>
      <c r="N17" s="206"/>
      <c r="O17" s="206"/>
      <c r="P17" s="206"/>
      <c r="Q17" s="206"/>
      <c r="R17" s="206"/>
      <c r="S17" s="206"/>
      <c r="T17" s="206"/>
      <c r="U17" s="206"/>
      <c r="V17" s="206"/>
      <c r="W17" s="214"/>
      <c r="Z17" s="23"/>
    </row>
    <row r="18" spans="1:26" ht="14.45" customHeight="1" x14ac:dyDescent="0.25">
      <c r="A18"/>
      <c r="B18"/>
      <c r="C18"/>
      <c r="D18"/>
      <c r="E18"/>
      <c r="F18"/>
      <c r="G18"/>
      <c r="H18"/>
      <c r="I18"/>
      <c r="J18"/>
      <c r="M18" s="374"/>
      <c r="N18" s="206"/>
      <c r="O18" s="206"/>
      <c r="P18" s="206"/>
      <c r="Q18" s="206"/>
      <c r="R18" s="206"/>
      <c r="S18" s="206"/>
      <c r="T18" s="206"/>
      <c r="U18" s="206"/>
      <c r="V18" s="206"/>
      <c r="W18" s="214"/>
      <c r="Z18" s="23"/>
    </row>
    <row r="19" spans="1:26" ht="14.45" customHeight="1" x14ac:dyDescent="0.25">
      <c r="A19"/>
      <c r="B19"/>
      <c r="C19"/>
      <c r="D19"/>
      <c r="E19"/>
      <c r="F19"/>
      <c r="G19"/>
      <c r="H19"/>
      <c r="I19"/>
      <c r="J19"/>
      <c r="M19" s="374"/>
      <c r="N19" s="206"/>
      <c r="O19" s="206"/>
      <c r="P19" s="206"/>
      <c r="Q19" s="206"/>
      <c r="R19" s="206"/>
      <c r="S19" s="206"/>
      <c r="T19" s="206"/>
      <c r="U19" s="206"/>
      <c r="V19" s="206"/>
      <c r="W19" s="214"/>
      <c r="Z19" s="23"/>
    </row>
    <row r="20" spans="1:26" ht="14.45" customHeight="1" x14ac:dyDescent="0.25">
      <c r="A20"/>
      <c r="B20"/>
      <c r="C20"/>
      <c r="D20"/>
      <c r="E20"/>
      <c r="F20"/>
      <c r="G20"/>
      <c r="H20"/>
      <c r="I20"/>
      <c r="J20"/>
      <c r="M20" s="374"/>
      <c r="N20" s="206"/>
      <c r="O20" s="206"/>
      <c r="P20" s="206"/>
      <c r="Q20" s="206"/>
      <c r="R20" s="206"/>
      <c r="S20" s="206"/>
      <c r="T20" s="206"/>
      <c r="U20" s="206"/>
      <c r="V20" s="206"/>
      <c r="W20" s="214"/>
      <c r="Z20" s="23"/>
    </row>
    <row r="21" spans="1:26" ht="14.45" customHeight="1" x14ac:dyDescent="0.25">
      <c r="A21"/>
      <c r="B21"/>
      <c r="C21"/>
      <c r="D21"/>
      <c r="E21"/>
      <c r="F21"/>
      <c r="G21"/>
      <c r="H21"/>
      <c r="I21"/>
      <c r="J21"/>
      <c r="M21" s="374"/>
      <c r="N21" s="206"/>
      <c r="O21" s="206"/>
      <c r="P21" s="206"/>
      <c r="Q21" s="206"/>
      <c r="R21" s="206"/>
      <c r="S21" s="206"/>
      <c r="T21" s="206"/>
      <c r="U21" s="206"/>
      <c r="V21" s="206"/>
      <c r="W21" s="214"/>
      <c r="Z21" s="23"/>
    </row>
    <row r="22" spans="1:26" ht="14.45" customHeight="1" x14ac:dyDescent="0.25">
      <c r="A22"/>
      <c r="B22"/>
      <c r="C22"/>
      <c r="D22"/>
      <c r="E22"/>
      <c r="F22"/>
      <c r="G22"/>
      <c r="H22"/>
      <c r="I22"/>
      <c r="J22"/>
      <c r="M22" s="374"/>
      <c r="N22" s="206"/>
      <c r="O22" s="206"/>
      <c r="P22" s="206"/>
      <c r="Q22" s="206"/>
      <c r="R22" s="206"/>
      <c r="S22" s="206"/>
      <c r="T22" s="206"/>
      <c r="U22" s="206"/>
      <c r="V22" s="206"/>
      <c r="W22" s="214"/>
      <c r="Z22" s="23"/>
    </row>
    <row r="23" spans="1:26" ht="14.45" customHeight="1" x14ac:dyDescent="0.25">
      <c r="A23"/>
      <c r="B23"/>
      <c r="C23"/>
      <c r="D23"/>
      <c r="E23"/>
      <c r="F23"/>
      <c r="G23"/>
      <c r="H23"/>
      <c r="I23"/>
      <c r="J23"/>
      <c r="M23" s="374"/>
      <c r="N23" s="206"/>
      <c r="O23" s="206"/>
      <c r="P23" s="206"/>
      <c r="Q23" s="206"/>
      <c r="R23" s="206"/>
      <c r="S23" s="206"/>
      <c r="T23" s="206"/>
      <c r="U23" s="206"/>
      <c r="V23" s="206"/>
      <c r="W23" s="214"/>
      <c r="Z23" s="23"/>
    </row>
    <row r="24" spans="1:26" ht="14.45" customHeight="1" x14ac:dyDescent="0.25">
      <c r="A24"/>
      <c r="B24"/>
      <c r="C24"/>
      <c r="D24"/>
      <c r="E24"/>
      <c r="F24"/>
      <c r="G24"/>
      <c r="H24"/>
      <c r="I24"/>
      <c r="J24"/>
      <c r="M24" s="374"/>
      <c r="N24" s="206"/>
      <c r="O24" s="206"/>
      <c r="P24" s="206"/>
      <c r="Q24" s="206"/>
      <c r="R24" s="206"/>
      <c r="S24" s="206"/>
      <c r="T24" s="206"/>
      <c r="U24" s="206"/>
      <c r="V24" s="206"/>
      <c r="W24" s="214"/>
      <c r="Z24" s="23"/>
    </row>
    <row r="25" spans="1:26" ht="14.45" customHeight="1" x14ac:dyDescent="0.25">
      <c r="A25"/>
      <c r="B25"/>
      <c r="C25"/>
      <c r="D25"/>
      <c r="E25"/>
      <c r="F25"/>
      <c r="G25"/>
      <c r="H25"/>
      <c r="I25"/>
      <c r="J25"/>
      <c r="M25" s="374"/>
      <c r="N25" s="206"/>
      <c r="O25" s="206"/>
      <c r="P25" s="206"/>
      <c r="Q25" s="206"/>
      <c r="R25" s="206"/>
      <c r="S25" s="206"/>
      <c r="T25" s="206"/>
      <c r="U25" s="206"/>
      <c r="V25" s="206"/>
      <c r="W25" s="214"/>
      <c r="Z25" s="23"/>
    </row>
    <row r="26" spans="1:26" ht="14.45" customHeight="1" x14ac:dyDescent="0.25">
      <c r="A26"/>
      <c r="B26"/>
      <c r="C26"/>
      <c r="D26"/>
      <c r="E26"/>
      <c r="F26"/>
      <c r="G26"/>
      <c r="H26"/>
      <c r="I26"/>
      <c r="J26"/>
      <c r="M26" s="374"/>
      <c r="N26" s="206"/>
      <c r="O26" s="206"/>
      <c r="P26" s="206"/>
      <c r="Q26" s="206"/>
      <c r="R26" s="206"/>
      <c r="S26" s="206"/>
      <c r="T26" s="206"/>
      <c r="U26" s="206"/>
      <c r="V26" s="206"/>
      <c r="W26" s="214"/>
      <c r="Z26" s="23"/>
    </row>
    <row r="27" spans="1:26" ht="14.45" customHeight="1" x14ac:dyDescent="0.25">
      <c r="A27"/>
      <c r="B27"/>
      <c r="C27"/>
      <c r="D27"/>
      <c r="E27"/>
      <c r="F27"/>
      <c r="G27"/>
      <c r="H27"/>
      <c r="I27"/>
      <c r="J27"/>
      <c r="M27" s="374"/>
      <c r="N27" s="206"/>
      <c r="O27" s="206"/>
      <c r="P27" s="206"/>
      <c r="Q27" s="206"/>
      <c r="R27" s="206"/>
      <c r="S27" s="206"/>
      <c r="T27" s="206"/>
      <c r="U27" s="206"/>
      <c r="V27" s="206"/>
      <c r="W27" s="214"/>
      <c r="Z27" s="23"/>
    </row>
    <row r="28" spans="1:26" ht="14.45" customHeight="1" x14ac:dyDescent="0.25">
      <c r="A28"/>
      <c r="B28"/>
      <c r="C28"/>
      <c r="D28"/>
      <c r="E28"/>
      <c r="F28"/>
      <c r="G28"/>
      <c r="H28"/>
      <c r="I28"/>
      <c r="J28"/>
      <c r="M28" s="374"/>
      <c r="N28" s="206"/>
      <c r="O28" s="206"/>
      <c r="P28" s="206"/>
      <c r="Q28" s="206"/>
      <c r="R28" s="206"/>
      <c r="S28" s="206"/>
      <c r="T28" s="206"/>
      <c r="U28" s="206"/>
      <c r="V28" s="206"/>
      <c r="W28" s="214"/>
      <c r="Z28" s="23"/>
    </row>
    <row r="29" spans="1:26" ht="14.45" customHeight="1" x14ac:dyDescent="0.25">
      <c r="A29"/>
      <c r="B29"/>
      <c r="C29"/>
      <c r="D29"/>
      <c r="E29"/>
      <c r="F29"/>
      <c r="G29"/>
      <c r="H29"/>
      <c r="I29"/>
      <c r="J29"/>
      <c r="M29" s="374"/>
      <c r="N29" s="206"/>
      <c r="O29" s="206"/>
      <c r="P29" s="206"/>
      <c r="Q29" s="206"/>
      <c r="R29" s="206"/>
      <c r="S29" s="206"/>
      <c r="T29" s="206"/>
      <c r="U29" s="206"/>
      <c r="V29" s="206"/>
      <c r="W29" s="214"/>
      <c r="Z29" s="23"/>
    </row>
    <row r="30" spans="1:26" ht="14.45" customHeight="1" x14ac:dyDescent="0.25">
      <c r="A30"/>
      <c r="B30"/>
      <c r="C30"/>
      <c r="D30"/>
      <c r="E30"/>
      <c r="F30"/>
      <c r="G30"/>
      <c r="H30"/>
      <c r="I30"/>
      <c r="J30"/>
      <c r="M30" s="374"/>
      <c r="N30" s="206"/>
      <c r="O30" s="206"/>
      <c r="P30" s="206"/>
      <c r="Q30" s="206"/>
      <c r="R30" s="206"/>
      <c r="S30" s="206"/>
      <c r="T30" s="206"/>
      <c r="U30" s="206"/>
      <c r="V30" s="206"/>
      <c r="W30" s="214"/>
      <c r="Z30" s="23"/>
    </row>
    <row r="31" spans="1:26" ht="14.45" customHeight="1" x14ac:dyDescent="0.25">
      <c r="A31"/>
      <c r="B31"/>
      <c r="C31"/>
      <c r="D31"/>
      <c r="E31"/>
      <c r="F31"/>
      <c r="G31"/>
      <c r="H31"/>
      <c r="I31"/>
      <c r="J31"/>
      <c r="M31" s="374"/>
      <c r="N31" s="206"/>
      <c r="O31" s="206"/>
      <c r="P31" s="206"/>
      <c r="Q31" s="206"/>
      <c r="R31" s="206"/>
      <c r="S31" s="206"/>
      <c r="T31" s="206"/>
      <c r="U31" s="206"/>
      <c r="V31" s="206"/>
      <c r="W31" s="214"/>
      <c r="Z31" s="23"/>
    </row>
    <row r="32" spans="1:26" ht="14.45" customHeight="1" x14ac:dyDescent="0.25">
      <c r="A32"/>
      <c r="B32"/>
      <c r="C32"/>
      <c r="D32"/>
      <c r="E32"/>
      <c r="F32"/>
      <c r="G32"/>
      <c r="H32"/>
      <c r="I32"/>
      <c r="J32"/>
      <c r="M32" s="374"/>
      <c r="N32" s="206"/>
      <c r="O32" s="206"/>
      <c r="P32" s="206"/>
      <c r="Q32" s="206"/>
      <c r="R32" s="206"/>
      <c r="S32" s="206"/>
      <c r="T32" s="206"/>
      <c r="U32" s="206"/>
      <c r="V32" s="206"/>
      <c r="W32" s="214"/>
      <c r="Z32" s="23"/>
    </row>
    <row r="33" spans="1:26" ht="14.45" customHeight="1" x14ac:dyDescent="0.25">
      <c r="A33"/>
      <c r="B33"/>
      <c r="C33"/>
      <c r="D33"/>
      <c r="E33"/>
      <c r="F33"/>
      <c r="G33"/>
      <c r="H33"/>
      <c r="I33"/>
      <c r="J33"/>
      <c r="M33" s="374"/>
      <c r="N33" s="206"/>
      <c r="O33" s="206"/>
      <c r="P33" s="206"/>
      <c r="Q33" s="206"/>
      <c r="R33" s="206"/>
      <c r="S33" s="206"/>
      <c r="T33" s="206"/>
      <c r="U33" s="206"/>
      <c r="V33" s="206"/>
      <c r="W33" s="214"/>
      <c r="Z33" s="23"/>
    </row>
    <row r="34" spans="1:26" ht="14.45" customHeight="1" x14ac:dyDescent="0.25">
      <c r="A34"/>
      <c r="B34"/>
      <c r="C34"/>
      <c r="D34"/>
      <c r="E34"/>
      <c r="F34"/>
      <c r="G34"/>
      <c r="H34"/>
      <c r="I34"/>
      <c r="J34"/>
      <c r="M34" s="374"/>
      <c r="N34" s="206"/>
      <c r="O34" s="206"/>
      <c r="P34" s="206"/>
      <c r="Q34" s="206"/>
      <c r="R34" s="206"/>
      <c r="S34" s="206"/>
      <c r="T34" s="206"/>
      <c r="U34" s="206"/>
      <c r="V34" s="206"/>
      <c r="W34" s="214"/>
      <c r="Z34" s="23"/>
    </row>
    <row r="35" spans="1:26" ht="14.45" customHeight="1" x14ac:dyDescent="0.25">
      <c r="A35"/>
      <c r="B35"/>
      <c r="C35"/>
      <c r="D35"/>
      <c r="E35"/>
      <c r="F35"/>
      <c r="G35"/>
      <c r="H35"/>
      <c r="I35"/>
      <c r="J35"/>
      <c r="M35" s="374"/>
      <c r="N35" s="206"/>
      <c r="O35" s="206"/>
      <c r="P35" s="206"/>
      <c r="Q35" s="206"/>
      <c r="R35" s="206"/>
      <c r="S35" s="206"/>
      <c r="T35" s="206"/>
      <c r="U35" s="206"/>
      <c r="V35" s="206"/>
      <c r="W35" s="214"/>
      <c r="Z35" s="23"/>
    </row>
    <row r="36" spans="1:26" ht="14.45" customHeight="1" x14ac:dyDescent="0.25">
      <c r="A36"/>
      <c r="B36"/>
      <c r="C36"/>
      <c r="D36"/>
      <c r="E36"/>
      <c r="F36"/>
      <c r="G36"/>
      <c r="H36"/>
      <c r="I36"/>
      <c r="J36"/>
      <c r="M36" s="374"/>
      <c r="N36" s="206"/>
      <c r="O36" s="206"/>
      <c r="P36" s="206"/>
      <c r="Q36" s="206"/>
      <c r="R36" s="206"/>
      <c r="S36" s="206"/>
      <c r="T36" s="206"/>
      <c r="U36" s="206"/>
      <c r="V36" s="206"/>
      <c r="W36" s="214"/>
      <c r="Z36" s="23"/>
    </row>
    <row r="37" spans="1:26" ht="14.45" customHeight="1" x14ac:dyDescent="0.25">
      <c r="A37"/>
      <c r="B37"/>
      <c r="C37"/>
      <c r="D37"/>
      <c r="E37"/>
      <c r="F37"/>
      <c r="G37"/>
      <c r="H37"/>
      <c r="I37"/>
      <c r="J37"/>
      <c r="M37" s="374"/>
      <c r="N37" s="206"/>
      <c r="O37" s="206"/>
      <c r="P37" s="206"/>
      <c r="Q37" s="206"/>
      <c r="R37" s="206"/>
      <c r="S37" s="206"/>
      <c r="T37" s="206"/>
      <c r="U37" s="206"/>
      <c r="V37" s="206"/>
      <c r="W37" s="214"/>
      <c r="Z37" s="23"/>
    </row>
    <row r="38" spans="1:26" ht="14.45" customHeight="1" x14ac:dyDescent="0.25">
      <c r="A38"/>
      <c r="B38"/>
      <c r="C38"/>
      <c r="D38"/>
      <c r="E38"/>
      <c r="F38"/>
      <c r="G38"/>
      <c r="H38"/>
      <c r="I38"/>
      <c r="J38"/>
      <c r="M38" s="374"/>
      <c r="N38" s="206"/>
      <c r="O38" s="206"/>
      <c r="P38" s="206"/>
      <c r="Q38" s="206"/>
      <c r="R38" s="206"/>
      <c r="S38" s="206"/>
      <c r="T38" s="206"/>
      <c r="U38" s="206"/>
      <c r="V38" s="206"/>
      <c r="W38" s="214"/>
      <c r="Z38" s="23"/>
    </row>
    <row r="39" spans="1:26" ht="14.45" customHeight="1" x14ac:dyDescent="0.25">
      <c r="A39"/>
      <c r="B39"/>
      <c r="C39"/>
      <c r="D39"/>
      <c r="E39"/>
      <c r="F39"/>
      <c r="G39"/>
      <c r="H39"/>
      <c r="I39"/>
      <c r="J39"/>
      <c r="M39" s="374"/>
      <c r="N39" s="206"/>
      <c r="O39" s="206"/>
      <c r="P39" s="206"/>
      <c r="Q39" s="206"/>
      <c r="R39" s="206"/>
      <c r="S39" s="206"/>
      <c r="T39" s="206"/>
      <c r="U39" s="206"/>
      <c r="V39" s="206"/>
      <c r="W39" s="214"/>
      <c r="Z39" s="23"/>
    </row>
    <row r="40" spans="1:26" ht="14.45" customHeight="1" x14ac:dyDescent="0.25">
      <c r="A40"/>
      <c r="B40"/>
      <c r="C40"/>
      <c r="D40"/>
      <c r="E40"/>
      <c r="F40"/>
      <c r="G40"/>
      <c r="H40"/>
      <c r="I40"/>
      <c r="J40"/>
      <c r="M40" s="374"/>
      <c r="N40" s="206"/>
      <c r="O40" s="206"/>
      <c r="P40" s="206"/>
      <c r="Q40" s="206"/>
      <c r="R40" s="206"/>
      <c r="S40" s="206"/>
      <c r="T40" s="206"/>
      <c r="U40" s="206"/>
      <c r="V40" s="206"/>
      <c r="W40" s="214"/>
      <c r="Z40" s="23"/>
    </row>
    <row r="41" spans="1:26" ht="14.45" customHeight="1" x14ac:dyDescent="0.25">
      <c r="A41"/>
      <c r="B41"/>
      <c r="C41"/>
      <c r="D41"/>
      <c r="E41"/>
      <c r="F41"/>
      <c r="G41"/>
      <c r="H41"/>
      <c r="I41"/>
      <c r="J41"/>
      <c r="M41" s="374"/>
      <c r="N41" s="206"/>
      <c r="O41" s="206"/>
      <c r="P41" s="206"/>
      <c r="Q41" s="206"/>
      <c r="R41" s="206"/>
      <c r="S41" s="206"/>
      <c r="T41" s="206"/>
      <c r="U41" s="206"/>
      <c r="V41" s="206"/>
      <c r="W41" s="214"/>
      <c r="Z41" s="23"/>
    </row>
    <row r="42" spans="1:26" ht="14.45" customHeight="1" x14ac:dyDescent="0.25">
      <c r="A42"/>
      <c r="B42"/>
      <c r="C42"/>
      <c r="D42"/>
      <c r="E42"/>
      <c r="F42"/>
      <c r="G42"/>
      <c r="H42"/>
      <c r="I42"/>
      <c r="J42"/>
      <c r="M42" s="374"/>
      <c r="N42" s="206"/>
      <c r="O42" s="206"/>
      <c r="P42" s="206"/>
      <c r="Q42" s="206"/>
      <c r="R42" s="206"/>
      <c r="S42" s="206"/>
      <c r="T42" s="206"/>
      <c r="U42" s="206"/>
      <c r="V42" s="206"/>
      <c r="W42" s="214"/>
      <c r="Z42" s="23"/>
    </row>
    <row r="43" spans="1:26" ht="14.45" customHeight="1" x14ac:dyDescent="0.25">
      <c r="A43"/>
      <c r="B43"/>
      <c r="C43"/>
      <c r="D43"/>
      <c r="E43"/>
      <c r="F43"/>
      <c r="G43"/>
      <c r="H43"/>
      <c r="I43"/>
      <c r="J43"/>
      <c r="M43" s="374"/>
      <c r="N43" s="206"/>
      <c r="O43" s="206"/>
      <c r="P43" s="206"/>
      <c r="Q43" s="206"/>
      <c r="R43" s="206"/>
      <c r="S43" s="206"/>
      <c r="T43" s="206"/>
      <c r="U43" s="206"/>
      <c r="V43" s="206"/>
      <c r="W43" s="214"/>
      <c r="Z43" s="23"/>
    </row>
    <row r="44" spans="1:26" ht="14.45" customHeight="1" x14ac:dyDescent="0.25">
      <c r="A44"/>
      <c r="B44"/>
      <c r="C44"/>
      <c r="D44"/>
      <c r="E44"/>
      <c r="F44"/>
      <c r="G44"/>
      <c r="H44"/>
      <c r="I44"/>
      <c r="J44"/>
      <c r="M44" s="374"/>
      <c r="N44" s="206"/>
      <c r="O44" s="206"/>
      <c r="P44" s="206"/>
      <c r="Q44" s="206"/>
      <c r="R44" s="206"/>
      <c r="S44" s="206"/>
      <c r="T44" s="206"/>
      <c r="U44" s="206"/>
      <c r="V44" s="206"/>
      <c r="W44" s="214"/>
      <c r="Z44" s="23"/>
    </row>
    <row r="45" spans="1:26" ht="14.45" customHeight="1" x14ac:dyDescent="0.25">
      <c r="A45"/>
      <c r="B45"/>
      <c r="C45"/>
      <c r="D45"/>
      <c r="E45"/>
      <c r="F45"/>
      <c r="G45"/>
      <c r="H45"/>
      <c r="I45"/>
      <c r="J45"/>
      <c r="M45" s="374"/>
      <c r="N45" s="206"/>
      <c r="O45" s="206"/>
      <c r="P45" s="206"/>
      <c r="Q45" s="206"/>
      <c r="R45" s="206"/>
      <c r="S45" s="206"/>
      <c r="T45" s="206"/>
      <c r="U45" s="206"/>
      <c r="V45" s="206"/>
      <c r="W45" s="214"/>
      <c r="Z45" s="23"/>
    </row>
    <row r="46" spans="1:26" ht="14.45" customHeight="1" x14ac:dyDescent="0.25">
      <c r="A46"/>
      <c r="B46"/>
      <c r="C46"/>
      <c r="D46"/>
      <c r="E46"/>
      <c r="F46"/>
      <c r="G46"/>
      <c r="H46"/>
      <c r="I46"/>
      <c r="J46"/>
      <c r="M46" s="374"/>
      <c r="N46" s="206"/>
      <c r="O46" s="206"/>
      <c r="P46" s="206"/>
      <c r="Q46" s="206"/>
      <c r="R46" s="206"/>
      <c r="S46" s="206"/>
      <c r="T46" s="206"/>
      <c r="U46" s="206"/>
      <c r="V46" s="206"/>
      <c r="W46" s="214"/>
      <c r="Z46" s="23"/>
    </row>
    <row r="47" spans="1:26" ht="14.45" customHeight="1" x14ac:dyDescent="0.25">
      <c r="A47"/>
      <c r="B47"/>
      <c r="C47"/>
      <c r="D47"/>
      <c r="E47"/>
      <c r="F47"/>
      <c r="G47"/>
      <c r="H47"/>
      <c r="I47"/>
      <c r="J47"/>
      <c r="M47" s="374"/>
      <c r="N47" s="206"/>
      <c r="O47" s="206"/>
      <c r="P47" s="206"/>
      <c r="Q47" s="206"/>
      <c r="R47" s="206"/>
      <c r="S47" s="206"/>
      <c r="T47" s="206"/>
      <c r="U47" s="206"/>
      <c r="V47" s="206"/>
      <c r="W47" s="214"/>
      <c r="Z47" s="23"/>
    </row>
    <row r="48" spans="1:26" ht="14.45" customHeight="1" x14ac:dyDescent="0.25">
      <c r="A48"/>
      <c r="B48"/>
      <c r="C48"/>
      <c r="D48"/>
      <c r="E48"/>
      <c r="F48"/>
      <c r="G48"/>
      <c r="H48"/>
      <c r="I48"/>
      <c r="J48"/>
      <c r="M48" s="374"/>
      <c r="N48" s="206"/>
      <c r="O48" s="206"/>
      <c r="P48" s="206"/>
      <c r="Q48" s="206"/>
      <c r="R48" s="206"/>
      <c r="S48" s="206"/>
      <c r="T48" s="206"/>
      <c r="U48" s="206"/>
      <c r="V48" s="206"/>
      <c r="W48" s="214"/>
      <c r="Z48" s="23"/>
    </row>
    <row r="49" spans="1:26" ht="14.45" customHeight="1" x14ac:dyDescent="0.25">
      <c r="A49"/>
      <c r="B49"/>
      <c r="C49"/>
      <c r="D49"/>
      <c r="E49"/>
      <c r="F49"/>
      <c r="G49"/>
      <c r="H49"/>
      <c r="I49"/>
      <c r="J49"/>
      <c r="M49" s="374"/>
      <c r="N49" s="206"/>
      <c r="O49" s="206"/>
      <c r="P49" s="206"/>
      <c r="Q49" s="206"/>
      <c r="R49" s="206"/>
      <c r="S49" s="206"/>
      <c r="T49" s="206"/>
      <c r="U49" s="206"/>
      <c r="V49" s="206"/>
      <c r="W49" s="214"/>
      <c r="Z49" s="23"/>
    </row>
    <row r="50" spans="1:26" ht="14.45" customHeight="1" x14ac:dyDescent="0.25">
      <c r="A50"/>
      <c r="B50"/>
      <c r="C50"/>
      <c r="D50"/>
      <c r="E50"/>
      <c r="F50"/>
      <c r="G50"/>
      <c r="H50"/>
      <c r="I50"/>
      <c r="J50"/>
      <c r="M50" s="374"/>
      <c r="N50" s="206"/>
      <c r="O50" s="206"/>
      <c r="P50" s="206"/>
      <c r="Q50" s="206"/>
      <c r="R50" s="206"/>
      <c r="S50" s="206"/>
      <c r="T50" s="206"/>
      <c r="U50" s="206"/>
      <c r="V50" s="206"/>
      <c r="W50" s="214"/>
      <c r="Z50" s="23"/>
    </row>
    <row r="51" spans="1:26" ht="14.45" customHeight="1" x14ac:dyDescent="0.25">
      <c r="A51"/>
      <c r="B51"/>
      <c r="C51"/>
      <c r="D51"/>
      <c r="E51"/>
      <c r="F51"/>
      <c r="G51"/>
      <c r="H51"/>
      <c r="I51"/>
      <c r="J51"/>
      <c r="M51" s="374"/>
      <c r="N51" s="206"/>
      <c r="O51" s="206"/>
      <c r="P51" s="206"/>
      <c r="Q51" s="206"/>
      <c r="R51" s="206"/>
      <c r="S51" s="206"/>
      <c r="T51" s="206"/>
      <c r="U51" s="206"/>
      <c r="V51" s="206"/>
      <c r="W51" s="214"/>
      <c r="Z51" s="23"/>
    </row>
    <row r="52" spans="1:26" ht="14.45" customHeight="1" x14ac:dyDescent="0.25">
      <c r="A52"/>
      <c r="B52"/>
      <c r="C52"/>
      <c r="D52"/>
      <c r="E52"/>
      <c r="F52"/>
      <c r="G52"/>
      <c r="H52"/>
      <c r="I52"/>
      <c r="J52"/>
      <c r="M52" s="374"/>
      <c r="N52" s="206"/>
      <c r="O52" s="206"/>
      <c r="P52" s="206"/>
      <c r="Q52" s="206"/>
      <c r="R52" s="206"/>
      <c r="S52" s="206"/>
      <c r="T52" s="206"/>
      <c r="U52" s="206"/>
      <c r="V52" s="206"/>
      <c r="W52" s="214"/>
      <c r="Z52" s="23"/>
    </row>
    <row r="53" spans="1:26" ht="14.45" customHeight="1" x14ac:dyDescent="0.25">
      <c r="A53"/>
      <c r="B53"/>
      <c r="C53"/>
      <c r="D53"/>
      <c r="E53"/>
      <c r="F53"/>
      <c r="G53"/>
      <c r="H53"/>
      <c r="I53"/>
      <c r="J53"/>
      <c r="M53" s="374"/>
      <c r="N53" s="206"/>
      <c r="O53" s="206"/>
      <c r="P53" s="206"/>
      <c r="Q53" s="206"/>
      <c r="R53" s="206"/>
      <c r="S53" s="206"/>
      <c r="T53" s="206"/>
      <c r="U53" s="206"/>
      <c r="V53" s="206"/>
      <c r="W53" s="214"/>
      <c r="Z53" s="23"/>
    </row>
    <row r="54" spans="1:26" ht="14.45" customHeight="1" x14ac:dyDescent="0.25">
      <c r="A54"/>
      <c r="B54"/>
      <c r="C54"/>
      <c r="D54"/>
      <c r="E54"/>
      <c r="F54"/>
      <c r="G54"/>
      <c r="H54"/>
      <c r="I54"/>
      <c r="J54"/>
      <c r="M54" s="374"/>
      <c r="N54" s="206"/>
      <c r="O54" s="206"/>
      <c r="P54" s="206"/>
      <c r="Q54" s="206"/>
      <c r="R54" s="206"/>
      <c r="S54" s="206"/>
      <c r="T54" s="206"/>
      <c r="U54" s="206"/>
      <c r="V54" s="206"/>
      <c r="W54" s="214"/>
      <c r="Z54" s="23"/>
    </row>
    <row r="55" spans="1:26" ht="14.45" customHeight="1" x14ac:dyDescent="0.25">
      <c r="A55"/>
      <c r="B55"/>
      <c r="C55"/>
      <c r="D55"/>
      <c r="E55"/>
      <c r="F55"/>
      <c r="G55"/>
      <c r="H55"/>
      <c r="I55"/>
      <c r="J55"/>
      <c r="M55" s="374"/>
      <c r="N55" s="206"/>
      <c r="O55" s="206"/>
      <c r="P55" s="206"/>
      <c r="Q55" s="206"/>
      <c r="R55" s="206"/>
      <c r="S55" s="206"/>
      <c r="T55" s="206"/>
      <c r="U55" s="206"/>
      <c r="V55" s="206"/>
      <c r="W55" s="214"/>
      <c r="Z55" s="23"/>
    </row>
    <row r="56" spans="1:26" ht="14.45" customHeight="1" x14ac:dyDescent="0.25">
      <c r="A56"/>
      <c r="B56"/>
      <c r="C56"/>
      <c r="D56"/>
      <c r="E56"/>
      <c r="F56"/>
      <c r="G56"/>
      <c r="H56"/>
      <c r="I56"/>
      <c r="J56"/>
      <c r="M56" s="374"/>
      <c r="N56" s="206"/>
      <c r="O56" s="206"/>
      <c r="P56" s="206"/>
      <c r="Q56" s="206"/>
      <c r="R56" s="206"/>
      <c r="S56" s="206"/>
      <c r="T56" s="206"/>
      <c r="U56" s="206"/>
      <c r="V56" s="206"/>
      <c r="W56" s="214"/>
      <c r="Z56" s="23"/>
    </row>
    <row r="57" spans="1:26" ht="14.45" customHeight="1" x14ac:dyDescent="0.25">
      <c r="A57"/>
      <c r="B57"/>
      <c r="C57"/>
      <c r="D57"/>
      <c r="E57"/>
      <c r="F57"/>
      <c r="G57"/>
      <c r="H57"/>
      <c r="I57"/>
      <c r="J57"/>
      <c r="M57" s="374"/>
      <c r="N57" s="206"/>
      <c r="O57" s="206"/>
      <c r="P57" s="206"/>
      <c r="Q57" s="206"/>
      <c r="R57" s="206"/>
      <c r="S57" s="206"/>
      <c r="T57" s="206"/>
      <c r="U57" s="206"/>
      <c r="V57" s="206"/>
      <c r="W57" s="214"/>
      <c r="Z57" s="23"/>
    </row>
    <row r="58" spans="1:26" ht="14.45" customHeight="1" x14ac:dyDescent="0.25">
      <c r="A58"/>
      <c r="B58"/>
      <c r="C58"/>
      <c r="D58"/>
      <c r="E58"/>
      <c r="F58"/>
      <c r="G58"/>
      <c r="H58"/>
      <c r="I58"/>
      <c r="J58"/>
      <c r="M58" s="374"/>
      <c r="N58" s="206"/>
      <c r="O58" s="206"/>
      <c r="P58" s="206"/>
      <c r="Q58" s="206"/>
      <c r="R58" s="206"/>
      <c r="S58" s="206"/>
      <c r="T58" s="206"/>
      <c r="U58" s="206"/>
      <c r="V58" s="206"/>
      <c r="W58" s="214"/>
      <c r="Z58" s="23"/>
    </row>
    <row r="59" spans="1:26" ht="14.45" customHeight="1" x14ac:dyDescent="0.25">
      <c r="A59"/>
      <c r="B59"/>
      <c r="C59"/>
      <c r="D59"/>
      <c r="E59"/>
      <c r="F59"/>
      <c r="G59"/>
      <c r="H59"/>
      <c r="I59"/>
      <c r="J59"/>
      <c r="M59" s="374"/>
      <c r="N59" s="206"/>
      <c r="O59" s="206"/>
      <c r="P59" s="206"/>
      <c r="Q59" s="206"/>
      <c r="R59" s="206"/>
      <c r="S59" s="206"/>
      <c r="T59" s="206"/>
      <c r="U59" s="206"/>
      <c r="V59" s="206"/>
      <c r="W59" s="214"/>
      <c r="Z59" s="23"/>
    </row>
    <row r="60" spans="1:26" ht="14.45" customHeight="1" x14ac:dyDescent="0.25">
      <c r="A60"/>
      <c r="B60"/>
      <c r="C60"/>
      <c r="D60"/>
      <c r="E60"/>
      <c r="F60"/>
      <c r="G60"/>
      <c r="H60"/>
      <c r="I60"/>
      <c r="J60"/>
      <c r="M60" s="374"/>
      <c r="N60" s="206"/>
      <c r="O60" s="206"/>
      <c r="P60" s="206"/>
      <c r="Q60" s="206"/>
      <c r="R60" s="206"/>
      <c r="S60" s="206"/>
      <c r="T60" s="206"/>
      <c r="U60" s="206"/>
      <c r="V60" s="206"/>
      <c r="W60" s="214"/>
      <c r="Z60" s="23"/>
    </row>
    <row r="61" spans="1:26" ht="14.45" customHeight="1" x14ac:dyDescent="0.25">
      <c r="A61"/>
      <c r="B61"/>
      <c r="C61"/>
      <c r="D61"/>
      <c r="E61"/>
      <c r="F61"/>
      <c r="G61"/>
      <c r="H61"/>
      <c r="I61"/>
      <c r="J61"/>
      <c r="M61" s="374"/>
      <c r="N61" s="206"/>
      <c r="O61" s="206"/>
      <c r="P61" s="206"/>
      <c r="Q61" s="206"/>
      <c r="R61" s="206"/>
      <c r="S61" s="206"/>
      <c r="T61" s="206"/>
      <c r="U61" s="206"/>
      <c r="V61" s="206"/>
      <c r="W61" s="214"/>
      <c r="Z61" s="23"/>
    </row>
    <row r="62" spans="1:26" ht="14.45" customHeight="1" x14ac:dyDescent="0.25">
      <c r="A62"/>
      <c r="B62"/>
      <c r="C62"/>
      <c r="D62"/>
      <c r="E62"/>
      <c r="F62"/>
      <c r="G62"/>
      <c r="H62"/>
      <c r="I62"/>
      <c r="J62"/>
      <c r="M62" s="374"/>
      <c r="N62" s="206"/>
      <c r="O62" s="206"/>
      <c r="P62" s="206"/>
      <c r="Q62" s="206"/>
      <c r="R62" s="206"/>
      <c r="S62" s="206"/>
      <c r="T62" s="206"/>
      <c r="U62" s="206"/>
      <c r="V62" s="206"/>
      <c r="W62" s="214"/>
      <c r="Z62" s="23"/>
    </row>
    <row r="63" spans="1:26" ht="14.45" customHeight="1" x14ac:dyDescent="0.25">
      <c r="A63"/>
      <c r="B63"/>
      <c r="C63"/>
      <c r="D63"/>
      <c r="E63"/>
      <c r="F63"/>
      <c r="G63"/>
      <c r="H63"/>
      <c r="I63"/>
      <c r="J63"/>
      <c r="M63" s="374"/>
      <c r="N63" s="206"/>
      <c r="O63" s="206"/>
      <c r="P63" s="206"/>
      <c r="Q63" s="206"/>
      <c r="R63" s="206"/>
      <c r="S63" s="206"/>
      <c r="T63" s="206"/>
      <c r="U63" s="206"/>
      <c r="V63" s="206"/>
      <c r="W63" s="214"/>
      <c r="Z63" s="23"/>
    </row>
    <row r="64" spans="1:26" ht="14.45" customHeight="1" x14ac:dyDescent="0.25">
      <c r="A64"/>
      <c r="B64"/>
      <c r="C64"/>
      <c r="D64"/>
      <c r="E64"/>
      <c r="F64"/>
      <c r="G64"/>
      <c r="H64"/>
      <c r="I64"/>
      <c r="J64"/>
      <c r="M64" s="374"/>
      <c r="N64" s="206"/>
      <c r="O64" s="206"/>
      <c r="P64" s="206"/>
      <c r="Q64" s="206"/>
      <c r="R64" s="206"/>
      <c r="S64" s="206"/>
      <c r="T64" s="206"/>
      <c r="U64" s="206"/>
      <c r="V64" s="206"/>
      <c r="W64" s="214"/>
      <c r="Z64" s="23"/>
    </row>
    <row r="65" spans="1:26" ht="14.45" customHeight="1" x14ac:dyDescent="0.25">
      <c r="A65"/>
      <c r="B65"/>
      <c r="C65"/>
      <c r="D65"/>
      <c r="E65"/>
      <c r="F65"/>
      <c r="G65"/>
      <c r="H65"/>
      <c r="I65"/>
      <c r="J65"/>
      <c r="M65" s="374"/>
      <c r="N65" s="206"/>
      <c r="O65" s="206"/>
      <c r="P65" s="206"/>
      <c r="Q65" s="206"/>
      <c r="R65" s="206"/>
      <c r="S65" s="206"/>
      <c r="T65" s="206"/>
      <c r="U65" s="206"/>
      <c r="V65" s="206"/>
      <c r="W65" s="214"/>
      <c r="Z65" s="23"/>
    </row>
    <row r="66" spans="1:26" ht="14.45" customHeight="1" x14ac:dyDescent="0.25">
      <c r="A66"/>
      <c r="B66"/>
      <c r="C66"/>
      <c r="D66"/>
      <c r="E66"/>
      <c r="F66"/>
      <c r="G66"/>
      <c r="H66"/>
      <c r="I66"/>
      <c r="J66"/>
      <c r="M66" s="374"/>
      <c r="N66" s="206"/>
      <c r="O66" s="206"/>
      <c r="P66" s="206"/>
      <c r="Q66" s="206"/>
      <c r="R66" s="206"/>
      <c r="S66" s="206"/>
      <c r="T66" s="206"/>
      <c r="U66" s="206"/>
      <c r="V66" s="206"/>
      <c r="W66" s="214"/>
      <c r="Z66" s="23"/>
    </row>
    <row r="67" spans="1:26" ht="14.45" customHeight="1" x14ac:dyDescent="0.25">
      <c r="A67"/>
      <c r="B67"/>
      <c r="C67"/>
      <c r="D67"/>
      <c r="E67"/>
      <c r="F67"/>
      <c r="G67"/>
      <c r="H67"/>
      <c r="I67"/>
      <c r="J67"/>
      <c r="M67" s="374"/>
      <c r="N67" s="206"/>
      <c r="O67" s="206"/>
      <c r="P67" s="206"/>
      <c r="Q67" s="206"/>
      <c r="R67" s="206"/>
      <c r="S67" s="206"/>
      <c r="T67" s="206"/>
      <c r="U67" s="206"/>
      <c r="V67" s="206"/>
      <c r="W67" s="214"/>
      <c r="Z67" s="23"/>
    </row>
    <row r="68" spans="1:26" ht="14.45" customHeight="1" x14ac:dyDescent="0.25">
      <c r="A68"/>
      <c r="B68"/>
      <c r="C68"/>
      <c r="D68"/>
      <c r="E68"/>
      <c r="F68"/>
      <c r="G68"/>
      <c r="H68"/>
      <c r="I68"/>
      <c r="J68"/>
      <c r="M68" s="374"/>
      <c r="N68" s="206"/>
      <c r="O68" s="206"/>
      <c r="P68" s="206"/>
      <c r="Q68" s="206"/>
      <c r="R68" s="206"/>
      <c r="S68" s="206"/>
      <c r="T68" s="206"/>
      <c r="U68" s="206"/>
      <c r="V68" s="206"/>
      <c r="W68" s="214"/>
      <c r="Z68" s="23"/>
    </row>
    <row r="69" spans="1:26" ht="14.45" customHeight="1" x14ac:dyDescent="0.25">
      <c r="A69"/>
      <c r="B69"/>
      <c r="C69"/>
      <c r="D69"/>
      <c r="E69"/>
      <c r="F69"/>
      <c r="G69"/>
      <c r="H69"/>
      <c r="I69"/>
      <c r="J69"/>
      <c r="M69" s="374"/>
      <c r="N69" s="206"/>
      <c r="O69" s="206"/>
      <c r="P69" s="206"/>
      <c r="Q69" s="206"/>
      <c r="R69" s="206"/>
      <c r="S69" s="206"/>
      <c r="T69" s="206"/>
      <c r="U69" s="206"/>
      <c r="V69" s="206"/>
      <c r="W69" s="214"/>
      <c r="Z69" s="23"/>
    </row>
    <row r="70" spans="1:26" ht="14.45" customHeight="1" x14ac:dyDescent="0.25">
      <c r="A70"/>
      <c r="B70"/>
      <c r="C70"/>
      <c r="D70"/>
      <c r="E70"/>
      <c r="F70"/>
      <c r="G70"/>
      <c r="H70"/>
      <c r="I70"/>
      <c r="J70"/>
      <c r="M70" s="374"/>
      <c r="N70" s="206"/>
      <c r="O70" s="206"/>
      <c r="P70" s="206"/>
      <c r="Q70" s="206"/>
      <c r="R70" s="206"/>
      <c r="S70" s="206"/>
      <c r="T70" s="206"/>
      <c r="U70" s="206"/>
      <c r="V70" s="206"/>
      <c r="W70" s="214"/>
      <c r="Z70" s="23"/>
    </row>
    <row r="71" spans="1:26" ht="14.45" customHeight="1" x14ac:dyDescent="0.25">
      <c r="A71"/>
      <c r="B71"/>
      <c r="C71"/>
      <c r="D71"/>
      <c r="E71"/>
      <c r="F71"/>
      <c r="G71"/>
      <c r="H71"/>
      <c r="I71"/>
      <c r="J71"/>
      <c r="M71" s="374"/>
      <c r="N71" s="206"/>
      <c r="O71" s="206"/>
      <c r="P71" s="206"/>
      <c r="Q71" s="206"/>
      <c r="R71" s="206"/>
      <c r="S71" s="206"/>
      <c r="T71" s="206"/>
      <c r="U71" s="206"/>
      <c r="V71" s="206"/>
      <c r="W71" s="214"/>
      <c r="Z71" s="23"/>
    </row>
    <row r="72" spans="1:26" ht="14.45" customHeight="1" x14ac:dyDescent="0.25">
      <c r="A72"/>
      <c r="B72"/>
      <c r="C72"/>
      <c r="D72"/>
      <c r="E72"/>
      <c r="F72"/>
      <c r="G72"/>
      <c r="H72"/>
      <c r="I72"/>
      <c r="J72"/>
      <c r="M72" s="374"/>
      <c r="N72" s="206"/>
      <c r="O72" s="206"/>
      <c r="P72" s="206"/>
      <c r="Q72" s="206"/>
      <c r="R72" s="206"/>
      <c r="S72" s="206"/>
      <c r="T72" s="206"/>
      <c r="U72" s="206"/>
      <c r="V72" s="206"/>
      <c r="W72" s="214"/>
      <c r="Z72" s="23"/>
    </row>
    <row r="73" spans="1:26" ht="14.45" customHeight="1" x14ac:dyDescent="0.25">
      <c r="A73"/>
      <c r="B73"/>
      <c r="C73"/>
      <c r="D73"/>
      <c r="E73"/>
      <c r="F73"/>
      <c r="G73"/>
      <c r="H73"/>
      <c r="I73"/>
      <c r="J73"/>
      <c r="M73" s="374"/>
      <c r="N73" s="206"/>
      <c r="O73" s="206"/>
      <c r="P73" s="206"/>
      <c r="Q73" s="206"/>
      <c r="R73" s="206"/>
      <c r="S73" s="206"/>
      <c r="T73" s="206"/>
      <c r="U73" s="206"/>
      <c r="V73" s="206"/>
      <c r="W73" s="214"/>
      <c r="Z73" s="23"/>
    </row>
    <row r="74" spans="1:26" ht="14.45" customHeight="1" x14ac:dyDescent="0.25">
      <c r="A74"/>
      <c r="B74"/>
      <c r="C74"/>
      <c r="D74"/>
      <c r="E74"/>
      <c r="F74"/>
      <c r="G74"/>
      <c r="H74"/>
      <c r="I74"/>
      <c r="J74"/>
      <c r="M74" s="374"/>
      <c r="N74" s="206"/>
      <c r="O74" s="206"/>
      <c r="P74" s="206"/>
      <c r="Q74" s="206"/>
      <c r="R74" s="206"/>
      <c r="S74" s="206"/>
      <c r="T74" s="206"/>
      <c r="U74" s="206"/>
      <c r="V74" s="206"/>
      <c r="W74" s="214"/>
      <c r="Z74" s="23"/>
    </row>
    <row r="75" spans="1:26" ht="14.45" customHeight="1" x14ac:dyDescent="0.25">
      <c r="A75"/>
      <c r="B75"/>
      <c r="C75"/>
      <c r="D75"/>
      <c r="E75"/>
      <c r="F75"/>
      <c r="G75"/>
      <c r="H75"/>
      <c r="I75"/>
      <c r="J75"/>
      <c r="M75" s="374"/>
      <c r="N75" s="206"/>
      <c r="O75" s="206"/>
      <c r="P75" s="206"/>
      <c r="Q75" s="206"/>
      <c r="R75" s="206"/>
      <c r="S75" s="206"/>
      <c r="T75" s="206"/>
      <c r="U75" s="206"/>
      <c r="V75" s="206"/>
      <c r="W75" s="214"/>
      <c r="Z75" s="23"/>
    </row>
    <row r="76" spans="1:26" ht="14.45" customHeight="1" x14ac:dyDescent="0.25">
      <c r="A76"/>
      <c r="B76"/>
      <c r="C76"/>
      <c r="D76"/>
      <c r="E76"/>
      <c r="F76"/>
      <c r="G76"/>
      <c r="H76"/>
      <c r="I76"/>
      <c r="J76"/>
      <c r="M76" s="374"/>
      <c r="N76" s="206"/>
      <c r="O76" s="206"/>
      <c r="P76" s="206"/>
      <c r="Q76" s="206"/>
      <c r="R76" s="206"/>
      <c r="S76" s="206"/>
      <c r="T76" s="206"/>
      <c r="U76" s="206"/>
      <c r="V76" s="206"/>
      <c r="W76" s="214"/>
      <c r="Z76" s="23"/>
    </row>
    <row r="77" spans="1:26" ht="14.45" customHeight="1" x14ac:dyDescent="0.25">
      <c r="A77"/>
      <c r="B77"/>
      <c r="C77"/>
      <c r="D77"/>
      <c r="E77"/>
      <c r="F77"/>
      <c r="G77"/>
      <c r="H77"/>
      <c r="I77"/>
      <c r="J77"/>
      <c r="M77" s="374"/>
      <c r="N77" s="206"/>
      <c r="O77" s="206"/>
      <c r="P77" s="206"/>
      <c r="Q77" s="206"/>
      <c r="R77" s="206"/>
      <c r="S77" s="206"/>
      <c r="T77" s="206"/>
      <c r="U77" s="206"/>
      <c r="V77" s="206"/>
      <c r="W77" s="214"/>
      <c r="Z77" s="23"/>
    </row>
    <row r="78" spans="1:26" ht="14.45" customHeight="1" x14ac:dyDescent="0.25">
      <c r="A78"/>
      <c r="B78"/>
      <c r="C78"/>
      <c r="D78"/>
      <c r="E78"/>
      <c r="F78"/>
      <c r="G78"/>
      <c r="H78"/>
      <c r="I78"/>
      <c r="J78"/>
      <c r="M78" s="374"/>
      <c r="N78" s="206"/>
      <c r="O78" s="206"/>
      <c r="P78" s="206"/>
      <c r="Q78" s="206"/>
      <c r="R78" s="206"/>
      <c r="S78" s="206"/>
      <c r="T78" s="206"/>
      <c r="U78" s="206"/>
      <c r="V78" s="206"/>
      <c r="W78" s="214"/>
      <c r="Z78" s="23"/>
    </row>
    <row r="79" spans="1:26" ht="14.45" customHeight="1" x14ac:dyDescent="0.25">
      <c r="A79"/>
      <c r="B79"/>
      <c r="C79"/>
      <c r="D79"/>
      <c r="E79"/>
      <c r="F79"/>
      <c r="G79"/>
      <c r="H79"/>
      <c r="I79"/>
      <c r="J79"/>
      <c r="M79" s="374"/>
      <c r="N79" s="206"/>
      <c r="O79" s="206"/>
      <c r="P79" s="206"/>
      <c r="Q79" s="206"/>
      <c r="R79" s="206"/>
      <c r="S79" s="206"/>
      <c r="T79" s="206"/>
      <c r="U79" s="206"/>
      <c r="V79" s="206"/>
      <c r="W79" s="214"/>
      <c r="Z79" s="23"/>
    </row>
    <row r="80" spans="1:26" ht="14.45" customHeight="1" x14ac:dyDescent="0.25">
      <c r="A80"/>
      <c r="B80"/>
      <c r="C80"/>
      <c r="D80"/>
      <c r="E80"/>
      <c r="F80"/>
      <c r="G80"/>
      <c r="H80"/>
      <c r="I80"/>
      <c r="J80"/>
      <c r="M80" s="374"/>
      <c r="N80" s="206"/>
      <c r="O80" s="206"/>
      <c r="P80" s="206"/>
      <c r="Q80" s="206"/>
      <c r="R80" s="206"/>
      <c r="S80" s="206"/>
      <c r="T80" s="206"/>
      <c r="U80" s="206"/>
      <c r="V80" s="206"/>
      <c r="W80" s="214"/>
      <c r="Z80" s="23"/>
    </row>
    <row r="81" spans="1:26" ht="14.45" customHeight="1" x14ac:dyDescent="0.25">
      <c r="A81"/>
      <c r="B81"/>
      <c r="C81"/>
      <c r="D81"/>
      <c r="E81"/>
      <c r="F81"/>
      <c r="G81"/>
      <c r="H81"/>
      <c r="I81"/>
      <c r="J81"/>
      <c r="M81" s="374"/>
      <c r="N81" s="206"/>
      <c r="O81" s="206"/>
      <c r="P81" s="206"/>
      <c r="Q81" s="206"/>
      <c r="R81" s="206"/>
      <c r="S81" s="206"/>
      <c r="T81" s="206"/>
      <c r="U81" s="206"/>
      <c r="V81" s="206"/>
      <c r="W81" s="214"/>
      <c r="Z81" s="23"/>
    </row>
    <row r="82" spans="1:26" ht="14.45" customHeight="1" x14ac:dyDescent="0.25">
      <c r="A82"/>
      <c r="B82"/>
      <c r="C82"/>
      <c r="D82"/>
      <c r="E82"/>
      <c r="F82"/>
      <c r="G82"/>
      <c r="H82"/>
      <c r="I82"/>
      <c r="J82"/>
      <c r="M82" s="374"/>
      <c r="N82" s="206"/>
      <c r="O82" s="206"/>
      <c r="P82" s="206"/>
      <c r="Q82" s="206"/>
      <c r="R82" s="206"/>
      <c r="S82" s="206"/>
      <c r="T82" s="206"/>
      <c r="U82" s="206"/>
      <c r="V82" s="206"/>
      <c r="W82" s="214"/>
      <c r="Z82" s="23"/>
    </row>
    <row r="83" spans="1:26" ht="14.45" customHeight="1" x14ac:dyDescent="0.25">
      <c r="A83"/>
      <c r="B83"/>
      <c r="C83"/>
      <c r="D83"/>
      <c r="E83"/>
      <c r="F83"/>
      <c r="G83"/>
      <c r="H83"/>
      <c r="I83"/>
      <c r="J83"/>
      <c r="M83" s="374"/>
      <c r="N83" s="206"/>
      <c r="O83" s="206"/>
      <c r="P83" s="206"/>
      <c r="Q83" s="206"/>
      <c r="R83" s="206"/>
      <c r="S83" s="206"/>
      <c r="T83" s="206"/>
      <c r="U83" s="206"/>
      <c r="V83" s="206"/>
      <c r="W83" s="214"/>
      <c r="Z83" s="23"/>
    </row>
    <row r="84" spans="1:26" ht="14.45" customHeight="1" x14ac:dyDescent="0.25">
      <c r="A84"/>
      <c r="B84"/>
      <c r="C84"/>
      <c r="D84"/>
      <c r="E84"/>
      <c r="F84"/>
      <c r="G84"/>
      <c r="H84"/>
      <c r="I84"/>
      <c r="J84"/>
      <c r="M84" s="374"/>
      <c r="N84" s="206"/>
      <c r="O84" s="206"/>
      <c r="P84" s="206"/>
      <c r="Q84" s="206"/>
      <c r="R84" s="206"/>
      <c r="S84" s="206"/>
      <c r="T84" s="206"/>
      <c r="U84" s="206"/>
      <c r="V84" s="206"/>
      <c r="W84" s="214"/>
      <c r="Z84" s="23"/>
    </row>
    <row r="85" spans="1:26" ht="14.45" customHeight="1" x14ac:dyDescent="0.25">
      <c r="A85"/>
      <c r="B85"/>
      <c r="C85"/>
      <c r="D85"/>
      <c r="E85"/>
      <c r="F85"/>
      <c r="G85"/>
      <c r="H85"/>
      <c r="I85"/>
      <c r="J85"/>
      <c r="M85" s="374"/>
      <c r="N85" s="206"/>
      <c r="O85" s="206"/>
      <c r="P85" s="206"/>
      <c r="Q85" s="206"/>
      <c r="R85" s="206"/>
      <c r="S85" s="206"/>
      <c r="T85" s="206"/>
      <c r="U85" s="206"/>
      <c r="V85" s="206"/>
      <c r="W85" s="214"/>
      <c r="Z85" s="23"/>
    </row>
    <row r="86" spans="1:26" ht="14.45" customHeight="1" x14ac:dyDescent="0.25">
      <c r="A86"/>
      <c r="B86"/>
      <c r="C86"/>
      <c r="D86"/>
      <c r="E86"/>
      <c r="F86"/>
      <c r="G86"/>
      <c r="H86"/>
      <c r="I86"/>
      <c r="J86"/>
      <c r="M86" s="374"/>
      <c r="N86" s="206"/>
      <c r="O86" s="206"/>
      <c r="P86" s="206"/>
      <c r="Q86" s="206"/>
      <c r="R86" s="206"/>
      <c r="S86" s="206"/>
      <c r="T86" s="206"/>
      <c r="U86" s="206"/>
      <c r="V86" s="206"/>
      <c r="W86" s="214"/>
      <c r="Z86" s="23"/>
    </row>
    <row r="87" spans="1:26" ht="14.45" customHeight="1" x14ac:dyDescent="0.25">
      <c r="A87"/>
      <c r="B87"/>
      <c r="C87"/>
      <c r="D87"/>
      <c r="E87"/>
      <c r="F87"/>
      <c r="G87"/>
      <c r="H87"/>
      <c r="I87"/>
      <c r="J87"/>
      <c r="M87" s="374"/>
      <c r="N87" s="206"/>
      <c r="O87" s="206"/>
      <c r="P87" s="206"/>
      <c r="Q87" s="206"/>
      <c r="R87" s="206"/>
      <c r="S87" s="206"/>
      <c r="T87" s="206"/>
      <c r="U87" s="206"/>
      <c r="V87" s="206"/>
      <c r="W87" s="214"/>
      <c r="Z87" s="23"/>
    </row>
    <row r="88" spans="1:26" ht="14.45" customHeight="1" x14ac:dyDescent="0.25">
      <c r="A88"/>
      <c r="B88"/>
      <c r="C88"/>
      <c r="D88"/>
      <c r="E88"/>
      <c r="F88"/>
      <c r="G88"/>
      <c r="H88"/>
      <c r="I88"/>
      <c r="J88"/>
      <c r="M88" s="374"/>
      <c r="N88" s="206"/>
      <c r="O88" s="206"/>
      <c r="P88" s="206"/>
      <c r="Q88" s="206"/>
      <c r="R88" s="206"/>
      <c r="S88" s="206"/>
      <c r="T88" s="206"/>
      <c r="U88" s="206"/>
      <c r="V88" s="206"/>
      <c r="W88" s="214"/>
      <c r="Z88" s="23"/>
    </row>
    <row r="89" spans="1:26" ht="14.45" customHeight="1" x14ac:dyDescent="0.25">
      <c r="A89"/>
      <c r="B89"/>
      <c r="C89"/>
      <c r="D89"/>
      <c r="E89"/>
      <c r="F89"/>
      <c r="G89"/>
      <c r="H89"/>
      <c r="I89"/>
      <c r="J89"/>
      <c r="M89" s="374"/>
      <c r="N89" s="206"/>
      <c r="O89" s="206"/>
      <c r="P89" s="206"/>
      <c r="Q89" s="206"/>
      <c r="R89" s="206"/>
      <c r="S89" s="206"/>
      <c r="T89" s="206"/>
      <c r="U89" s="206"/>
      <c r="V89" s="206"/>
      <c r="W89" s="214"/>
      <c r="Z89" s="23"/>
    </row>
    <row r="90" spans="1:26" ht="14.45" customHeight="1" x14ac:dyDescent="0.25">
      <c r="A90"/>
      <c r="B90"/>
      <c r="C90"/>
      <c r="D90"/>
      <c r="E90"/>
      <c r="F90"/>
      <c r="G90"/>
      <c r="H90"/>
      <c r="I90"/>
      <c r="J90"/>
      <c r="M90" s="374"/>
      <c r="N90" s="206"/>
      <c r="O90" s="206"/>
      <c r="P90" s="206"/>
      <c r="Q90" s="206"/>
      <c r="R90" s="206"/>
      <c r="S90" s="206"/>
      <c r="T90" s="206"/>
      <c r="U90" s="206"/>
      <c r="V90" s="206"/>
      <c r="W90" s="214"/>
      <c r="Z90" s="23"/>
    </row>
    <row r="91" spans="1:26" ht="14.45" customHeight="1" x14ac:dyDescent="0.25">
      <c r="A91"/>
      <c r="B91"/>
      <c r="C91"/>
      <c r="D91"/>
      <c r="E91"/>
      <c r="F91"/>
      <c r="G91"/>
      <c r="H91"/>
      <c r="I91"/>
      <c r="J91"/>
      <c r="M91" s="374"/>
      <c r="N91" s="206"/>
      <c r="O91" s="206"/>
      <c r="P91" s="206"/>
      <c r="Q91" s="206"/>
      <c r="R91" s="206"/>
      <c r="S91" s="206"/>
      <c r="T91" s="206"/>
      <c r="U91" s="206"/>
      <c r="V91" s="206"/>
      <c r="W91" s="214"/>
      <c r="Z91" s="23"/>
    </row>
    <row r="92" spans="1:26" ht="14.45" customHeight="1" x14ac:dyDescent="0.25">
      <c r="A92"/>
      <c r="B92"/>
      <c r="C92"/>
      <c r="D92"/>
      <c r="E92"/>
      <c r="F92"/>
      <c r="G92"/>
      <c r="H92"/>
      <c r="I92"/>
      <c r="J92"/>
      <c r="M92" s="374"/>
      <c r="N92" s="206"/>
      <c r="O92" s="206"/>
      <c r="P92" s="206"/>
      <c r="Q92" s="206"/>
      <c r="R92" s="206"/>
      <c r="S92" s="206"/>
      <c r="T92" s="206"/>
      <c r="U92" s="206"/>
      <c r="V92" s="206"/>
      <c r="W92" s="214"/>
      <c r="Z92" s="23"/>
    </row>
    <row r="93" spans="1:26" ht="14.45" customHeight="1" x14ac:dyDescent="0.25">
      <c r="A93"/>
      <c r="B93"/>
      <c r="C93"/>
      <c r="D93"/>
      <c r="E93"/>
      <c r="F93"/>
      <c r="G93"/>
      <c r="H93"/>
      <c r="I93"/>
      <c r="J93"/>
      <c r="M93" s="374"/>
      <c r="N93" s="206"/>
      <c r="O93" s="206"/>
      <c r="P93" s="206"/>
      <c r="Q93" s="206"/>
      <c r="R93" s="206"/>
      <c r="S93" s="206"/>
      <c r="T93" s="206"/>
      <c r="U93" s="206"/>
      <c r="V93" s="206"/>
      <c r="W93" s="214"/>
      <c r="Z93" s="23"/>
    </row>
    <row r="94" spans="1:26" ht="14.45" customHeight="1" x14ac:dyDescent="0.25">
      <c r="A94"/>
      <c r="B94"/>
      <c r="C94"/>
      <c r="D94"/>
      <c r="E94"/>
      <c r="F94"/>
      <c r="G94"/>
      <c r="H94"/>
      <c r="I94"/>
      <c r="J94"/>
      <c r="M94" s="374"/>
      <c r="N94" s="206"/>
      <c r="O94" s="206"/>
      <c r="P94" s="206"/>
      <c r="Q94" s="206"/>
      <c r="R94" s="206"/>
      <c r="S94" s="206"/>
      <c r="T94" s="206"/>
      <c r="U94" s="206"/>
      <c r="V94" s="206"/>
      <c r="W94" s="214"/>
      <c r="Z94" s="23"/>
    </row>
    <row r="95" spans="1:26" ht="14.45" customHeight="1" x14ac:dyDescent="0.25">
      <c r="A95"/>
      <c r="B95"/>
      <c r="C95"/>
      <c r="D95"/>
      <c r="E95"/>
      <c r="F95"/>
      <c r="G95"/>
      <c r="H95"/>
      <c r="I95"/>
      <c r="J95"/>
      <c r="M95" s="374"/>
      <c r="N95" s="206"/>
      <c r="O95" s="206"/>
      <c r="P95" s="206"/>
      <c r="Q95" s="206"/>
      <c r="R95" s="206"/>
      <c r="S95" s="206"/>
      <c r="T95" s="206"/>
      <c r="U95" s="206"/>
      <c r="V95" s="206"/>
      <c r="W95" s="214"/>
      <c r="Z95" s="23"/>
    </row>
    <row r="96" spans="1:26" ht="14.45" customHeight="1" x14ac:dyDescent="0.25">
      <c r="A96"/>
      <c r="B96"/>
      <c r="C96"/>
      <c r="D96"/>
      <c r="E96"/>
      <c r="F96"/>
      <c r="G96"/>
      <c r="H96"/>
      <c r="I96"/>
      <c r="J96"/>
      <c r="M96" s="374"/>
      <c r="N96" s="206"/>
      <c r="O96" s="206"/>
      <c r="P96" s="206"/>
      <c r="Q96" s="206"/>
      <c r="R96" s="206"/>
      <c r="S96" s="206"/>
      <c r="T96" s="206"/>
      <c r="U96" s="206"/>
      <c r="V96" s="206"/>
      <c r="W96" s="214"/>
      <c r="Z96" s="23"/>
    </row>
    <row r="97" spans="1:26" ht="14.45" customHeight="1" x14ac:dyDescent="0.25">
      <c r="A97"/>
      <c r="B97"/>
      <c r="C97"/>
      <c r="D97"/>
      <c r="E97"/>
      <c r="F97"/>
      <c r="G97"/>
      <c r="H97"/>
      <c r="I97"/>
      <c r="J97"/>
      <c r="M97" s="374"/>
      <c r="N97" s="206"/>
      <c r="O97" s="206"/>
      <c r="P97" s="206"/>
      <c r="Q97" s="206"/>
      <c r="R97" s="206"/>
      <c r="S97" s="206"/>
      <c r="T97" s="206"/>
      <c r="U97" s="206"/>
      <c r="V97" s="206"/>
      <c r="W97" s="214"/>
      <c r="Z97" s="23"/>
    </row>
    <row r="98" spans="1:26" ht="14.45" customHeight="1" x14ac:dyDescent="0.25">
      <c r="A98"/>
      <c r="B98"/>
      <c r="C98"/>
      <c r="D98"/>
      <c r="E98"/>
      <c r="F98"/>
      <c r="G98"/>
      <c r="H98"/>
      <c r="I98"/>
      <c r="J98"/>
      <c r="M98" s="374"/>
      <c r="N98" s="206"/>
      <c r="O98" s="206"/>
      <c r="P98" s="206"/>
      <c r="Q98" s="206"/>
      <c r="R98" s="206"/>
      <c r="S98" s="206"/>
      <c r="T98" s="206"/>
      <c r="U98" s="206"/>
      <c r="V98" s="206"/>
      <c r="W98" s="214"/>
      <c r="Z98" s="23"/>
    </row>
    <row r="99" spans="1:26" ht="14.45" customHeight="1" x14ac:dyDescent="0.25">
      <c r="A99"/>
      <c r="B99"/>
      <c r="C99"/>
      <c r="D99"/>
      <c r="E99"/>
      <c r="F99"/>
      <c r="G99"/>
      <c r="H99"/>
      <c r="I99"/>
      <c r="J99"/>
      <c r="M99" s="374"/>
      <c r="N99" s="206"/>
      <c r="O99" s="206"/>
      <c r="P99" s="206"/>
      <c r="Q99" s="206"/>
      <c r="R99" s="206"/>
      <c r="S99" s="206"/>
      <c r="T99" s="206"/>
      <c r="U99" s="206"/>
      <c r="V99" s="206"/>
      <c r="W99" s="214"/>
      <c r="Z99" s="23"/>
    </row>
    <row r="100" spans="1:26" ht="14.45" customHeight="1" x14ac:dyDescent="0.25">
      <c r="A100"/>
      <c r="B100"/>
      <c r="C100"/>
      <c r="D100"/>
      <c r="E100"/>
      <c r="F100"/>
      <c r="G100"/>
      <c r="H100"/>
      <c r="I100"/>
      <c r="J100"/>
      <c r="M100" s="374"/>
      <c r="N100" s="206"/>
      <c r="O100" s="206"/>
      <c r="P100" s="206"/>
      <c r="Q100" s="206"/>
      <c r="R100" s="206"/>
      <c r="S100" s="206"/>
      <c r="T100" s="206"/>
      <c r="U100" s="206"/>
      <c r="V100" s="206"/>
      <c r="W100" s="214"/>
      <c r="Z100" s="23"/>
    </row>
    <row r="101" spans="1:26" ht="14.45" customHeight="1" x14ac:dyDescent="0.25">
      <c r="A101"/>
      <c r="B101"/>
      <c r="C101"/>
      <c r="D101"/>
      <c r="E101"/>
      <c r="F101"/>
      <c r="G101"/>
      <c r="H101"/>
      <c r="I101"/>
      <c r="J101"/>
      <c r="M101" s="374"/>
      <c r="N101" s="206"/>
      <c r="O101" s="206"/>
      <c r="P101" s="206"/>
      <c r="Q101" s="206"/>
      <c r="R101" s="206"/>
      <c r="S101" s="206"/>
      <c r="T101" s="206"/>
      <c r="U101" s="206"/>
      <c r="V101" s="206"/>
      <c r="W101" s="214"/>
      <c r="Z101" s="23"/>
    </row>
    <row r="102" spans="1:26" ht="14.45" customHeight="1" x14ac:dyDescent="0.25">
      <c r="A102"/>
      <c r="B102"/>
      <c r="C102"/>
      <c r="D102"/>
      <c r="E102"/>
      <c r="F102"/>
      <c r="G102"/>
      <c r="H102"/>
      <c r="I102"/>
      <c r="J102"/>
      <c r="M102" s="374"/>
      <c r="N102" s="206"/>
      <c r="O102" s="206"/>
      <c r="P102" s="206"/>
      <c r="Q102" s="206"/>
      <c r="R102" s="206"/>
      <c r="S102" s="206"/>
      <c r="T102" s="206"/>
      <c r="U102" s="206"/>
      <c r="V102" s="206"/>
      <c r="W102" s="214"/>
      <c r="Z102" s="23"/>
    </row>
    <row r="103" spans="1:26" ht="14.45" customHeight="1" x14ac:dyDescent="0.25">
      <c r="A103"/>
      <c r="B103"/>
      <c r="C103"/>
      <c r="D103"/>
      <c r="E103"/>
      <c r="F103"/>
      <c r="G103"/>
      <c r="H103"/>
      <c r="I103"/>
      <c r="J103"/>
      <c r="M103" s="374"/>
      <c r="N103" s="206"/>
      <c r="O103" s="206"/>
      <c r="P103" s="206"/>
      <c r="Q103" s="206"/>
      <c r="R103" s="206"/>
      <c r="S103" s="206"/>
      <c r="T103" s="206"/>
      <c r="U103" s="206"/>
      <c r="V103" s="206"/>
      <c r="W103" s="214"/>
      <c r="Z103" s="23"/>
    </row>
    <row r="104" spans="1:26" ht="14.45" customHeight="1" x14ac:dyDescent="0.25">
      <c r="A104"/>
      <c r="B104"/>
      <c r="C104"/>
      <c r="D104"/>
      <c r="E104"/>
      <c r="F104"/>
      <c r="G104"/>
      <c r="H104"/>
      <c r="I104"/>
      <c r="J104"/>
      <c r="M104" s="374"/>
      <c r="N104" s="206"/>
      <c r="O104" s="206"/>
      <c r="P104" s="206"/>
      <c r="Q104" s="206"/>
      <c r="R104" s="206"/>
      <c r="S104" s="206"/>
      <c r="T104" s="206"/>
      <c r="U104" s="206"/>
      <c r="V104" s="206"/>
      <c r="W104" s="214"/>
      <c r="Z104" s="23"/>
    </row>
    <row r="105" spans="1:26" ht="14.45" customHeight="1" x14ac:dyDescent="0.25">
      <c r="A105"/>
      <c r="B105"/>
      <c r="C105"/>
      <c r="D105"/>
      <c r="E105"/>
      <c r="F105"/>
      <c r="G105"/>
      <c r="H105"/>
      <c r="I105"/>
      <c r="J105"/>
      <c r="M105" s="374"/>
      <c r="N105" s="206"/>
      <c r="O105" s="206"/>
      <c r="P105" s="206"/>
      <c r="Q105" s="206"/>
      <c r="R105" s="206"/>
      <c r="S105" s="206"/>
      <c r="T105" s="206"/>
      <c r="U105" s="206"/>
      <c r="V105" s="206"/>
      <c r="W105" s="214"/>
      <c r="Z105" s="23"/>
    </row>
    <row r="106" spans="1:26" ht="14.45" customHeight="1" x14ac:dyDescent="0.25">
      <c r="A106"/>
      <c r="B106"/>
      <c r="C106"/>
      <c r="D106"/>
      <c r="E106"/>
      <c r="F106"/>
      <c r="G106"/>
      <c r="H106"/>
      <c r="I106"/>
      <c r="J106"/>
      <c r="M106" s="374"/>
      <c r="N106" s="206"/>
      <c r="O106" s="206"/>
      <c r="P106" s="206"/>
      <c r="Q106" s="206"/>
      <c r="R106" s="206"/>
      <c r="S106" s="206"/>
      <c r="T106" s="206"/>
      <c r="U106" s="206"/>
      <c r="V106" s="206"/>
      <c r="W106" s="214"/>
      <c r="Z106" s="23"/>
    </row>
    <row r="107" spans="1:26" ht="14.45" customHeight="1" x14ac:dyDescent="0.25">
      <c r="A107"/>
      <c r="B107"/>
      <c r="C107"/>
      <c r="D107"/>
      <c r="E107"/>
      <c r="F107"/>
      <c r="G107"/>
      <c r="H107"/>
      <c r="I107"/>
      <c r="J107"/>
      <c r="M107" s="374"/>
      <c r="N107" s="206"/>
      <c r="O107" s="206"/>
      <c r="P107" s="206"/>
      <c r="Q107" s="206"/>
      <c r="R107" s="206"/>
      <c r="S107" s="206"/>
      <c r="T107" s="206"/>
      <c r="U107" s="206"/>
      <c r="V107" s="206"/>
      <c r="W107" s="214"/>
      <c r="Z107" s="23"/>
    </row>
    <row r="108" spans="1:26" ht="14.45" customHeight="1" x14ac:dyDescent="0.25">
      <c r="A108"/>
      <c r="B108"/>
      <c r="C108"/>
      <c r="D108"/>
      <c r="E108"/>
      <c r="F108"/>
      <c r="G108"/>
      <c r="H108"/>
      <c r="I108"/>
      <c r="J108"/>
      <c r="M108" s="374"/>
      <c r="N108" s="206"/>
      <c r="O108" s="206"/>
      <c r="P108" s="206"/>
      <c r="Q108" s="206"/>
      <c r="R108" s="206"/>
      <c r="S108" s="206"/>
      <c r="T108" s="206"/>
      <c r="U108" s="206"/>
      <c r="V108" s="206"/>
      <c r="W108" s="214"/>
      <c r="Z108" s="23"/>
    </row>
    <row r="109" spans="1:26" ht="14.45" customHeight="1" x14ac:dyDescent="0.25">
      <c r="A109"/>
      <c r="B109"/>
      <c r="C109"/>
      <c r="D109"/>
      <c r="E109"/>
      <c r="F109"/>
      <c r="G109"/>
      <c r="H109"/>
      <c r="I109"/>
      <c r="J109"/>
      <c r="M109" s="374"/>
      <c r="N109" s="206"/>
      <c r="O109" s="206"/>
      <c r="P109" s="206"/>
      <c r="Q109" s="206"/>
      <c r="R109" s="206"/>
      <c r="S109" s="206"/>
      <c r="T109" s="206"/>
      <c r="U109" s="206"/>
      <c r="V109" s="206"/>
      <c r="W109" s="214"/>
      <c r="Z109" s="23"/>
    </row>
    <row r="110" spans="1:26" ht="14.45" customHeight="1" x14ac:dyDescent="0.25">
      <c r="A110"/>
      <c r="B110"/>
      <c r="C110"/>
      <c r="D110"/>
      <c r="E110"/>
      <c r="F110"/>
      <c r="G110"/>
      <c r="H110"/>
      <c r="I110"/>
      <c r="J110"/>
      <c r="M110" s="374"/>
      <c r="N110" s="206"/>
      <c r="O110" s="206"/>
      <c r="P110" s="206"/>
      <c r="Q110" s="206"/>
      <c r="R110" s="206"/>
      <c r="S110" s="206"/>
      <c r="T110" s="206"/>
      <c r="U110" s="206"/>
      <c r="V110" s="206"/>
      <c r="W110" s="214"/>
      <c r="Z110" s="23"/>
    </row>
    <row r="111" spans="1:26" ht="14.45" customHeight="1" x14ac:dyDescent="0.25">
      <c r="A111"/>
      <c r="B111"/>
      <c r="C111"/>
      <c r="D111"/>
      <c r="E111"/>
      <c r="F111"/>
      <c r="G111"/>
      <c r="H111"/>
      <c r="I111"/>
      <c r="J111"/>
      <c r="M111" s="374"/>
      <c r="N111" s="206"/>
      <c r="O111" s="206"/>
      <c r="P111" s="206"/>
      <c r="Q111" s="206"/>
      <c r="R111" s="206"/>
      <c r="S111" s="206"/>
      <c r="T111" s="206"/>
      <c r="U111" s="206"/>
      <c r="V111" s="206"/>
      <c r="W111" s="214"/>
      <c r="Z111" s="23"/>
    </row>
    <row r="112" spans="1:26" ht="14.45" customHeight="1" x14ac:dyDescent="0.25">
      <c r="A112"/>
      <c r="B112"/>
      <c r="C112"/>
      <c r="D112"/>
      <c r="E112"/>
      <c r="F112"/>
      <c r="G112"/>
      <c r="H112"/>
      <c r="I112"/>
      <c r="J112"/>
      <c r="M112" s="374"/>
      <c r="N112" s="206"/>
      <c r="O112" s="206"/>
      <c r="P112" s="206"/>
      <c r="Q112" s="206"/>
      <c r="R112" s="206"/>
      <c r="S112" s="206"/>
      <c r="T112" s="206"/>
      <c r="U112" s="206"/>
      <c r="V112" s="206"/>
      <c r="W112" s="214"/>
      <c r="Z112" s="23"/>
    </row>
    <row r="113" spans="1:26" ht="14.45" customHeight="1" x14ac:dyDescent="0.25">
      <c r="A113"/>
      <c r="B113"/>
      <c r="C113"/>
      <c r="D113"/>
      <c r="E113"/>
      <c r="F113"/>
      <c r="G113"/>
      <c r="H113"/>
      <c r="I113"/>
      <c r="J113"/>
      <c r="M113" s="374"/>
      <c r="N113" s="206"/>
      <c r="O113" s="206"/>
      <c r="P113" s="206"/>
      <c r="Q113" s="206"/>
      <c r="R113" s="206"/>
      <c r="S113" s="206"/>
      <c r="T113" s="206"/>
      <c r="U113" s="206"/>
      <c r="V113" s="206"/>
      <c r="W113" s="214"/>
      <c r="Z113" s="23"/>
    </row>
    <row r="114" spans="1:26" ht="14.45" customHeight="1" x14ac:dyDescent="0.25">
      <c r="A114"/>
      <c r="B114"/>
      <c r="C114"/>
      <c r="D114"/>
      <c r="E114"/>
      <c r="F114"/>
      <c r="G114"/>
      <c r="H114"/>
      <c r="I114"/>
      <c r="J114"/>
      <c r="M114" s="374"/>
      <c r="N114" s="206"/>
      <c r="O114" s="206"/>
      <c r="P114" s="206"/>
      <c r="Q114" s="206"/>
      <c r="R114" s="206"/>
      <c r="S114" s="206"/>
      <c r="T114" s="206"/>
      <c r="U114" s="206"/>
      <c r="V114" s="206"/>
      <c r="W114" s="214"/>
      <c r="Z114" s="23"/>
    </row>
    <row r="115" spans="1:26" ht="14.45" customHeight="1" x14ac:dyDescent="0.25">
      <c r="A115"/>
      <c r="B115"/>
      <c r="C115"/>
      <c r="D115"/>
      <c r="E115"/>
      <c r="F115"/>
      <c r="G115"/>
      <c r="H115"/>
      <c r="I115"/>
      <c r="J115"/>
      <c r="M115" s="374"/>
      <c r="N115" s="206"/>
      <c r="O115" s="206"/>
      <c r="P115" s="206"/>
      <c r="Q115" s="206"/>
      <c r="R115" s="206"/>
      <c r="S115" s="206"/>
      <c r="T115" s="206"/>
      <c r="U115" s="206"/>
      <c r="V115" s="206"/>
      <c r="W115" s="214"/>
      <c r="Z115" s="23"/>
    </row>
    <row r="116" spans="1:26" ht="14.45" customHeight="1" x14ac:dyDescent="0.25">
      <c r="A116"/>
      <c r="B116"/>
      <c r="C116"/>
      <c r="D116"/>
      <c r="E116"/>
      <c r="F116"/>
      <c r="G116"/>
      <c r="H116"/>
      <c r="I116"/>
      <c r="J116"/>
      <c r="M116" s="374"/>
      <c r="N116" s="206"/>
      <c r="O116" s="206"/>
      <c r="P116" s="206"/>
      <c r="Q116" s="206"/>
      <c r="R116" s="206"/>
      <c r="S116" s="206"/>
      <c r="T116" s="206"/>
      <c r="U116" s="206"/>
      <c r="V116" s="206"/>
      <c r="W116" s="214"/>
      <c r="Z116" s="23"/>
    </row>
    <row r="117" spans="1:26" ht="14.45" customHeight="1" x14ac:dyDescent="0.25">
      <c r="A117"/>
      <c r="B117"/>
      <c r="C117"/>
      <c r="D117"/>
      <c r="E117"/>
      <c r="F117"/>
      <c r="G117"/>
      <c r="H117"/>
      <c r="I117"/>
      <c r="J117"/>
      <c r="M117" s="374"/>
      <c r="N117" s="206"/>
      <c r="O117" s="206"/>
      <c r="P117" s="206"/>
      <c r="Q117" s="206"/>
      <c r="R117" s="206"/>
      <c r="S117" s="206"/>
      <c r="T117" s="206"/>
      <c r="U117" s="206"/>
      <c r="V117" s="206"/>
      <c r="W117" s="214"/>
      <c r="Z117" s="23"/>
    </row>
    <row r="118" spans="1:26" ht="14.45" customHeight="1" x14ac:dyDescent="0.25">
      <c r="A118"/>
      <c r="B118"/>
      <c r="C118"/>
      <c r="D118"/>
      <c r="E118"/>
      <c r="F118"/>
      <c r="G118"/>
      <c r="H118"/>
      <c r="I118"/>
      <c r="J118"/>
      <c r="M118" s="374"/>
      <c r="N118" s="206"/>
      <c r="O118" s="206"/>
      <c r="P118" s="206"/>
      <c r="Q118" s="206"/>
      <c r="R118" s="206"/>
      <c r="S118" s="206"/>
      <c r="T118" s="206"/>
      <c r="U118" s="206"/>
      <c r="V118" s="206"/>
      <c r="W118" s="214"/>
      <c r="Z118" s="23"/>
    </row>
    <row r="119" spans="1:26" ht="14.45" customHeight="1" x14ac:dyDescent="0.25">
      <c r="A119"/>
      <c r="B119"/>
      <c r="C119"/>
      <c r="D119"/>
      <c r="E119"/>
      <c r="F119"/>
      <c r="G119"/>
      <c r="H119"/>
      <c r="I119"/>
      <c r="J119"/>
      <c r="M119" s="374"/>
      <c r="N119" s="206"/>
      <c r="O119" s="206"/>
      <c r="P119" s="206"/>
      <c r="Q119" s="206"/>
      <c r="R119" s="206"/>
      <c r="S119" s="206"/>
      <c r="T119" s="206"/>
      <c r="U119" s="206"/>
      <c r="V119" s="206"/>
      <c r="W119" s="214"/>
      <c r="Z119" s="23"/>
    </row>
    <row r="120" spans="1:26" ht="14.45" customHeight="1" x14ac:dyDescent="0.25">
      <c r="A120"/>
      <c r="B120"/>
      <c r="C120"/>
      <c r="D120"/>
      <c r="E120"/>
      <c r="F120"/>
      <c r="G120"/>
      <c r="H120"/>
      <c r="I120"/>
      <c r="J120"/>
      <c r="M120" s="374"/>
      <c r="N120" s="206"/>
      <c r="O120" s="206"/>
      <c r="P120" s="206"/>
      <c r="Q120" s="206"/>
      <c r="R120" s="206"/>
      <c r="S120" s="206"/>
      <c r="T120" s="206"/>
      <c r="U120" s="206"/>
      <c r="V120" s="206"/>
      <c r="W120" s="214"/>
      <c r="Z120" s="23"/>
    </row>
    <row r="121" spans="1:26" ht="14.45" customHeight="1" x14ac:dyDescent="0.25">
      <c r="A121"/>
      <c r="B121"/>
      <c r="C121"/>
      <c r="D121"/>
      <c r="E121"/>
      <c r="F121"/>
      <c r="G121"/>
      <c r="H121"/>
      <c r="I121"/>
      <c r="J121"/>
      <c r="M121" s="374"/>
      <c r="N121" s="206"/>
      <c r="O121" s="206"/>
      <c r="P121" s="206"/>
      <c r="Q121" s="206"/>
      <c r="R121" s="206"/>
      <c r="S121" s="206"/>
      <c r="T121" s="206"/>
      <c r="U121" s="206"/>
      <c r="V121" s="206"/>
      <c r="W121" s="214"/>
      <c r="Z121" s="23"/>
    </row>
    <row r="122" spans="1:26" ht="14.45" customHeight="1" x14ac:dyDescent="0.25">
      <c r="A122"/>
      <c r="B122"/>
      <c r="C122"/>
      <c r="D122"/>
      <c r="E122"/>
      <c r="F122"/>
      <c r="G122"/>
      <c r="H122"/>
      <c r="I122"/>
      <c r="J122"/>
      <c r="M122" s="374"/>
      <c r="N122" s="206"/>
      <c r="O122" s="206"/>
      <c r="P122" s="206"/>
      <c r="Q122" s="206"/>
      <c r="R122" s="206"/>
      <c r="S122" s="206"/>
      <c r="T122" s="206"/>
      <c r="U122" s="206"/>
      <c r="V122" s="206"/>
      <c r="W122" s="214"/>
      <c r="Z122" s="23"/>
    </row>
    <row r="123" spans="1:26" ht="14.45" customHeight="1" x14ac:dyDescent="0.25">
      <c r="A123"/>
      <c r="B123"/>
      <c r="C123"/>
      <c r="D123"/>
      <c r="E123"/>
      <c r="F123"/>
      <c r="G123"/>
      <c r="H123"/>
      <c r="I123"/>
      <c r="J123"/>
      <c r="M123" s="374"/>
      <c r="N123" s="206"/>
      <c r="O123" s="206"/>
      <c r="P123" s="206"/>
      <c r="Q123" s="206"/>
      <c r="R123" s="206"/>
      <c r="S123" s="206"/>
      <c r="T123" s="206"/>
      <c r="U123" s="206"/>
      <c r="V123" s="206"/>
      <c r="W123" s="214"/>
      <c r="Z123" s="23"/>
    </row>
    <row r="124" spans="1:26" ht="14.45" customHeight="1" x14ac:dyDescent="0.25">
      <c r="A124"/>
      <c r="B124"/>
      <c r="C124"/>
      <c r="D124"/>
      <c r="E124"/>
      <c r="F124"/>
      <c r="G124"/>
      <c r="H124"/>
      <c r="I124"/>
      <c r="J124"/>
      <c r="M124" s="374"/>
      <c r="N124" s="206"/>
      <c r="O124" s="206"/>
      <c r="P124" s="206"/>
      <c r="Q124" s="206"/>
      <c r="R124" s="206"/>
      <c r="S124" s="206"/>
      <c r="T124" s="206"/>
      <c r="U124" s="206"/>
      <c r="V124" s="206"/>
      <c r="W124" s="214"/>
      <c r="Z124" s="23"/>
    </row>
    <row r="125" spans="1:26" ht="14.45" customHeight="1" x14ac:dyDescent="0.25">
      <c r="A125"/>
      <c r="B125"/>
      <c r="C125"/>
      <c r="D125"/>
      <c r="E125"/>
      <c r="F125"/>
      <c r="G125"/>
      <c r="H125"/>
      <c r="I125"/>
      <c r="J125"/>
      <c r="M125" s="374"/>
      <c r="N125" s="206"/>
      <c r="O125" s="206"/>
      <c r="P125" s="206"/>
      <c r="Q125" s="206"/>
      <c r="R125" s="206"/>
      <c r="S125" s="206"/>
      <c r="T125" s="206"/>
      <c r="U125" s="206"/>
      <c r="V125" s="206"/>
      <c r="W125" s="214"/>
      <c r="Z125" s="23"/>
    </row>
    <row r="126" spans="1:26" ht="14.45" customHeight="1" x14ac:dyDescent="0.25">
      <c r="A126"/>
      <c r="B126"/>
      <c r="C126"/>
      <c r="D126"/>
      <c r="E126"/>
      <c r="F126"/>
      <c r="G126"/>
      <c r="H126"/>
      <c r="I126"/>
      <c r="J126"/>
      <c r="M126" s="374"/>
      <c r="N126" s="206"/>
      <c r="O126" s="206"/>
      <c r="P126" s="206"/>
      <c r="Q126" s="206"/>
      <c r="R126" s="206"/>
      <c r="S126" s="206"/>
      <c r="T126" s="206"/>
      <c r="U126" s="206"/>
      <c r="V126" s="206"/>
      <c r="W126" s="214"/>
      <c r="Z126" s="23"/>
    </row>
    <row r="127" spans="1:26" ht="14.45" customHeight="1" x14ac:dyDescent="0.25">
      <c r="A127"/>
      <c r="B127"/>
      <c r="C127"/>
      <c r="D127"/>
      <c r="E127"/>
      <c r="F127"/>
      <c r="G127"/>
      <c r="H127"/>
      <c r="I127"/>
      <c r="J127"/>
      <c r="M127" s="374"/>
      <c r="N127" s="206"/>
      <c r="O127" s="206"/>
      <c r="P127" s="206"/>
      <c r="Q127" s="206"/>
      <c r="R127" s="206"/>
      <c r="S127" s="206"/>
      <c r="T127" s="206"/>
      <c r="U127" s="206"/>
      <c r="V127" s="206"/>
      <c r="W127" s="214"/>
      <c r="Z127" s="23"/>
    </row>
    <row r="128" spans="1:26" ht="14.45" customHeight="1" x14ac:dyDescent="0.25">
      <c r="A128"/>
      <c r="B128"/>
      <c r="C128"/>
      <c r="D128"/>
      <c r="E128"/>
      <c r="F128"/>
      <c r="G128"/>
      <c r="H128"/>
      <c r="I128"/>
      <c r="J128"/>
      <c r="M128" s="374"/>
      <c r="N128" s="206"/>
      <c r="O128" s="206"/>
      <c r="P128" s="206"/>
      <c r="Q128" s="206"/>
      <c r="R128" s="206"/>
      <c r="S128" s="206"/>
      <c r="T128" s="206"/>
      <c r="U128" s="206"/>
      <c r="V128" s="206"/>
      <c r="W128" s="214"/>
      <c r="Z128" s="23"/>
    </row>
    <row r="129" spans="1:26" ht="14.45" customHeight="1" x14ac:dyDescent="0.25">
      <c r="A129"/>
      <c r="B129"/>
      <c r="C129"/>
      <c r="D129"/>
      <c r="E129"/>
      <c r="F129"/>
      <c r="G129"/>
      <c r="H129"/>
      <c r="I129"/>
      <c r="J129"/>
      <c r="M129" s="374"/>
      <c r="N129" s="206"/>
      <c r="O129" s="206"/>
      <c r="P129" s="206"/>
      <c r="Q129" s="206"/>
      <c r="R129" s="206"/>
      <c r="S129" s="206"/>
      <c r="T129" s="206"/>
      <c r="U129" s="206"/>
      <c r="V129" s="206"/>
      <c r="W129" s="214"/>
      <c r="Z129" s="23"/>
    </row>
    <row r="130" spans="1:26" ht="14.45" customHeight="1" x14ac:dyDescent="0.25">
      <c r="A130"/>
      <c r="B130"/>
      <c r="C130"/>
      <c r="D130"/>
      <c r="E130"/>
      <c r="F130"/>
      <c r="G130"/>
      <c r="H130"/>
      <c r="I130"/>
      <c r="J130"/>
      <c r="M130" s="374"/>
      <c r="N130" s="206"/>
      <c r="O130" s="206"/>
      <c r="P130" s="206"/>
      <c r="Q130" s="206"/>
      <c r="R130" s="206"/>
      <c r="S130" s="206"/>
      <c r="T130" s="206"/>
      <c r="U130" s="206"/>
      <c r="V130" s="206"/>
      <c r="W130" s="214"/>
      <c r="Z130" s="23"/>
    </row>
    <row r="131" spans="1:26" ht="14.45" customHeight="1" x14ac:dyDescent="0.25">
      <c r="A131"/>
      <c r="B131"/>
      <c r="C131"/>
      <c r="D131"/>
      <c r="E131"/>
      <c r="F131"/>
      <c r="G131"/>
      <c r="H131"/>
      <c r="I131"/>
      <c r="J131"/>
      <c r="M131" s="374"/>
      <c r="N131" s="206"/>
      <c r="O131" s="206"/>
      <c r="P131" s="206"/>
      <c r="Q131" s="206"/>
      <c r="R131" s="206"/>
      <c r="S131" s="206"/>
      <c r="T131" s="206"/>
      <c r="U131" s="206"/>
      <c r="V131" s="206"/>
      <c r="W131" s="214"/>
      <c r="Z131" s="23"/>
    </row>
    <row r="132" spans="1:26" ht="14.45" customHeight="1" x14ac:dyDescent="0.25">
      <c r="A132"/>
      <c r="B132"/>
      <c r="C132"/>
      <c r="D132"/>
      <c r="E132"/>
      <c r="F132"/>
      <c r="G132"/>
      <c r="H132"/>
      <c r="I132"/>
      <c r="J132"/>
      <c r="M132" s="374"/>
      <c r="N132" s="206"/>
      <c r="O132" s="206"/>
      <c r="P132" s="206"/>
      <c r="Q132" s="206"/>
      <c r="R132" s="206"/>
      <c r="S132" s="206"/>
      <c r="T132" s="206"/>
      <c r="U132" s="206"/>
      <c r="V132" s="206"/>
      <c r="W132" s="214"/>
      <c r="Z132" s="23"/>
    </row>
    <row r="133" spans="1:26" ht="14.45" customHeight="1" x14ac:dyDescent="0.25">
      <c r="A133"/>
      <c r="B133"/>
      <c r="C133"/>
      <c r="D133"/>
      <c r="E133"/>
      <c r="F133"/>
      <c r="G133"/>
      <c r="H133"/>
      <c r="I133"/>
      <c r="J133"/>
      <c r="M133" s="374"/>
      <c r="N133" s="206"/>
      <c r="O133" s="206"/>
      <c r="P133" s="206"/>
      <c r="Q133" s="206"/>
      <c r="R133" s="206"/>
      <c r="S133" s="206"/>
      <c r="T133" s="206"/>
      <c r="U133" s="206"/>
      <c r="V133" s="206"/>
      <c r="W133" s="214"/>
      <c r="Z133" s="23"/>
    </row>
    <row r="134" spans="1:26" ht="14.45" customHeight="1" x14ac:dyDescent="0.25">
      <c r="A134"/>
      <c r="B134"/>
      <c r="C134"/>
      <c r="D134"/>
      <c r="E134"/>
      <c r="F134"/>
      <c r="G134"/>
      <c r="H134"/>
      <c r="I134"/>
      <c r="J134"/>
      <c r="M134" s="374"/>
      <c r="N134" s="206"/>
      <c r="O134" s="206"/>
      <c r="P134" s="206"/>
      <c r="Q134" s="206"/>
      <c r="R134" s="206"/>
      <c r="S134" s="206"/>
      <c r="T134" s="206"/>
      <c r="U134" s="206"/>
      <c r="V134" s="206"/>
      <c r="W134" s="214"/>
      <c r="Z134" s="23"/>
    </row>
    <row r="135" spans="1:26" ht="14.45" customHeight="1" x14ac:dyDescent="0.25">
      <c r="A135"/>
      <c r="B135"/>
      <c r="C135"/>
      <c r="D135"/>
      <c r="E135"/>
      <c r="F135"/>
      <c r="G135"/>
      <c r="H135"/>
      <c r="I135"/>
      <c r="J135"/>
      <c r="M135" s="374"/>
      <c r="N135" s="206"/>
      <c r="O135" s="206"/>
      <c r="P135" s="206"/>
      <c r="Q135" s="206"/>
      <c r="R135" s="206"/>
      <c r="S135" s="206"/>
      <c r="T135" s="206"/>
      <c r="U135" s="206"/>
      <c r="V135" s="206"/>
      <c r="W135" s="214"/>
      <c r="Z135" s="23"/>
    </row>
    <row r="136" spans="1:26" ht="14.45" customHeight="1" x14ac:dyDescent="0.25">
      <c r="A136"/>
      <c r="B136"/>
      <c r="C136"/>
      <c r="D136"/>
      <c r="E136"/>
      <c r="F136"/>
      <c r="G136"/>
      <c r="H136"/>
      <c r="I136"/>
      <c r="J136"/>
      <c r="M136" s="374"/>
      <c r="N136" s="206"/>
      <c r="O136" s="206"/>
      <c r="P136" s="206"/>
      <c r="Q136" s="206"/>
      <c r="R136" s="206"/>
      <c r="S136" s="206"/>
      <c r="T136" s="206"/>
      <c r="U136" s="206"/>
      <c r="V136" s="206"/>
      <c r="W136" s="214"/>
      <c r="Z136" s="23"/>
    </row>
    <row r="137" spans="1:26" ht="14.45" customHeight="1" x14ac:dyDescent="0.25">
      <c r="A137"/>
      <c r="B137"/>
      <c r="C137"/>
      <c r="D137"/>
      <c r="E137"/>
      <c r="F137"/>
      <c r="G137"/>
      <c r="H137"/>
      <c r="I137"/>
      <c r="J137"/>
      <c r="M137" s="374"/>
      <c r="N137" s="206"/>
      <c r="O137" s="206"/>
      <c r="P137" s="206"/>
      <c r="Q137" s="206"/>
      <c r="R137" s="206"/>
      <c r="S137" s="206"/>
      <c r="T137" s="206"/>
      <c r="U137" s="206"/>
      <c r="V137" s="206"/>
      <c r="W137" s="214"/>
      <c r="Z137" s="23"/>
    </row>
    <row r="138" spans="1:26" ht="14.45" customHeight="1" x14ac:dyDescent="0.25">
      <c r="A138"/>
      <c r="B138"/>
      <c r="C138"/>
      <c r="D138"/>
      <c r="E138"/>
      <c r="F138"/>
      <c r="G138"/>
      <c r="H138"/>
      <c r="I138"/>
      <c r="J138"/>
      <c r="M138" s="374"/>
      <c r="N138" s="206"/>
      <c r="O138" s="206"/>
      <c r="P138" s="206"/>
      <c r="Q138" s="206"/>
      <c r="R138" s="206"/>
      <c r="S138" s="206"/>
      <c r="T138" s="206"/>
      <c r="U138" s="206"/>
      <c r="V138" s="206"/>
      <c r="W138" s="214"/>
      <c r="Z138" s="23"/>
    </row>
    <row r="139" spans="1:26" ht="14.45" customHeight="1" x14ac:dyDescent="0.25">
      <c r="A139"/>
      <c r="B139"/>
      <c r="C139"/>
      <c r="D139"/>
      <c r="E139"/>
      <c r="F139"/>
      <c r="G139"/>
      <c r="H139"/>
      <c r="I139"/>
      <c r="J139"/>
      <c r="M139" s="374"/>
      <c r="N139" s="206"/>
      <c r="O139" s="206"/>
      <c r="P139" s="206"/>
      <c r="Q139" s="206"/>
      <c r="R139" s="206"/>
      <c r="S139" s="206"/>
      <c r="T139" s="206"/>
      <c r="U139" s="206"/>
      <c r="V139" s="206"/>
      <c r="W139" s="214"/>
      <c r="Z139" s="23"/>
    </row>
    <row r="140" spans="1:26" ht="14.45" customHeight="1" x14ac:dyDescent="0.25">
      <c r="A140"/>
      <c r="B140"/>
      <c r="C140"/>
      <c r="D140"/>
      <c r="E140"/>
      <c r="F140"/>
      <c r="G140"/>
      <c r="H140"/>
      <c r="I140"/>
      <c r="J140"/>
      <c r="M140" s="374"/>
      <c r="N140" s="206"/>
      <c r="O140" s="206"/>
      <c r="P140" s="206"/>
      <c r="Q140" s="206"/>
      <c r="R140" s="206"/>
      <c r="S140" s="206"/>
      <c r="T140" s="206"/>
      <c r="U140" s="206"/>
      <c r="V140" s="206"/>
      <c r="W140" s="214"/>
      <c r="Z140" s="23"/>
    </row>
    <row r="141" spans="1:26" ht="14.45" customHeight="1" x14ac:dyDescent="0.25">
      <c r="A141"/>
      <c r="B141"/>
      <c r="C141"/>
      <c r="D141"/>
      <c r="E141"/>
      <c r="F141"/>
      <c r="G141"/>
      <c r="H141"/>
      <c r="I141"/>
      <c r="J141"/>
      <c r="M141" s="374"/>
      <c r="N141" s="206"/>
      <c r="O141" s="206"/>
      <c r="P141" s="206"/>
      <c r="Q141" s="206"/>
      <c r="R141" s="206"/>
      <c r="S141" s="206"/>
      <c r="T141" s="206"/>
      <c r="U141" s="206"/>
      <c r="V141" s="206"/>
      <c r="W141" s="214"/>
      <c r="Z141" s="23"/>
    </row>
    <row r="142" spans="1:26" ht="14.45" customHeight="1" x14ac:dyDescent="0.25">
      <c r="A142"/>
      <c r="B142"/>
      <c r="C142"/>
      <c r="D142"/>
      <c r="E142"/>
      <c r="F142"/>
      <c r="G142"/>
      <c r="H142"/>
      <c r="I142"/>
      <c r="J142"/>
      <c r="M142" s="374"/>
      <c r="N142" s="206"/>
      <c r="O142" s="206"/>
      <c r="P142" s="206"/>
      <c r="Q142" s="206"/>
      <c r="R142" s="206"/>
      <c r="S142" s="206"/>
      <c r="T142" s="206"/>
      <c r="U142" s="206"/>
      <c r="V142" s="206"/>
      <c r="W142" s="214"/>
      <c r="Z142" s="23"/>
    </row>
    <row r="143" spans="1:26" ht="14.45" customHeight="1" x14ac:dyDescent="0.25">
      <c r="A143"/>
      <c r="B143"/>
      <c r="C143"/>
      <c r="D143"/>
      <c r="E143"/>
      <c r="F143"/>
      <c r="G143"/>
      <c r="H143"/>
      <c r="I143"/>
      <c r="J143"/>
      <c r="M143" s="374"/>
      <c r="N143" s="206"/>
      <c r="O143" s="206"/>
      <c r="P143" s="206"/>
      <c r="Q143" s="206"/>
      <c r="R143" s="206"/>
      <c r="S143" s="206"/>
      <c r="T143" s="206"/>
      <c r="U143" s="206"/>
      <c r="V143" s="206"/>
      <c r="W143" s="214"/>
      <c r="Z143" s="23"/>
    </row>
    <row r="144" spans="1:26" ht="14.45" customHeight="1" x14ac:dyDescent="0.25">
      <c r="A144"/>
      <c r="B144"/>
      <c r="C144"/>
      <c r="D144"/>
      <c r="E144"/>
      <c r="F144"/>
      <c r="G144"/>
      <c r="H144"/>
      <c r="I144"/>
      <c r="J144"/>
      <c r="M144" s="374"/>
      <c r="N144" s="206"/>
      <c r="O144" s="206"/>
      <c r="P144" s="206"/>
      <c r="Q144" s="206"/>
      <c r="R144" s="206"/>
      <c r="S144" s="206"/>
      <c r="T144" s="206"/>
      <c r="U144" s="206"/>
      <c r="V144" s="206"/>
      <c r="W144" s="214"/>
      <c r="Z144" s="23"/>
    </row>
    <row r="145" spans="1:26" ht="14.45" customHeight="1" x14ac:dyDescent="0.25">
      <c r="A145"/>
      <c r="B145"/>
      <c r="C145"/>
      <c r="D145"/>
      <c r="E145"/>
      <c r="F145"/>
      <c r="G145"/>
      <c r="H145"/>
      <c r="I145"/>
      <c r="J145"/>
      <c r="M145" s="374"/>
      <c r="N145" s="206"/>
      <c r="O145" s="206"/>
      <c r="P145" s="206"/>
      <c r="Q145" s="206"/>
      <c r="R145" s="206"/>
      <c r="S145" s="206"/>
      <c r="T145" s="206"/>
      <c r="U145" s="206"/>
      <c r="V145" s="206"/>
      <c r="W145" s="214"/>
      <c r="Z145" s="23"/>
    </row>
    <row r="146" spans="1:26" ht="14.45" customHeight="1" x14ac:dyDescent="0.25">
      <c r="A146"/>
      <c r="B146"/>
      <c r="C146"/>
      <c r="D146"/>
      <c r="E146"/>
      <c r="F146"/>
      <c r="G146"/>
      <c r="H146"/>
      <c r="I146"/>
      <c r="J146"/>
      <c r="M146" s="374"/>
      <c r="N146" s="206"/>
      <c r="O146" s="206"/>
      <c r="P146" s="206"/>
      <c r="Q146" s="206"/>
      <c r="R146" s="206"/>
      <c r="S146" s="206"/>
      <c r="T146" s="206"/>
      <c r="U146" s="206"/>
      <c r="V146" s="206"/>
      <c r="W146" s="214"/>
      <c r="Z146" s="23"/>
    </row>
    <row r="147" spans="1:26" ht="14.45" customHeight="1" x14ac:dyDescent="0.25">
      <c r="A147"/>
      <c r="B147"/>
      <c r="C147"/>
      <c r="D147"/>
      <c r="E147"/>
      <c r="F147"/>
      <c r="G147"/>
      <c r="H147"/>
      <c r="I147"/>
      <c r="J147"/>
      <c r="M147" s="374"/>
      <c r="N147" s="206"/>
      <c r="O147" s="206"/>
      <c r="P147" s="206"/>
      <c r="Q147" s="206"/>
      <c r="R147" s="206"/>
      <c r="S147" s="206"/>
      <c r="T147" s="206"/>
      <c r="U147" s="206"/>
      <c r="V147" s="206"/>
      <c r="W147" s="214"/>
      <c r="Z147" s="23"/>
    </row>
    <row r="148" spans="1:26" ht="14.45" customHeight="1" x14ac:dyDescent="0.25">
      <c r="A148"/>
      <c r="B148"/>
      <c r="C148"/>
      <c r="D148"/>
      <c r="E148"/>
      <c r="F148"/>
      <c r="G148"/>
      <c r="H148"/>
      <c r="I148"/>
      <c r="J148"/>
      <c r="M148" s="374"/>
      <c r="N148" s="206"/>
      <c r="O148" s="206"/>
      <c r="P148" s="206"/>
      <c r="Q148" s="206"/>
      <c r="R148" s="206"/>
      <c r="S148" s="206"/>
      <c r="T148" s="206"/>
      <c r="U148" s="206"/>
      <c r="V148" s="206"/>
      <c r="W148" s="214"/>
      <c r="Z148" s="23"/>
    </row>
    <row r="149" spans="1:26" ht="14.45" customHeight="1" x14ac:dyDescent="0.25">
      <c r="A149"/>
      <c r="B149"/>
      <c r="C149"/>
      <c r="D149"/>
      <c r="E149"/>
      <c r="F149"/>
      <c r="G149"/>
      <c r="H149"/>
      <c r="I149"/>
      <c r="J149"/>
      <c r="M149" s="373" t="s">
        <v>341</v>
      </c>
      <c r="N149" s="204"/>
      <c r="O149" s="204"/>
      <c r="P149" s="204"/>
      <c r="Q149" s="204"/>
      <c r="R149" s="204"/>
      <c r="S149" s="204"/>
      <c r="T149" s="204"/>
      <c r="U149" s="204"/>
      <c r="V149" s="204"/>
      <c r="W149" s="204"/>
      <c r="Z149" s="23"/>
    </row>
    <row r="150" spans="1:26" ht="14.45" customHeight="1" x14ac:dyDescent="0.25">
      <c r="A150"/>
      <c r="B150"/>
      <c r="C150"/>
      <c r="D150"/>
      <c r="E150"/>
      <c r="F150"/>
      <c r="G150"/>
      <c r="H150"/>
      <c r="I150"/>
      <c r="J150"/>
      <c r="M150" s="373"/>
      <c r="N150" s="204"/>
      <c r="O150" s="204"/>
      <c r="P150" s="204"/>
      <c r="Q150" s="204"/>
      <c r="R150" s="204"/>
      <c r="S150" s="204"/>
      <c r="T150" s="204"/>
      <c r="U150" s="204"/>
      <c r="V150" s="204"/>
      <c r="W150" s="204"/>
      <c r="Z150" s="23"/>
    </row>
    <row r="151" spans="1:26" ht="14.45" customHeight="1" x14ac:dyDescent="0.25">
      <c r="A151"/>
      <c r="B151"/>
      <c r="C151"/>
      <c r="D151"/>
      <c r="E151"/>
      <c r="F151"/>
      <c r="G151"/>
      <c r="H151"/>
      <c r="I151"/>
      <c r="J151"/>
      <c r="M151" s="373"/>
      <c r="N151" s="204"/>
      <c r="O151" s="204"/>
      <c r="P151" s="204"/>
      <c r="Q151" s="204"/>
      <c r="R151" s="204"/>
      <c r="S151" s="204"/>
      <c r="T151" s="204"/>
      <c r="U151" s="204"/>
      <c r="V151" s="204"/>
      <c r="W151" s="204"/>
      <c r="Z151" s="23"/>
    </row>
    <row r="152" spans="1:26" ht="14.45" customHeight="1" x14ac:dyDescent="0.25">
      <c r="A152"/>
      <c r="B152"/>
      <c r="C152"/>
      <c r="D152"/>
      <c r="E152"/>
      <c r="F152"/>
      <c r="G152"/>
      <c r="H152"/>
      <c r="I152"/>
      <c r="J152"/>
      <c r="M152" s="373"/>
      <c r="N152" s="204"/>
      <c r="O152" s="204"/>
      <c r="P152" s="204"/>
      <c r="Q152" s="204"/>
      <c r="R152" s="204"/>
      <c r="S152" s="204"/>
      <c r="T152" s="204"/>
      <c r="U152" s="204"/>
      <c r="V152" s="204"/>
      <c r="W152" s="204"/>
      <c r="Z152" s="23"/>
    </row>
    <row r="153" spans="1:26" ht="14.45" customHeight="1" x14ac:dyDescent="0.25">
      <c r="A153"/>
      <c r="B153"/>
      <c r="C153"/>
      <c r="D153"/>
      <c r="E153"/>
      <c r="F153"/>
      <c r="G153"/>
      <c r="H153"/>
      <c r="I153"/>
      <c r="J153"/>
      <c r="M153" s="373"/>
      <c r="N153" s="204"/>
      <c r="O153" s="204"/>
      <c r="P153" s="204"/>
      <c r="Q153" s="204"/>
      <c r="R153" s="204"/>
      <c r="S153" s="204"/>
      <c r="T153" s="204"/>
      <c r="U153" s="204"/>
      <c r="V153" s="204"/>
      <c r="W153" s="204"/>
      <c r="Z153" s="23"/>
    </row>
    <row r="154" spans="1:26" ht="14.45" customHeight="1" x14ac:dyDescent="0.25">
      <c r="A154"/>
      <c r="B154"/>
      <c r="C154"/>
      <c r="D154"/>
      <c r="E154"/>
      <c r="F154"/>
      <c r="G154"/>
      <c r="H154"/>
      <c r="I154"/>
      <c r="J154"/>
      <c r="M154" s="373"/>
      <c r="N154" s="204"/>
      <c r="O154" s="204"/>
      <c r="P154" s="204"/>
      <c r="Q154" s="204"/>
      <c r="R154" s="204"/>
      <c r="S154" s="204"/>
      <c r="T154" s="204"/>
      <c r="U154" s="204"/>
      <c r="V154" s="204"/>
      <c r="W154" s="204"/>
      <c r="Z154" s="23"/>
    </row>
    <row r="155" spans="1:26" ht="14.45" customHeight="1" x14ac:dyDescent="0.25">
      <c r="A155"/>
      <c r="B155"/>
      <c r="C155"/>
      <c r="D155"/>
      <c r="E155"/>
      <c r="F155"/>
      <c r="G155"/>
      <c r="H155"/>
      <c r="I155"/>
      <c r="J155"/>
      <c r="M155" s="373"/>
      <c r="N155" s="204"/>
      <c r="O155" s="204"/>
      <c r="P155" s="204"/>
      <c r="Q155" s="204"/>
      <c r="R155" s="204"/>
      <c r="S155" s="204"/>
      <c r="T155" s="204"/>
      <c r="U155" s="204"/>
      <c r="V155" s="204"/>
      <c r="W155" s="204"/>
      <c r="Z155" s="23"/>
    </row>
    <row r="156" spans="1:26" ht="14.45" customHeight="1" x14ac:dyDescent="0.25">
      <c r="A156"/>
      <c r="B156"/>
      <c r="C156"/>
      <c r="D156"/>
      <c r="E156"/>
      <c r="F156"/>
      <c r="G156"/>
      <c r="H156"/>
      <c r="I156"/>
      <c r="J156"/>
      <c r="M156" s="373"/>
      <c r="N156" s="204"/>
      <c r="O156" s="204"/>
      <c r="P156" s="204"/>
      <c r="Q156" s="204"/>
      <c r="R156" s="204"/>
      <c r="S156" s="204"/>
      <c r="T156" s="204"/>
      <c r="U156" s="204"/>
      <c r="V156" s="204"/>
      <c r="W156" s="204"/>
      <c r="Z156" s="23"/>
    </row>
    <row r="157" spans="1:26" ht="14.45" customHeight="1" x14ac:dyDescent="0.25">
      <c r="A157"/>
      <c r="B157"/>
      <c r="C157"/>
      <c r="D157"/>
      <c r="E157"/>
      <c r="F157"/>
      <c r="G157"/>
      <c r="H157"/>
      <c r="I157"/>
      <c r="J157"/>
      <c r="M157" s="373"/>
      <c r="N157" s="204"/>
      <c r="O157" s="204"/>
      <c r="P157" s="204"/>
      <c r="Q157" s="204"/>
      <c r="R157" s="204"/>
      <c r="S157" s="204"/>
      <c r="T157" s="204"/>
      <c r="U157" s="204"/>
      <c r="V157" s="204"/>
      <c r="W157" s="204"/>
      <c r="Z157" s="23"/>
    </row>
    <row r="158" spans="1:26" ht="14.45" customHeight="1" x14ac:dyDescent="0.25">
      <c r="A158"/>
      <c r="B158"/>
      <c r="C158"/>
      <c r="D158"/>
      <c r="E158"/>
      <c r="F158"/>
      <c r="G158"/>
      <c r="H158"/>
      <c r="I158"/>
      <c r="J158"/>
      <c r="M158" s="373"/>
      <c r="N158" s="204"/>
      <c r="O158" s="204"/>
      <c r="P158" s="204"/>
      <c r="Q158" s="204"/>
      <c r="R158" s="204"/>
      <c r="S158" s="204"/>
      <c r="T158" s="204"/>
      <c r="U158" s="204"/>
      <c r="V158" s="204"/>
      <c r="W158" s="204"/>
      <c r="Z158" s="23"/>
    </row>
    <row r="159" spans="1:26" ht="14.45" customHeight="1" x14ac:dyDescent="0.25">
      <c r="A159"/>
      <c r="B159"/>
      <c r="C159"/>
      <c r="D159"/>
      <c r="E159"/>
      <c r="F159"/>
      <c r="G159"/>
      <c r="H159"/>
      <c r="I159"/>
      <c r="J159"/>
      <c r="M159" s="373"/>
      <c r="N159" s="204"/>
      <c r="O159" s="204"/>
      <c r="P159" s="204"/>
      <c r="Q159" s="204"/>
      <c r="R159" s="204"/>
      <c r="S159" s="204"/>
      <c r="T159" s="204"/>
      <c r="U159" s="204"/>
      <c r="V159" s="204"/>
      <c r="W159" s="204"/>
      <c r="Z159" s="23"/>
    </row>
    <row r="160" spans="1:26" ht="14.45" customHeight="1" x14ac:dyDescent="0.25">
      <c r="A160"/>
      <c r="B160"/>
      <c r="C160"/>
      <c r="D160"/>
      <c r="E160"/>
      <c r="F160"/>
      <c r="G160"/>
      <c r="H160"/>
      <c r="I160"/>
      <c r="J160"/>
      <c r="M160" s="373"/>
      <c r="N160" s="204"/>
      <c r="O160" s="204"/>
      <c r="P160" s="204"/>
      <c r="Q160" s="204"/>
      <c r="R160" s="204"/>
      <c r="S160" s="204"/>
      <c r="T160" s="204"/>
      <c r="U160" s="204"/>
      <c r="V160" s="204"/>
      <c r="W160" s="204"/>
      <c r="Z160" s="23"/>
    </row>
    <row r="161" spans="1:26" ht="14.45" customHeight="1" x14ac:dyDescent="0.25">
      <c r="A161"/>
      <c r="B161"/>
      <c r="C161"/>
      <c r="D161"/>
      <c r="E161"/>
      <c r="F161"/>
      <c r="G161"/>
      <c r="H161"/>
      <c r="I161"/>
      <c r="J161"/>
      <c r="M161" s="373"/>
      <c r="N161" s="204"/>
      <c r="O161" s="204"/>
      <c r="P161" s="204"/>
      <c r="Q161" s="204"/>
      <c r="R161" s="204"/>
      <c r="S161" s="204"/>
      <c r="T161" s="204"/>
      <c r="U161" s="204"/>
      <c r="V161" s="204"/>
      <c r="W161" s="204"/>
      <c r="Z161" s="23"/>
    </row>
    <row r="162" spans="1:26" ht="14.45" customHeight="1" x14ac:dyDescent="0.25">
      <c r="A162"/>
      <c r="B162"/>
      <c r="C162"/>
      <c r="D162"/>
      <c r="E162"/>
      <c r="F162"/>
      <c r="G162"/>
      <c r="H162"/>
      <c r="I162"/>
      <c r="J162"/>
      <c r="M162" s="373"/>
      <c r="N162" s="204"/>
      <c r="O162" s="204"/>
      <c r="P162" s="204"/>
      <c r="Q162" s="204"/>
      <c r="R162" s="204"/>
      <c r="S162" s="204"/>
      <c r="T162" s="204"/>
      <c r="U162" s="204"/>
      <c r="V162" s="204"/>
      <c r="W162" s="204"/>
      <c r="Z162" s="23"/>
    </row>
    <row r="163" spans="1:26" ht="14.45" customHeight="1" x14ac:dyDescent="0.25">
      <c r="A163"/>
      <c r="B163"/>
      <c r="C163"/>
      <c r="D163"/>
      <c r="E163"/>
      <c r="F163"/>
      <c r="G163"/>
      <c r="H163"/>
      <c r="I163"/>
      <c r="J163"/>
      <c r="M163" s="373"/>
      <c r="N163" s="204"/>
      <c r="O163" s="204"/>
      <c r="P163" s="204"/>
      <c r="Q163" s="204"/>
      <c r="R163" s="204"/>
      <c r="S163" s="204"/>
      <c r="T163" s="204"/>
      <c r="U163" s="204"/>
      <c r="V163" s="204"/>
      <c r="W163" s="204"/>
      <c r="Z163" s="23"/>
    </row>
    <row r="164" spans="1:26" ht="14.45" customHeight="1" x14ac:dyDescent="0.25">
      <c r="A164"/>
      <c r="B164"/>
      <c r="C164"/>
      <c r="D164"/>
      <c r="E164"/>
      <c r="F164"/>
      <c r="G164"/>
      <c r="H164"/>
      <c r="I164"/>
      <c r="J164"/>
      <c r="M164" s="373"/>
      <c r="N164" s="204"/>
      <c r="O164" s="204"/>
      <c r="P164" s="204"/>
      <c r="Q164" s="204"/>
      <c r="R164" s="204"/>
      <c r="S164" s="204"/>
      <c r="T164" s="204"/>
      <c r="U164" s="204"/>
      <c r="V164" s="204"/>
      <c r="W164" s="204"/>
      <c r="Z164" s="23"/>
    </row>
    <row r="165" spans="1:26" ht="14.45" customHeight="1" x14ac:dyDescent="0.25">
      <c r="A165"/>
      <c r="B165"/>
      <c r="C165"/>
      <c r="D165"/>
      <c r="E165"/>
      <c r="F165"/>
      <c r="G165"/>
      <c r="H165"/>
      <c r="I165"/>
      <c r="J165"/>
      <c r="M165" s="373"/>
      <c r="N165" s="204"/>
      <c r="O165" s="204"/>
      <c r="P165" s="204"/>
      <c r="Q165" s="204"/>
      <c r="R165" s="204"/>
      <c r="S165" s="204"/>
      <c r="T165" s="204"/>
      <c r="U165" s="204"/>
      <c r="V165" s="204"/>
      <c r="W165" s="204"/>
      <c r="Z165" s="23"/>
    </row>
    <row r="166" spans="1:26" ht="14.45" customHeight="1" x14ac:dyDescent="0.25">
      <c r="A166"/>
      <c r="B166"/>
      <c r="C166"/>
      <c r="D166"/>
      <c r="E166"/>
      <c r="F166"/>
      <c r="G166"/>
      <c r="H166"/>
      <c r="I166"/>
      <c r="J166"/>
      <c r="M166" s="373"/>
      <c r="N166" s="204"/>
      <c r="O166" s="204"/>
      <c r="P166" s="204"/>
      <c r="Q166" s="204"/>
      <c r="R166" s="204"/>
      <c r="S166" s="204"/>
      <c r="T166" s="204"/>
      <c r="U166" s="204"/>
      <c r="V166" s="204"/>
      <c r="W166" s="204"/>
      <c r="Z166" s="23"/>
    </row>
    <row r="167" spans="1:26" ht="14.45" customHeight="1" x14ac:dyDescent="0.25">
      <c r="A167"/>
      <c r="B167"/>
      <c r="C167"/>
      <c r="D167"/>
      <c r="E167"/>
      <c r="F167"/>
      <c r="G167"/>
      <c r="H167"/>
      <c r="I167"/>
      <c r="J167"/>
      <c r="M167" s="373"/>
      <c r="N167" s="204"/>
      <c r="O167" s="204"/>
      <c r="P167" s="204"/>
      <c r="Q167" s="204"/>
      <c r="R167" s="204"/>
      <c r="S167" s="204"/>
      <c r="T167" s="204"/>
      <c r="U167" s="204"/>
      <c r="V167" s="204"/>
      <c r="W167" s="204"/>
      <c r="Z167" s="23"/>
    </row>
    <row r="168" spans="1:26" ht="14.45" customHeight="1" x14ac:dyDescent="0.25">
      <c r="A168"/>
      <c r="B168"/>
      <c r="C168"/>
      <c r="D168"/>
      <c r="E168"/>
      <c r="F168"/>
      <c r="G168"/>
      <c r="H168"/>
      <c r="I168"/>
      <c r="J168"/>
      <c r="M168" s="373"/>
      <c r="N168" s="204"/>
      <c r="O168" s="204"/>
      <c r="P168" s="204"/>
      <c r="Q168" s="204"/>
      <c r="R168" s="204"/>
      <c r="S168" s="204"/>
      <c r="T168" s="204"/>
      <c r="U168" s="204"/>
      <c r="V168" s="204"/>
      <c r="W168" s="204"/>
      <c r="Z168" s="23"/>
    </row>
    <row r="169" spans="1:26" ht="14.45" customHeight="1" x14ac:dyDescent="0.25">
      <c r="A169"/>
      <c r="B169"/>
      <c r="C169"/>
      <c r="D169"/>
      <c r="E169"/>
      <c r="F169"/>
      <c r="G169"/>
      <c r="H169"/>
      <c r="I169"/>
      <c r="J169"/>
      <c r="M169" s="373"/>
      <c r="N169" s="204"/>
      <c r="O169" s="204"/>
      <c r="P169" s="204"/>
      <c r="Q169" s="204"/>
      <c r="R169" s="204"/>
      <c r="S169" s="204"/>
      <c r="T169" s="204"/>
      <c r="U169" s="204"/>
      <c r="V169" s="204"/>
      <c r="W169" s="204"/>
      <c r="Z169" s="23"/>
    </row>
    <row r="170" spans="1:26" ht="14.45" customHeight="1" x14ac:dyDescent="0.25">
      <c r="A170"/>
      <c r="B170"/>
      <c r="C170"/>
      <c r="D170"/>
      <c r="E170"/>
      <c r="F170"/>
      <c r="G170"/>
      <c r="H170"/>
      <c r="I170"/>
      <c r="J170"/>
      <c r="M170" s="373"/>
      <c r="N170" s="204"/>
      <c r="O170" s="204"/>
      <c r="P170" s="204"/>
      <c r="Q170" s="204"/>
      <c r="R170" s="204"/>
      <c r="S170" s="204"/>
      <c r="T170" s="204"/>
      <c r="U170" s="204"/>
      <c r="V170" s="204"/>
      <c r="W170" s="204"/>
      <c r="Z170" s="23"/>
    </row>
    <row r="171" spans="1:26" ht="14.45" customHeight="1" x14ac:dyDescent="0.25">
      <c r="A171"/>
      <c r="B171"/>
      <c r="C171"/>
      <c r="D171"/>
      <c r="E171"/>
      <c r="F171"/>
      <c r="G171"/>
      <c r="H171"/>
      <c r="I171"/>
      <c r="J171"/>
      <c r="M171" s="373"/>
      <c r="N171" s="204"/>
      <c r="O171" s="204"/>
      <c r="P171" s="204"/>
      <c r="Q171" s="204"/>
      <c r="R171" s="204"/>
      <c r="S171" s="204"/>
      <c r="T171" s="204"/>
      <c r="U171" s="204"/>
      <c r="V171" s="204"/>
      <c r="W171" s="204"/>
      <c r="Z171" s="23"/>
    </row>
    <row r="172" spans="1:26" ht="14.45" customHeight="1" x14ac:dyDescent="0.25">
      <c r="A172"/>
      <c r="B172"/>
      <c r="C172"/>
      <c r="D172"/>
      <c r="E172"/>
      <c r="F172"/>
      <c r="G172"/>
      <c r="H172"/>
      <c r="I172"/>
      <c r="J172"/>
      <c r="M172" s="373"/>
      <c r="N172" s="204"/>
      <c r="O172" s="204"/>
      <c r="P172" s="204"/>
      <c r="Q172" s="204"/>
      <c r="R172" s="204"/>
      <c r="S172" s="204"/>
      <c r="T172" s="204"/>
      <c r="U172" s="204"/>
      <c r="V172" s="204"/>
      <c r="W172" s="204"/>
      <c r="Z172" s="23"/>
    </row>
    <row r="173" spans="1:26" ht="14.45" customHeight="1" x14ac:dyDescent="0.25">
      <c r="A173"/>
      <c r="B173"/>
      <c r="C173"/>
      <c r="D173"/>
      <c r="E173"/>
      <c r="F173"/>
      <c r="G173"/>
      <c r="H173"/>
      <c r="I173"/>
      <c r="J173"/>
      <c r="M173" s="373"/>
      <c r="N173" s="204"/>
      <c r="O173" s="204"/>
      <c r="P173" s="204"/>
      <c r="Q173" s="204"/>
      <c r="R173" s="204"/>
      <c r="S173" s="204"/>
      <c r="T173" s="204"/>
      <c r="U173" s="204"/>
      <c r="V173" s="204"/>
      <c r="W173" s="204"/>
      <c r="Z173" s="23"/>
    </row>
    <row r="174" spans="1:26" ht="14.45" customHeight="1" x14ac:dyDescent="0.25">
      <c r="A174"/>
      <c r="B174"/>
      <c r="C174"/>
      <c r="D174"/>
      <c r="E174"/>
      <c r="F174"/>
      <c r="G174"/>
      <c r="H174"/>
      <c r="I174"/>
      <c r="J174"/>
      <c r="M174" s="373"/>
      <c r="N174" s="204"/>
      <c r="O174" s="204"/>
      <c r="P174" s="204"/>
      <c r="Q174" s="204"/>
      <c r="R174" s="204"/>
      <c r="S174" s="204"/>
      <c r="T174" s="204"/>
      <c r="U174" s="204"/>
      <c r="V174" s="204"/>
      <c r="W174" s="204"/>
      <c r="Z174" s="23"/>
    </row>
    <row r="175" spans="1:26" ht="14.45" customHeight="1" x14ac:dyDescent="0.25">
      <c r="A175"/>
      <c r="B175"/>
      <c r="C175"/>
      <c r="D175"/>
      <c r="E175"/>
      <c r="F175"/>
      <c r="G175"/>
      <c r="H175"/>
      <c r="I175"/>
      <c r="J175"/>
      <c r="M175" s="373"/>
      <c r="N175" s="204"/>
      <c r="O175" s="204"/>
      <c r="P175" s="204"/>
      <c r="Q175" s="204"/>
      <c r="R175" s="204"/>
      <c r="S175" s="204"/>
      <c r="T175" s="204"/>
      <c r="U175" s="204"/>
      <c r="V175" s="204"/>
      <c r="W175" s="204"/>
      <c r="Z175" s="23"/>
    </row>
    <row r="176" spans="1:26" ht="14.45" customHeight="1" x14ac:dyDescent="0.25">
      <c r="A176"/>
      <c r="B176"/>
      <c r="C176"/>
      <c r="D176"/>
      <c r="E176"/>
      <c r="F176"/>
      <c r="G176"/>
      <c r="H176"/>
      <c r="I176"/>
      <c r="J176"/>
      <c r="M176" s="373"/>
      <c r="N176" s="204"/>
      <c r="O176" s="204"/>
      <c r="P176" s="204"/>
      <c r="Q176" s="204"/>
      <c r="R176" s="204"/>
      <c r="S176" s="204"/>
      <c r="T176" s="204"/>
      <c r="U176" s="204"/>
      <c r="V176" s="204"/>
      <c r="W176" s="204"/>
      <c r="Z176" s="23"/>
    </row>
    <row r="177" spans="1:26" ht="14.45" customHeight="1" x14ac:dyDescent="0.25">
      <c r="A177"/>
      <c r="B177"/>
      <c r="C177"/>
      <c r="D177"/>
      <c r="E177"/>
      <c r="F177"/>
      <c r="G177"/>
      <c r="H177"/>
      <c r="I177"/>
      <c r="J177"/>
      <c r="M177" s="373"/>
      <c r="N177" s="204"/>
      <c r="O177" s="204"/>
      <c r="P177" s="204"/>
      <c r="Q177" s="204"/>
      <c r="R177" s="204"/>
      <c r="S177" s="204"/>
      <c r="T177" s="204"/>
      <c r="U177" s="204"/>
      <c r="V177" s="204"/>
      <c r="W177" s="204"/>
      <c r="Z177" s="23"/>
    </row>
    <row r="178" spans="1:26" ht="14.45" customHeight="1" x14ac:dyDescent="0.25">
      <c r="A178"/>
      <c r="B178"/>
      <c r="C178"/>
      <c r="D178"/>
      <c r="E178"/>
      <c r="F178"/>
      <c r="G178"/>
      <c r="H178"/>
      <c r="I178"/>
      <c r="J178"/>
      <c r="M178" s="373"/>
      <c r="N178" s="204"/>
      <c r="O178" s="204"/>
      <c r="P178" s="204"/>
      <c r="Q178" s="204"/>
      <c r="R178" s="204"/>
      <c r="S178" s="204"/>
      <c r="T178" s="204"/>
      <c r="U178" s="204"/>
      <c r="V178" s="204"/>
      <c r="W178" s="204"/>
      <c r="Z178" s="23"/>
    </row>
    <row r="179" spans="1:26" ht="14.45" customHeight="1" x14ac:dyDescent="0.25">
      <c r="A179"/>
      <c r="B179"/>
      <c r="C179"/>
      <c r="D179"/>
      <c r="E179"/>
      <c r="F179"/>
      <c r="G179"/>
      <c r="H179"/>
      <c r="I179"/>
      <c r="J179"/>
      <c r="M179" s="373"/>
      <c r="N179" s="204"/>
      <c r="O179" s="204"/>
      <c r="P179" s="204"/>
      <c r="Q179" s="204"/>
      <c r="R179" s="204"/>
      <c r="S179" s="204"/>
      <c r="T179" s="204"/>
      <c r="U179" s="204"/>
      <c r="V179" s="204"/>
      <c r="W179" s="204"/>
      <c r="Z179" s="23"/>
    </row>
    <row r="180" spans="1:26" ht="14.45" customHeight="1" x14ac:dyDescent="0.25">
      <c r="A180"/>
      <c r="B180"/>
      <c r="C180"/>
      <c r="D180"/>
      <c r="E180"/>
      <c r="F180"/>
      <c r="G180"/>
      <c r="H180"/>
      <c r="I180"/>
      <c r="J180"/>
      <c r="Z180" s="23"/>
    </row>
    <row r="181" spans="1:26" ht="14.45" customHeight="1" x14ac:dyDescent="0.25">
      <c r="A181"/>
      <c r="B181"/>
      <c r="C181"/>
      <c r="D181"/>
      <c r="E181"/>
      <c r="F181"/>
      <c r="G181"/>
      <c r="H181"/>
      <c r="I181"/>
      <c r="J181"/>
      <c r="M181" s="92" t="s">
        <v>90</v>
      </c>
      <c r="N181" s="43">
        <f>MAX(tab_transfert80[Connecteur 1])+N$2+N$3</f>
        <v>0</v>
      </c>
      <c r="O181" s="43">
        <f>MAX(tab_transfert80[Connecteur 2])+O$2+O$3</f>
        <v>0</v>
      </c>
      <c r="P181" s="43">
        <f>MAX(tab_transfert80[Connecteur 3])+P$2+P$3</f>
        <v>0</v>
      </c>
      <c r="Q181" s="43">
        <f>MAX(tab_transfert80[Connecteur 4])+Q$2+Q$3</f>
        <v>0</v>
      </c>
      <c r="R181" s="43">
        <f>MAX(tab_transfert80[Connecteur 5])+R$2+R$3</f>
        <v>0</v>
      </c>
      <c r="S181" s="43">
        <f>MAX(tab_transfert80[Connecteur 6])+S$2+S$3</f>
        <v>0</v>
      </c>
      <c r="T181" s="43">
        <f>MAX(tab_transfert80[Connecteur 7])+T$2+T$3</f>
        <v>0</v>
      </c>
      <c r="U181" s="43">
        <f>MAX(tab_transfert80[Connecteur 8])+U$2+U$3</f>
        <v>0</v>
      </c>
      <c r="V181" s="43">
        <f>MAX(tab_transfert80[Connecteur 9])+V$2+V$3</f>
        <v>0</v>
      </c>
      <c r="W181" s="201">
        <f>MAX(N181:V181)</f>
        <v>0</v>
      </c>
      <c r="Z181" s="23"/>
    </row>
    <row r="182" spans="1:26" ht="14.45" customHeight="1" x14ac:dyDescent="0.25">
      <c r="A182"/>
      <c r="B182"/>
      <c r="C182"/>
      <c r="D182"/>
      <c r="E182"/>
      <c r="F182"/>
      <c r="G182"/>
      <c r="H182"/>
      <c r="I182"/>
      <c r="J182"/>
      <c r="M182" s="92" t="s">
        <v>91</v>
      </c>
      <c r="N182" s="43" t="e">
        <f ca="1">MAX(OFFSET(INDEX(tab_transfert80[Connecteur 1],1),COUNT(tab_transfert80[Connecteur 1])-30,0,30))+N$2+N$3</f>
        <v>#REF!</v>
      </c>
      <c r="O182" s="43" t="e">
        <f ca="1">MAX(OFFSET(INDEX(tab_transfert80[Connecteur 2],1),COUNT(tab_transfert80[Connecteur 2])-30,0,30))+O$2+O$3</f>
        <v>#REF!</v>
      </c>
      <c r="P182" s="43" t="e">
        <f ca="1">MAX(OFFSET(INDEX(tab_transfert80[Connecteur 3],1),COUNT(tab_transfert80[Connecteur 3])-30,0,30))+P$2+P$3</f>
        <v>#REF!</v>
      </c>
      <c r="Q182" s="43" t="e">
        <f ca="1">MAX(OFFSET(INDEX(tab_transfert80[Connecteur 4],1),COUNT(tab_transfert80[Connecteur 4])-30,0,30))+Q$2+Q$3</f>
        <v>#REF!</v>
      </c>
      <c r="R182" s="43" t="e">
        <f ca="1">MAX(OFFSET(INDEX(tab_transfert80[Connecteur 5],1),COUNT(tab_transfert80[Connecteur 5])-30,0,30))+R$2+R$3</f>
        <v>#REF!</v>
      </c>
      <c r="S182" s="43" t="e">
        <f ca="1">MAX(OFFSET(INDEX(tab_transfert80[Connecteur 6],1),COUNT(tab_transfert80[Connecteur 6])-30,0,30))+S$2+S$3</f>
        <v>#REF!</v>
      </c>
      <c r="T182" s="43" t="e">
        <f ca="1">MAX(OFFSET(INDEX(tab_transfert80[Connecteur 7],1),COUNT(tab_transfert80[Connecteur 7])-30,0,30))+T$2+T$3</f>
        <v>#REF!</v>
      </c>
      <c r="U182" s="43" t="e">
        <f ca="1">MAX(OFFSET(INDEX(tab_transfert80[Connecteur 8],1),COUNT(tab_transfert80[Connecteur 8])-30,0,30))+U$2+U$3</f>
        <v>#REF!</v>
      </c>
      <c r="V182" s="43" t="e">
        <f ca="1">MAX(OFFSET(INDEX(tab_transfert80[Connecteur 9],1),COUNT(tab_transfert80[Connecteur 9])-30,0,30))+V$2+V$3</f>
        <v>#REF!</v>
      </c>
      <c r="W182" s="201" t="e">
        <f ca="1">MAX(N182:V182)</f>
        <v>#REF!</v>
      </c>
      <c r="Z182" s="23"/>
    </row>
    <row r="183" spans="1:26" ht="14.45" customHeight="1" x14ac:dyDescent="0.25">
      <c r="A183"/>
      <c r="B183"/>
      <c r="C183"/>
      <c r="D183"/>
      <c r="E183"/>
      <c r="F183"/>
      <c r="G183"/>
      <c r="H183"/>
      <c r="I183"/>
      <c r="J183"/>
      <c r="M183" s="92" t="s">
        <v>93</v>
      </c>
      <c r="N183" s="43" t="e">
        <f ca="1">MIN(OFFSET(INDEX(tab_transfert80[Connecteur 1],1),COUNT(tab_transfert80[Connecteur 1])-30,0,30))+N$2+N$3</f>
        <v>#REF!</v>
      </c>
      <c r="O183" s="43" t="e">
        <f ca="1">MIN(OFFSET(INDEX(tab_transfert80[Connecteur 2],1),COUNT(tab_transfert80[Connecteur 2])-30,0,30))+O$2+O$3</f>
        <v>#REF!</v>
      </c>
      <c r="P183" s="43" t="e">
        <f ca="1">MIN(OFFSET(INDEX(tab_transfert80[Connecteur 3],1),COUNT(tab_transfert80[Connecteur 3])-30,0,30))+P$2+P$3</f>
        <v>#REF!</v>
      </c>
      <c r="Q183" s="43" t="e">
        <f ca="1">MIN(OFFSET(INDEX(tab_transfert80[Connecteur 4],1),COUNT(tab_transfert80[Connecteur 4])-30,0,30))+Q$2+Q$3</f>
        <v>#REF!</v>
      </c>
      <c r="R183" s="43" t="e">
        <f ca="1">MIN(OFFSET(INDEX(tab_transfert80[Connecteur 5],1),COUNT(tab_transfert80[Connecteur 5])-30,0,30))+R$2+R$3</f>
        <v>#REF!</v>
      </c>
      <c r="S183" s="43" t="e">
        <f ca="1">MIN(OFFSET(INDEX(tab_transfert80[Connecteur 6],1),COUNT(tab_transfert80[Connecteur 6])-30,0,30))+S$2+S$3</f>
        <v>#REF!</v>
      </c>
      <c r="T183" s="43" t="e">
        <f ca="1">MIN(OFFSET(INDEX(tab_transfert80[Connecteur 7],1),COUNT(tab_transfert80[Connecteur 7])-30,0,30))+T$2+T$3</f>
        <v>#REF!</v>
      </c>
      <c r="U183" s="43" t="e">
        <f ca="1">MIN(OFFSET(INDEX(tab_transfert80[Connecteur 8],1),COUNT(tab_transfert80[Connecteur 8])-30,0,30))+U$2+U$3</f>
        <v>#REF!</v>
      </c>
      <c r="V183" s="43" t="e">
        <f ca="1">MIN(OFFSET(INDEX(tab_transfert80[Connecteur 9],1),COUNT(tab_transfert80[Connecteur 9])-30,0,30))+V$2+V$3</f>
        <v>#REF!</v>
      </c>
      <c r="W183" s="201" t="e">
        <f ca="1">MIN(N183:V183)</f>
        <v>#REF!</v>
      </c>
      <c r="Z183" s="23"/>
    </row>
    <row r="184" spans="1:26" ht="14.45" customHeight="1" x14ac:dyDescent="0.25">
      <c r="A184"/>
      <c r="B184"/>
      <c r="C184"/>
      <c r="D184"/>
      <c r="E184"/>
      <c r="F184"/>
      <c r="G184"/>
      <c r="H184"/>
      <c r="I184"/>
      <c r="J184"/>
      <c r="M184" s="92" t="s">
        <v>95</v>
      </c>
      <c r="N184" s="43" t="e">
        <f ca="1">AVERAGE(OFFSET(INDEX(tab_transfert80[Connecteur 1],1),COUNT(tab_transfert80[Connecteur 1])-30,0,30))+N$2+N$3</f>
        <v>#REF!</v>
      </c>
      <c r="O184" s="43" t="e">
        <f ca="1">AVERAGE(OFFSET(INDEX(tab_transfert80[Connecteur 2],1),COUNT(tab_transfert80[Connecteur 2])-30,0,30))+O$2+O$3</f>
        <v>#REF!</v>
      </c>
      <c r="P184" s="43" t="e">
        <f ca="1">AVERAGE(OFFSET(INDEX(tab_transfert80[Connecteur 3],1),COUNT(tab_transfert80[Connecteur 3])-30,0,30))+P$2+P$3</f>
        <v>#REF!</v>
      </c>
      <c r="Q184" s="43" t="e">
        <f ca="1">AVERAGE(OFFSET(INDEX(tab_transfert80[Connecteur 4],1),COUNT(tab_transfert80[Connecteur 4])-30,0,30))+Q$2+Q$3</f>
        <v>#REF!</v>
      </c>
      <c r="R184" s="43" t="e">
        <f ca="1">AVERAGE(OFFSET(INDEX(tab_transfert80[Connecteur 5],1),COUNT(tab_transfert80[Connecteur 5])-30,0,30))+R$2+R$3</f>
        <v>#REF!</v>
      </c>
      <c r="S184" s="43" t="e">
        <f ca="1">AVERAGE(OFFSET(INDEX(tab_transfert80[Connecteur 6],1),COUNT(tab_transfert80[Connecteur 6])-30,0,30))+S$2+S$3</f>
        <v>#REF!</v>
      </c>
      <c r="T184" s="43" t="e">
        <f ca="1">AVERAGE(OFFSET(INDEX(tab_transfert80[Connecteur 7],1),COUNT(tab_transfert80[Connecteur 7])-30,0,30))+T$2+T$3</f>
        <v>#REF!</v>
      </c>
      <c r="U184" s="43" t="e">
        <f ca="1">AVERAGE(OFFSET(INDEX(tab_transfert80[Connecteur 8],1),COUNT(tab_transfert80[Connecteur 8])-30,0,30))+U$2+U$3</f>
        <v>#REF!</v>
      </c>
      <c r="V184" s="43" t="e">
        <f ca="1">AVERAGE(OFFSET(INDEX(tab_transfert80[Connecteur 9],1),COUNT(tab_transfert80[Connecteur 9])-30,0,30))+V$2+V$3</f>
        <v>#REF!</v>
      </c>
      <c r="W184" s="44"/>
      <c r="Z184" s="23"/>
    </row>
    <row r="185" spans="1:26" ht="14.45" customHeight="1" x14ac:dyDescent="0.25">
      <c r="A185"/>
      <c r="B185"/>
      <c r="C185"/>
      <c r="D185"/>
      <c r="E185"/>
      <c r="F185"/>
      <c r="G185"/>
      <c r="H185"/>
      <c r="I185"/>
      <c r="J185"/>
      <c r="M185" s="92" t="s">
        <v>96</v>
      </c>
      <c r="N185" s="43" t="e">
        <f ca="1">N182-N183</f>
        <v>#REF!</v>
      </c>
      <c r="O185" s="43" t="e">
        <f t="shared" ref="O185:V185" ca="1" si="0">O182-O183</f>
        <v>#REF!</v>
      </c>
      <c r="P185" s="43" t="e">
        <f t="shared" ca="1" si="0"/>
        <v>#REF!</v>
      </c>
      <c r="Q185" s="43" t="e">
        <f t="shared" ca="1" si="0"/>
        <v>#REF!</v>
      </c>
      <c r="R185" s="43" t="e">
        <f t="shared" ca="1" si="0"/>
        <v>#REF!</v>
      </c>
      <c r="S185" s="43" t="e">
        <f t="shared" ca="1" si="0"/>
        <v>#REF!</v>
      </c>
      <c r="T185" s="43" t="e">
        <f t="shared" ca="1" si="0"/>
        <v>#REF!</v>
      </c>
      <c r="U185" s="43" t="e">
        <f t="shared" ca="1" si="0"/>
        <v>#REF!</v>
      </c>
      <c r="V185" s="43" t="e">
        <f t="shared" ca="1" si="0"/>
        <v>#REF!</v>
      </c>
      <c r="Z185" s="23"/>
    </row>
    <row r="186" spans="1:26" ht="14.45" customHeight="1" x14ac:dyDescent="0.25">
      <c r="A186"/>
      <c r="B186"/>
      <c r="C186"/>
      <c r="D186"/>
      <c r="E186"/>
      <c r="F186"/>
      <c r="G186"/>
      <c r="H186"/>
      <c r="I186"/>
      <c r="J186"/>
      <c r="M186" s="92" t="s">
        <v>97</v>
      </c>
      <c r="N186" s="372" t="e">
        <f ca="1">ABS(MAX(N182:V182) - MIN(N183:V183))</f>
        <v>#REF!</v>
      </c>
      <c r="O186" s="372"/>
      <c r="P186" s="372"/>
      <c r="Q186" s="372"/>
      <c r="R186" s="372"/>
      <c r="S186" s="372"/>
      <c r="T186" s="372"/>
      <c r="U186" s="372"/>
      <c r="V186" s="372"/>
      <c r="W186" s="44" t="e">
        <f ca="1">N186</f>
        <v>#REF!</v>
      </c>
      <c r="Z186" s="23"/>
    </row>
    <row r="187" spans="1:26" ht="14.45" customHeight="1" x14ac:dyDescent="0.25">
      <c r="A187"/>
      <c r="B187"/>
      <c r="C187"/>
      <c r="D187"/>
      <c r="E187"/>
      <c r="F187"/>
      <c r="G187"/>
      <c r="H187"/>
      <c r="I187"/>
      <c r="J187"/>
      <c r="M187" s="92" t="s">
        <v>98</v>
      </c>
      <c r="N187" s="372" t="e">
        <f ca="1">AVERAGE(N184:V184)</f>
        <v>#REF!</v>
      </c>
      <c r="O187" s="372"/>
      <c r="P187" s="372"/>
      <c r="Q187" s="372"/>
      <c r="R187" s="372"/>
      <c r="S187" s="372"/>
      <c r="T187" s="372"/>
      <c r="U187" s="372"/>
      <c r="V187" s="372"/>
      <c r="W187" s="44" t="e">
        <f ca="1">N187</f>
        <v>#REF!</v>
      </c>
      <c r="Z187" s="23"/>
    </row>
    <row r="188" spans="1:26" ht="14.45" customHeight="1" x14ac:dyDescent="0.25">
      <c r="A188"/>
      <c r="B188"/>
      <c r="C188"/>
      <c r="D188"/>
      <c r="E188"/>
      <c r="F188"/>
      <c r="G188"/>
      <c r="H188"/>
      <c r="I188"/>
      <c r="J188"/>
      <c r="M188" s="92" t="s">
        <v>340</v>
      </c>
      <c r="N188" s="35" t="str" cm="1">
        <f t="array" ref="N188:V188">tab_transfert80[[#Headers],[Connecteur 1]:[Connecteur 9]]</f>
        <v>Connecteur 1</v>
      </c>
      <c r="O188" s="35" t="str">
        <v>Connecteur 2</v>
      </c>
      <c r="P188" s="35" t="str">
        <v>Connecteur 3</v>
      </c>
      <c r="Q188" s="35" t="str">
        <v>Connecteur 4</v>
      </c>
      <c r="R188" s="35" t="str">
        <v>Connecteur 5</v>
      </c>
      <c r="S188" s="35" t="str">
        <v>Connecteur 6</v>
      </c>
      <c r="T188" s="35" t="str">
        <v>Connecteur 7</v>
      </c>
      <c r="U188" s="35" t="str">
        <v>Connecteur 8</v>
      </c>
      <c r="V188" s="35" t="str">
        <v>Connecteur 9</v>
      </c>
      <c r="Z188" s="23"/>
    </row>
    <row r="189" spans="1:26" ht="14.45" customHeight="1" x14ac:dyDescent="0.25">
      <c r="A189"/>
      <c r="B189"/>
      <c r="C189"/>
      <c r="D189"/>
      <c r="E189"/>
      <c r="F189"/>
      <c r="G189"/>
      <c r="H189"/>
      <c r="I189"/>
      <c r="J189"/>
      <c r="M189" s="194" t="s">
        <v>339</v>
      </c>
      <c r="N189" s="196" t="e">
        <f ca="1">_xlfn.STDEV.S(OFFSET(INDEX(tab_transfert80[Connecteur 1],1),COUNT(tab_transfert80[Connecteur 1])-30,0,30))</f>
        <v>#REF!</v>
      </c>
      <c r="O189" s="196" t="e">
        <f ca="1">_xlfn.STDEV.S(OFFSET(INDEX(tab_transfert80[Connecteur 2],1),COUNT(tab_transfert80[Connecteur 2])-30,0,30))</f>
        <v>#REF!</v>
      </c>
      <c r="P189" s="196" t="e">
        <f ca="1">_xlfn.STDEV.S(OFFSET(INDEX(tab_transfert80[Connecteur 3],1),COUNT(tab_transfert80[Connecteur 3])-30,0,30))</f>
        <v>#REF!</v>
      </c>
      <c r="Q189" s="196" t="e">
        <f ca="1">_xlfn.STDEV.S(OFFSET(INDEX(tab_transfert80[Connecteur 4],1),COUNT(tab_transfert80[Connecteur 4])-30,0,30))</f>
        <v>#REF!</v>
      </c>
      <c r="R189" s="196" t="e">
        <f ca="1">_xlfn.STDEV.S(OFFSET(INDEX(tab_transfert80[Connecteur 5],1),COUNT(tab_transfert80[Connecteur 5])-30,0,30))</f>
        <v>#REF!</v>
      </c>
      <c r="S189" s="196" t="e">
        <f ca="1">_xlfn.STDEV.S(OFFSET(INDEX(tab_transfert80[Connecteur 6],1),COUNT(tab_transfert80[Connecteur 6])-30,0,30))</f>
        <v>#REF!</v>
      </c>
      <c r="T189" s="196" t="e">
        <f ca="1">_xlfn.STDEV.S(OFFSET(INDEX(tab_transfert80[Connecteur 7],1),COUNT(tab_transfert80[Connecteur 7])-30,0,30))</f>
        <v>#REF!</v>
      </c>
      <c r="U189" s="196" t="e">
        <f ca="1">_xlfn.STDEV.S(OFFSET(INDEX(tab_transfert80[Connecteur 8],1),COUNT(tab_transfert80[Connecteur 8])-30,0,30))</f>
        <v>#REF!</v>
      </c>
      <c r="V189" s="196" t="e">
        <f ca="1">_xlfn.STDEV.S(OFFSET(INDEX(tab_transfert80[Connecteur 9],1),COUNT(tab_transfert80[Connecteur 9])-30,0,30))</f>
        <v>#REF!</v>
      </c>
      <c r="W189" s="195" t="e">
        <f ca="1">MAX(N189:V189)</f>
        <v>#REF!</v>
      </c>
      <c r="Z189" s="23"/>
    </row>
    <row r="190" spans="1:26" ht="14.45" customHeight="1" x14ac:dyDescent="0.25">
      <c r="A190"/>
      <c r="B190"/>
      <c r="C190"/>
      <c r="D190"/>
      <c r="E190"/>
      <c r="F190"/>
      <c r="G190"/>
      <c r="H190"/>
      <c r="I190"/>
      <c r="J190"/>
      <c r="N190" s="27"/>
      <c r="O190" s="27"/>
      <c r="P190" s="27"/>
      <c r="Q190" s="27"/>
      <c r="R190" s="27"/>
      <c r="S190" s="27"/>
      <c r="T190" s="27"/>
      <c r="U190" s="27"/>
      <c r="V190" s="27"/>
      <c r="Z190" s="23"/>
    </row>
    <row r="191" spans="1:26" ht="14.45" customHeight="1" x14ac:dyDescent="0.25">
      <c r="A191"/>
      <c r="B191"/>
      <c r="C191"/>
      <c r="D191"/>
      <c r="E191"/>
      <c r="F191"/>
      <c r="G191"/>
      <c r="H191"/>
      <c r="I191"/>
      <c r="J191"/>
      <c r="M191" s="194" t="s">
        <v>338</v>
      </c>
      <c r="N191" s="193" t="e">
        <f ca="1">W182-(OFFSET(INDEX(tab_four80[Consigne T°],1),COUNT(tab_four80[Consigne T°])-30,0,1))</f>
        <v>#REF!</v>
      </c>
      <c r="O191" s="27"/>
      <c r="P191" s="27"/>
      <c r="Q191" s="27"/>
      <c r="R191" s="27"/>
      <c r="S191" s="27"/>
      <c r="T191" s="27"/>
      <c r="U191" s="27"/>
      <c r="V191" s="27"/>
      <c r="Z191" s="23"/>
    </row>
    <row r="192" spans="1:26" ht="14.45" customHeight="1" x14ac:dyDescent="0.25">
      <c r="A192"/>
      <c r="B192"/>
      <c r="C192"/>
      <c r="D192"/>
      <c r="E192"/>
      <c r="F192"/>
      <c r="G192"/>
      <c r="H192"/>
      <c r="I192"/>
      <c r="J192"/>
      <c r="M192" s="194" t="s">
        <v>337</v>
      </c>
      <c r="N192" s="193" t="e">
        <f ca="1">W183-(OFFSET(INDEX(tab_four80[Consigne T°],1),COUNT(tab_four80[Consigne T°])-30,0,1))</f>
        <v>#REF!</v>
      </c>
      <c r="O192" s="27"/>
      <c r="P192" s="27"/>
      <c r="Q192" s="27"/>
      <c r="R192" s="27"/>
      <c r="S192" s="27"/>
      <c r="T192" s="27"/>
      <c r="U192" s="27"/>
      <c r="V192" s="27"/>
      <c r="Z192" s="23"/>
    </row>
    <row r="193" spans="1:26" ht="14.45" customHeight="1" x14ac:dyDescent="0.25">
      <c r="A193"/>
      <c r="B193"/>
      <c r="C193"/>
      <c r="D193"/>
      <c r="E193"/>
      <c r="F193"/>
      <c r="G193"/>
      <c r="H193"/>
      <c r="I193"/>
      <c r="J193"/>
      <c r="Z193" s="23"/>
    </row>
    <row r="194" spans="1:26" ht="14.45" customHeight="1" x14ac:dyDescent="0.25">
      <c r="A194"/>
      <c r="B194"/>
      <c r="C194"/>
      <c r="D194"/>
      <c r="E194"/>
      <c r="F194"/>
      <c r="G194"/>
      <c r="H194"/>
      <c r="I194"/>
      <c r="J194"/>
      <c r="Z194" s="23"/>
    </row>
    <row r="195" spans="1:26" ht="14.45" customHeight="1" x14ac:dyDescent="0.25">
      <c r="A195"/>
      <c r="B195"/>
      <c r="C195"/>
      <c r="D195"/>
      <c r="E195"/>
      <c r="F195"/>
      <c r="G195"/>
      <c r="H195"/>
      <c r="I195"/>
      <c r="J195"/>
      <c r="Z195" s="23"/>
    </row>
    <row r="196" spans="1:26" ht="14.45" customHeight="1" x14ac:dyDescent="0.25">
      <c r="A196"/>
      <c r="B196"/>
      <c r="C196"/>
      <c r="D196"/>
      <c r="E196"/>
      <c r="F196"/>
      <c r="G196"/>
      <c r="H196"/>
      <c r="I196"/>
      <c r="J196"/>
      <c r="Z196" s="23"/>
    </row>
    <row r="197" spans="1:26" ht="14.45" customHeight="1" x14ac:dyDescent="0.25">
      <c r="A197"/>
      <c r="B197"/>
      <c r="C197"/>
      <c r="D197"/>
      <c r="E197"/>
      <c r="F197"/>
      <c r="G197"/>
      <c r="H197"/>
      <c r="I197"/>
      <c r="J197"/>
      <c r="Z197" s="23"/>
    </row>
    <row r="198" spans="1:26" ht="14.45" customHeight="1" x14ac:dyDescent="0.25">
      <c r="A198"/>
      <c r="B198"/>
      <c r="C198"/>
      <c r="D198"/>
      <c r="E198"/>
      <c r="F198"/>
      <c r="G198"/>
      <c r="H198"/>
      <c r="I198"/>
      <c r="J198"/>
      <c r="Z198" s="23"/>
    </row>
    <row r="199" spans="1:26" ht="14.45" customHeight="1" x14ac:dyDescent="0.25">
      <c r="A199"/>
      <c r="B199"/>
      <c r="C199"/>
      <c r="D199"/>
      <c r="E199"/>
      <c r="F199"/>
      <c r="G199"/>
      <c r="H199"/>
      <c r="I199"/>
      <c r="J199"/>
      <c r="Z199" s="23"/>
    </row>
    <row r="200" spans="1:26" ht="14.45" customHeight="1" x14ac:dyDescent="0.25">
      <c r="A200"/>
      <c r="B200"/>
      <c r="C200"/>
      <c r="D200"/>
      <c r="E200"/>
      <c r="F200"/>
      <c r="G200"/>
      <c r="H200"/>
      <c r="I200"/>
      <c r="J200"/>
      <c r="Z200" s="23"/>
    </row>
    <row r="201" spans="1:26" ht="14.45" customHeight="1" x14ac:dyDescent="0.25">
      <c r="A201"/>
      <c r="B201"/>
      <c r="C201"/>
      <c r="D201"/>
      <c r="E201"/>
      <c r="F201"/>
      <c r="G201"/>
      <c r="H201"/>
      <c r="I201"/>
      <c r="J201"/>
      <c r="Z201" s="23"/>
    </row>
    <row r="202" spans="1:26" ht="14.45" customHeight="1" x14ac:dyDescent="0.25">
      <c r="A202"/>
      <c r="B202"/>
      <c r="C202"/>
      <c r="D202"/>
      <c r="E202"/>
      <c r="F202"/>
      <c r="G202"/>
      <c r="H202"/>
      <c r="I202"/>
      <c r="J202"/>
      <c r="Z202" s="23"/>
    </row>
    <row r="203" spans="1:26" ht="14.45" customHeight="1" x14ac:dyDescent="0.25">
      <c r="A203"/>
      <c r="B203"/>
      <c r="C203"/>
      <c r="D203"/>
      <c r="E203"/>
      <c r="F203"/>
      <c r="G203"/>
      <c r="H203"/>
      <c r="I203"/>
      <c r="J203"/>
      <c r="Z203" s="23"/>
    </row>
    <row r="204" spans="1:26" ht="14.45" customHeight="1" x14ac:dyDescent="0.25">
      <c r="A204"/>
      <c r="B204"/>
      <c r="C204"/>
      <c r="D204"/>
      <c r="E204"/>
      <c r="F204"/>
      <c r="G204"/>
      <c r="H204"/>
      <c r="I204"/>
      <c r="J204"/>
      <c r="Z204" s="23"/>
    </row>
    <row r="205" spans="1:26" ht="14.45" customHeight="1" x14ac:dyDescent="0.25">
      <c r="A205"/>
      <c r="B205"/>
      <c r="C205"/>
      <c r="D205"/>
      <c r="E205"/>
      <c r="F205"/>
      <c r="G205"/>
      <c r="H205"/>
      <c r="I205"/>
      <c r="J205"/>
      <c r="Z205" s="23"/>
    </row>
    <row r="206" spans="1:26" ht="14.45" customHeight="1" x14ac:dyDescent="0.25">
      <c r="A206"/>
      <c r="B206"/>
      <c r="C206"/>
      <c r="D206"/>
      <c r="E206"/>
      <c r="F206"/>
      <c r="G206"/>
      <c r="H206"/>
      <c r="I206"/>
      <c r="J206"/>
      <c r="Z206" s="23"/>
    </row>
    <row r="207" spans="1:26" ht="14.45" customHeight="1" x14ac:dyDescent="0.25">
      <c r="A207"/>
      <c r="B207"/>
      <c r="C207"/>
      <c r="D207"/>
      <c r="E207"/>
      <c r="F207"/>
      <c r="G207"/>
      <c r="H207"/>
      <c r="I207"/>
      <c r="J207"/>
      <c r="Z207" s="23"/>
    </row>
    <row r="208" spans="1:26" ht="14.45" customHeight="1" x14ac:dyDescent="0.25">
      <c r="A208"/>
      <c r="B208"/>
      <c r="C208"/>
      <c r="D208"/>
      <c r="E208"/>
      <c r="F208"/>
      <c r="G208"/>
      <c r="H208"/>
      <c r="I208"/>
      <c r="J208"/>
      <c r="Z208" s="23"/>
    </row>
    <row r="209" spans="1:26" ht="14.45" customHeight="1" x14ac:dyDescent="0.25">
      <c r="A209"/>
      <c r="B209"/>
      <c r="C209"/>
      <c r="D209"/>
      <c r="E209"/>
      <c r="F209"/>
      <c r="G209"/>
      <c r="H209"/>
      <c r="I209"/>
      <c r="J209"/>
      <c r="Z209" s="23"/>
    </row>
    <row r="210" spans="1:26" ht="14.45" customHeight="1" x14ac:dyDescent="0.25">
      <c r="A210"/>
      <c r="B210"/>
      <c r="C210"/>
      <c r="D210"/>
      <c r="E210"/>
      <c r="F210"/>
      <c r="G210"/>
      <c r="H210"/>
      <c r="I210"/>
      <c r="J210"/>
      <c r="Z210" s="23"/>
    </row>
    <row r="211" spans="1:26" ht="14.45" customHeight="1" x14ac:dyDescent="0.25">
      <c r="A211"/>
      <c r="B211"/>
      <c r="C211"/>
      <c r="D211"/>
      <c r="E211"/>
      <c r="F211"/>
      <c r="G211"/>
      <c r="H211"/>
      <c r="I211"/>
      <c r="J211"/>
      <c r="Z211" s="23"/>
    </row>
    <row r="212" spans="1:26" ht="14.45" customHeight="1" x14ac:dyDescent="0.25">
      <c r="A212"/>
      <c r="B212"/>
      <c r="C212"/>
      <c r="D212"/>
      <c r="E212"/>
      <c r="F212"/>
      <c r="G212"/>
      <c r="H212"/>
      <c r="I212"/>
      <c r="J212"/>
      <c r="Z212" s="23"/>
    </row>
    <row r="213" spans="1:26" ht="14.45" customHeight="1" x14ac:dyDescent="0.25">
      <c r="A213"/>
      <c r="B213"/>
      <c r="C213"/>
      <c r="D213"/>
      <c r="E213"/>
      <c r="F213"/>
      <c r="G213"/>
      <c r="H213"/>
      <c r="I213"/>
      <c r="J213"/>
      <c r="Z213" s="23"/>
    </row>
    <row r="214" spans="1:26" ht="14.45" customHeight="1" x14ac:dyDescent="0.25">
      <c r="A214"/>
      <c r="B214"/>
      <c r="C214"/>
      <c r="D214"/>
      <c r="E214"/>
      <c r="F214"/>
      <c r="G214"/>
      <c r="H214"/>
      <c r="I214"/>
      <c r="J214"/>
      <c r="Z214" s="23"/>
    </row>
    <row r="215" spans="1:26" ht="14.45" customHeight="1" x14ac:dyDescent="0.25">
      <c r="A215"/>
      <c r="B215"/>
      <c r="C215"/>
      <c r="D215"/>
      <c r="E215"/>
      <c r="F215"/>
      <c r="G215"/>
      <c r="H215"/>
      <c r="I215"/>
      <c r="J215"/>
      <c r="Z215" s="23"/>
    </row>
    <row r="216" spans="1:26" ht="14.45" customHeight="1" x14ac:dyDescent="0.25">
      <c r="A216"/>
      <c r="B216"/>
      <c r="C216"/>
      <c r="D216"/>
      <c r="E216"/>
      <c r="F216"/>
      <c r="G216"/>
      <c r="H216"/>
      <c r="I216"/>
      <c r="J216"/>
      <c r="Z216" s="23"/>
    </row>
    <row r="217" spans="1:26" ht="14.45" customHeight="1" x14ac:dyDescent="0.25">
      <c r="A217"/>
      <c r="B217"/>
      <c r="C217"/>
      <c r="D217"/>
      <c r="E217"/>
      <c r="F217"/>
      <c r="G217"/>
      <c r="H217"/>
      <c r="I217"/>
      <c r="J217"/>
      <c r="Z217" s="23"/>
    </row>
    <row r="218" spans="1:26" ht="14.45" customHeight="1" x14ac:dyDescent="0.25">
      <c r="A218"/>
      <c r="B218"/>
      <c r="C218"/>
      <c r="D218"/>
      <c r="E218"/>
      <c r="F218"/>
      <c r="G218"/>
      <c r="H218"/>
      <c r="I218"/>
      <c r="J218"/>
      <c r="Z218" s="23"/>
    </row>
    <row r="219" spans="1:26" ht="14.45" customHeight="1" x14ac:dyDescent="0.25">
      <c r="A219"/>
      <c r="B219"/>
      <c r="C219"/>
      <c r="D219"/>
      <c r="E219"/>
      <c r="F219"/>
      <c r="G219"/>
      <c r="H219"/>
      <c r="I219"/>
      <c r="J219"/>
      <c r="Z219" s="23"/>
    </row>
    <row r="220" spans="1:26" ht="14.45" customHeight="1" x14ac:dyDescent="0.25">
      <c r="A220"/>
      <c r="B220"/>
      <c r="C220"/>
      <c r="D220"/>
      <c r="E220"/>
      <c r="F220"/>
      <c r="G220"/>
      <c r="H220"/>
      <c r="I220"/>
      <c r="J220"/>
      <c r="Z220" s="23"/>
    </row>
    <row r="221" spans="1:26" ht="14.45" customHeight="1" x14ac:dyDescent="0.25">
      <c r="A221"/>
      <c r="B221"/>
      <c r="C221"/>
      <c r="D221"/>
      <c r="E221"/>
      <c r="F221"/>
      <c r="G221"/>
      <c r="H221"/>
      <c r="I221"/>
      <c r="J221"/>
      <c r="Z221" s="23"/>
    </row>
    <row r="222" spans="1:26" ht="14.45" customHeight="1" x14ac:dyDescent="0.25">
      <c r="A222"/>
      <c r="B222"/>
      <c r="C222"/>
      <c r="D222"/>
      <c r="E222"/>
      <c r="F222"/>
      <c r="G222"/>
      <c r="H222"/>
      <c r="I222"/>
      <c r="J222"/>
      <c r="Z222" s="23"/>
    </row>
    <row r="223" spans="1:26" ht="14.45" customHeight="1" x14ac:dyDescent="0.25">
      <c r="A223"/>
      <c r="B223"/>
      <c r="C223"/>
      <c r="D223"/>
      <c r="E223"/>
      <c r="F223"/>
      <c r="G223"/>
      <c r="H223"/>
      <c r="I223"/>
      <c r="J223"/>
      <c r="Z223" s="23"/>
    </row>
    <row r="224" spans="1:26" ht="14.45" customHeight="1" x14ac:dyDescent="0.25">
      <c r="A224"/>
      <c r="B224"/>
      <c r="C224"/>
      <c r="D224"/>
      <c r="E224"/>
      <c r="F224"/>
      <c r="G224"/>
      <c r="H224"/>
      <c r="I224"/>
      <c r="J224"/>
      <c r="Z224" s="23"/>
    </row>
    <row r="225" spans="1:26" ht="14.45" customHeight="1" x14ac:dyDescent="0.25">
      <c r="A225"/>
      <c r="B225"/>
      <c r="C225"/>
      <c r="D225"/>
      <c r="E225"/>
      <c r="F225"/>
      <c r="G225"/>
      <c r="H225"/>
      <c r="I225"/>
      <c r="J225"/>
      <c r="Z225" s="23"/>
    </row>
    <row r="226" spans="1:26" ht="14.45" customHeight="1" x14ac:dyDescent="0.25">
      <c r="A226"/>
      <c r="B226"/>
      <c r="C226"/>
      <c r="D226"/>
      <c r="E226"/>
      <c r="F226"/>
      <c r="G226"/>
      <c r="H226"/>
      <c r="I226"/>
      <c r="J226"/>
      <c r="Z226" s="23"/>
    </row>
    <row r="227" spans="1:26" ht="14.45" customHeight="1" x14ac:dyDescent="0.25">
      <c r="A227"/>
      <c r="B227"/>
      <c r="C227"/>
      <c r="D227"/>
      <c r="E227"/>
      <c r="F227"/>
      <c r="G227"/>
      <c r="H227"/>
      <c r="I227"/>
      <c r="J227"/>
      <c r="Z227" s="23"/>
    </row>
    <row r="228" spans="1:26" ht="14.45" customHeight="1" x14ac:dyDescent="0.25">
      <c r="A228"/>
      <c r="B228"/>
      <c r="C228"/>
      <c r="D228"/>
      <c r="E228"/>
      <c r="F228"/>
      <c r="G228"/>
      <c r="H228"/>
      <c r="I228"/>
      <c r="J228"/>
      <c r="Z228" s="23"/>
    </row>
    <row r="229" spans="1:26" ht="14.45" customHeight="1" x14ac:dyDescent="0.25">
      <c r="A229"/>
      <c r="B229"/>
      <c r="C229"/>
      <c r="D229"/>
      <c r="E229"/>
      <c r="F229"/>
      <c r="G229"/>
      <c r="H229"/>
      <c r="I229"/>
      <c r="J229"/>
      <c r="Z229" s="23"/>
    </row>
    <row r="230" spans="1:26" ht="14.45" customHeight="1" x14ac:dyDescent="0.25">
      <c r="A230"/>
      <c r="B230"/>
      <c r="C230"/>
      <c r="D230"/>
      <c r="E230"/>
      <c r="F230"/>
      <c r="G230"/>
      <c r="H230"/>
      <c r="I230"/>
      <c r="J230"/>
      <c r="Z230" s="23"/>
    </row>
    <row r="231" spans="1:26" ht="14.45" customHeight="1" x14ac:dyDescent="0.25">
      <c r="A231"/>
      <c r="B231"/>
      <c r="C231"/>
      <c r="D231"/>
      <c r="E231"/>
      <c r="F231"/>
      <c r="G231"/>
      <c r="H231"/>
      <c r="I231"/>
      <c r="J231"/>
      <c r="Z231" s="23"/>
    </row>
    <row r="232" spans="1:26" ht="14.45" customHeight="1" x14ac:dyDescent="0.25">
      <c r="A232"/>
      <c r="B232"/>
      <c r="C232"/>
      <c r="D232"/>
      <c r="E232"/>
      <c r="F232"/>
      <c r="G232"/>
      <c r="H232"/>
      <c r="I232"/>
      <c r="J232"/>
      <c r="Z232" s="23"/>
    </row>
    <row r="233" spans="1:26" ht="14.45" customHeight="1" x14ac:dyDescent="0.25">
      <c r="A233"/>
      <c r="B233"/>
      <c r="C233"/>
      <c r="D233"/>
      <c r="E233"/>
      <c r="F233"/>
      <c r="G233"/>
      <c r="H233"/>
      <c r="I233"/>
      <c r="J233"/>
      <c r="Z233" s="23"/>
    </row>
    <row r="234" spans="1:26" ht="14.45" customHeight="1" x14ac:dyDescent="0.25">
      <c r="A234"/>
      <c r="B234"/>
      <c r="C234"/>
      <c r="D234"/>
      <c r="E234"/>
      <c r="F234"/>
      <c r="G234"/>
      <c r="H234"/>
      <c r="I234"/>
      <c r="J234"/>
      <c r="Z234" s="23"/>
    </row>
    <row r="235" spans="1:26" ht="14.45" customHeight="1" x14ac:dyDescent="0.25">
      <c r="A235"/>
      <c r="B235"/>
      <c r="C235"/>
      <c r="D235"/>
      <c r="E235"/>
      <c r="F235"/>
      <c r="G235"/>
      <c r="H235"/>
      <c r="I235"/>
      <c r="J235"/>
      <c r="Z235" s="23"/>
    </row>
    <row r="236" spans="1:26" ht="14.45" customHeight="1" x14ac:dyDescent="0.25">
      <c r="A236"/>
      <c r="B236"/>
      <c r="C236"/>
      <c r="D236"/>
      <c r="E236"/>
      <c r="F236"/>
      <c r="G236"/>
      <c r="H236"/>
      <c r="I236"/>
      <c r="J236"/>
      <c r="Z236" s="23"/>
    </row>
    <row r="237" spans="1:26" ht="14.45" customHeight="1" x14ac:dyDescent="0.25">
      <c r="A237"/>
      <c r="B237"/>
      <c r="C237"/>
      <c r="D237"/>
      <c r="E237"/>
      <c r="F237"/>
      <c r="G237"/>
      <c r="H237"/>
      <c r="I237"/>
      <c r="J237"/>
      <c r="Z237" s="23"/>
    </row>
    <row r="238" spans="1:26" ht="14.45" customHeight="1" x14ac:dyDescent="0.25">
      <c r="A238"/>
      <c r="B238"/>
      <c r="C238"/>
      <c r="D238"/>
      <c r="E238"/>
      <c r="F238"/>
      <c r="G238"/>
      <c r="H238"/>
      <c r="I238"/>
      <c r="J238"/>
      <c r="Z238" s="23"/>
    </row>
    <row r="239" spans="1:26" ht="14.45" customHeight="1" x14ac:dyDescent="0.25">
      <c r="A239"/>
      <c r="B239"/>
      <c r="C239"/>
      <c r="D239"/>
      <c r="E239"/>
      <c r="F239"/>
      <c r="G239"/>
      <c r="H239"/>
      <c r="I239"/>
      <c r="J239"/>
      <c r="Z239" s="23"/>
    </row>
    <row r="240" spans="1:26" ht="14.45" customHeight="1" x14ac:dyDescent="0.25">
      <c r="A240"/>
      <c r="B240"/>
      <c r="C240"/>
      <c r="D240"/>
      <c r="E240"/>
      <c r="F240"/>
      <c r="G240"/>
      <c r="H240"/>
      <c r="I240"/>
      <c r="J240"/>
      <c r="Z240" s="23"/>
    </row>
    <row r="241" spans="1:26" ht="14.45" customHeight="1" x14ac:dyDescent="0.25">
      <c r="A241"/>
      <c r="B241"/>
      <c r="C241"/>
      <c r="D241"/>
      <c r="E241"/>
      <c r="F241"/>
      <c r="G241"/>
      <c r="H241"/>
      <c r="I241"/>
      <c r="J241"/>
      <c r="Z241" s="23"/>
    </row>
    <row r="242" spans="1:26" ht="14.45" customHeight="1" x14ac:dyDescent="0.25">
      <c r="A242"/>
      <c r="B242"/>
      <c r="C242"/>
      <c r="D242"/>
      <c r="E242"/>
      <c r="F242"/>
      <c r="G242"/>
      <c r="H242"/>
      <c r="I242"/>
      <c r="J242"/>
      <c r="Z242" s="23"/>
    </row>
    <row r="243" spans="1:26" ht="14.45" customHeight="1" x14ac:dyDescent="0.25">
      <c r="A243"/>
      <c r="B243"/>
      <c r="C243"/>
      <c r="D243"/>
      <c r="E243"/>
      <c r="F243"/>
      <c r="G243"/>
      <c r="H243"/>
      <c r="I243"/>
      <c r="J243"/>
      <c r="Z243" s="23"/>
    </row>
    <row r="244" spans="1:26" ht="14.45" customHeight="1" x14ac:dyDescent="0.25">
      <c r="A244"/>
      <c r="B244"/>
      <c r="C244"/>
      <c r="D244"/>
      <c r="E244"/>
      <c r="F244"/>
      <c r="G244"/>
      <c r="H244"/>
      <c r="I244"/>
      <c r="J244"/>
      <c r="Z244" s="23"/>
    </row>
    <row r="245" spans="1:26" ht="14.45" customHeight="1" x14ac:dyDescent="0.25">
      <c r="A245"/>
      <c r="B245"/>
      <c r="C245"/>
      <c r="D245"/>
      <c r="E245"/>
      <c r="F245"/>
      <c r="G245"/>
      <c r="H245"/>
      <c r="I245"/>
      <c r="J245"/>
      <c r="Z245" s="23"/>
    </row>
    <row r="246" spans="1:26" ht="14.45" customHeight="1" x14ac:dyDescent="0.25">
      <c r="A246"/>
      <c r="B246"/>
      <c r="C246"/>
      <c r="D246"/>
      <c r="E246"/>
      <c r="F246"/>
      <c r="G246"/>
      <c r="H246"/>
      <c r="I246"/>
      <c r="J246"/>
      <c r="Z246" s="23"/>
    </row>
    <row r="247" spans="1:26" ht="14.45" customHeight="1" x14ac:dyDescent="0.25">
      <c r="A247"/>
      <c r="B247"/>
      <c r="C247"/>
      <c r="D247"/>
      <c r="E247"/>
      <c r="F247"/>
      <c r="G247"/>
      <c r="H247"/>
      <c r="I247"/>
      <c r="J247"/>
      <c r="Z247" s="23"/>
    </row>
    <row r="248" spans="1:26" ht="14.45" customHeight="1" x14ac:dyDescent="0.25">
      <c r="A248"/>
      <c r="B248"/>
      <c r="C248"/>
      <c r="D248"/>
      <c r="E248"/>
      <c r="F248"/>
      <c r="G248"/>
      <c r="H248"/>
      <c r="I248"/>
      <c r="J248"/>
      <c r="Z248" s="23"/>
    </row>
    <row r="249" spans="1:26" ht="14.45" customHeight="1" x14ac:dyDescent="0.25">
      <c r="A249"/>
      <c r="B249"/>
      <c r="C249"/>
      <c r="D249"/>
      <c r="E249"/>
      <c r="F249"/>
      <c r="G249"/>
      <c r="H249"/>
      <c r="I249"/>
      <c r="J249"/>
      <c r="Z249" s="23"/>
    </row>
    <row r="250" spans="1:26" ht="14.45" customHeight="1" x14ac:dyDescent="0.25">
      <c r="A250"/>
      <c r="B250"/>
      <c r="C250"/>
      <c r="D250"/>
      <c r="E250"/>
      <c r="F250"/>
      <c r="G250"/>
      <c r="H250"/>
      <c r="I250"/>
      <c r="J250"/>
      <c r="Z250" s="23"/>
    </row>
    <row r="251" spans="1:26" ht="14.45" customHeight="1" x14ac:dyDescent="0.25">
      <c r="A251"/>
      <c r="B251"/>
      <c r="C251"/>
      <c r="D251"/>
      <c r="E251"/>
      <c r="F251"/>
      <c r="G251"/>
      <c r="H251"/>
      <c r="I251"/>
      <c r="J251"/>
      <c r="Z251" s="23"/>
    </row>
    <row r="252" spans="1:26" ht="14.45" customHeight="1" x14ac:dyDescent="0.25">
      <c r="A252"/>
      <c r="B252"/>
      <c r="C252"/>
      <c r="D252"/>
      <c r="E252"/>
      <c r="F252"/>
      <c r="G252"/>
      <c r="H252"/>
      <c r="I252"/>
      <c r="J252"/>
      <c r="Z252" s="23"/>
    </row>
    <row r="253" spans="1:26" ht="14.45" customHeight="1" x14ac:dyDescent="0.25">
      <c r="A253"/>
      <c r="B253"/>
      <c r="C253"/>
      <c r="D253"/>
      <c r="E253"/>
      <c r="F253"/>
      <c r="G253"/>
      <c r="H253"/>
      <c r="I253"/>
      <c r="J253"/>
      <c r="Z253" s="23"/>
    </row>
    <row r="254" spans="1:26" ht="14.45" customHeight="1" x14ac:dyDescent="0.25">
      <c r="A254"/>
      <c r="B254"/>
      <c r="C254"/>
      <c r="D254"/>
      <c r="E254"/>
      <c r="F254"/>
      <c r="G254"/>
      <c r="H254"/>
      <c r="I254"/>
      <c r="J254"/>
      <c r="Z254" s="23"/>
    </row>
    <row r="255" spans="1:26" ht="14.45" customHeight="1" x14ac:dyDescent="0.25">
      <c r="A255"/>
      <c r="B255"/>
      <c r="C255"/>
      <c r="D255"/>
      <c r="E255"/>
      <c r="F255"/>
      <c r="G255"/>
      <c r="H255"/>
      <c r="I255"/>
      <c r="J255"/>
      <c r="Z255" s="23"/>
    </row>
    <row r="256" spans="1:26" ht="14.45" customHeight="1" x14ac:dyDescent="0.25">
      <c r="A256"/>
      <c r="B256"/>
      <c r="C256"/>
      <c r="D256"/>
      <c r="E256"/>
      <c r="F256"/>
      <c r="G256"/>
      <c r="H256"/>
      <c r="I256"/>
      <c r="J256"/>
      <c r="Z256" s="23"/>
    </row>
    <row r="257" spans="1:26" ht="14.45" customHeight="1" x14ac:dyDescent="0.25">
      <c r="A257"/>
      <c r="B257"/>
      <c r="C257"/>
      <c r="D257"/>
      <c r="E257"/>
      <c r="F257"/>
      <c r="G257"/>
      <c r="H257"/>
      <c r="I257"/>
      <c r="J257"/>
      <c r="Z257" s="23"/>
    </row>
    <row r="258" spans="1:26" ht="14.45" customHeight="1" x14ac:dyDescent="0.25">
      <c r="A258"/>
      <c r="B258"/>
      <c r="C258"/>
      <c r="D258"/>
      <c r="E258"/>
      <c r="F258"/>
      <c r="G258"/>
      <c r="H258"/>
      <c r="I258"/>
      <c r="J258"/>
      <c r="Z258" s="23"/>
    </row>
    <row r="259" spans="1:26" ht="14.45" customHeight="1" x14ac:dyDescent="0.25">
      <c r="A259"/>
      <c r="B259"/>
      <c r="C259"/>
      <c r="D259"/>
      <c r="E259"/>
      <c r="F259"/>
      <c r="G259"/>
      <c r="H259"/>
      <c r="I259"/>
      <c r="J259"/>
      <c r="Z259" s="23"/>
    </row>
    <row r="260" spans="1:26" ht="14.45" customHeight="1" x14ac:dyDescent="0.25">
      <c r="A260"/>
      <c r="B260"/>
      <c r="C260"/>
      <c r="D260"/>
      <c r="E260"/>
      <c r="F260"/>
      <c r="G260"/>
      <c r="H260"/>
      <c r="I260"/>
      <c r="J260"/>
      <c r="Z260" s="23"/>
    </row>
    <row r="261" spans="1:26" ht="14.45" customHeight="1" x14ac:dyDescent="0.25">
      <c r="A261"/>
      <c r="B261"/>
      <c r="C261"/>
      <c r="D261"/>
      <c r="E261"/>
      <c r="F261"/>
      <c r="G261"/>
      <c r="H261"/>
      <c r="I261"/>
      <c r="J261"/>
      <c r="Z261" s="23"/>
    </row>
    <row r="262" spans="1:26" ht="14.45" customHeight="1" x14ac:dyDescent="0.25">
      <c r="A262"/>
      <c r="B262"/>
      <c r="C262"/>
      <c r="D262"/>
      <c r="E262"/>
      <c r="F262"/>
      <c r="G262"/>
      <c r="H262"/>
      <c r="I262"/>
      <c r="J262"/>
      <c r="Z262" s="23"/>
    </row>
    <row r="263" spans="1:26" ht="14.45" customHeight="1" x14ac:dyDescent="0.25">
      <c r="A263"/>
      <c r="B263"/>
      <c r="C263"/>
      <c r="D263"/>
      <c r="E263"/>
      <c r="F263"/>
      <c r="G263"/>
      <c r="H263"/>
      <c r="I263"/>
      <c r="J263"/>
      <c r="Z263" s="23"/>
    </row>
    <row r="264" spans="1:26" ht="14.45" customHeight="1" x14ac:dyDescent="0.25">
      <c r="A264"/>
      <c r="B264"/>
      <c r="C264"/>
      <c r="D264"/>
      <c r="E264"/>
      <c r="F264"/>
      <c r="G264"/>
      <c r="H264"/>
      <c r="I264"/>
      <c r="J264"/>
      <c r="Z264" s="23"/>
    </row>
    <row r="265" spans="1:26" ht="14.45" customHeight="1" x14ac:dyDescent="0.25">
      <c r="A265"/>
      <c r="B265"/>
      <c r="C265"/>
      <c r="D265"/>
      <c r="E265"/>
      <c r="F265"/>
      <c r="G265"/>
      <c r="H265"/>
      <c r="I265"/>
      <c r="J265"/>
      <c r="Z265" s="23"/>
    </row>
    <row r="266" spans="1:26" ht="14.45" customHeight="1" x14ac:dyDescent="0.25">
      <c r="A266"/>
      <c r="B266"/>
      <c r="C266"/>
      <c r="D266"/>
      <c r="E266"/>
      <c r="F266"/>
      <c r="G266"/>
      <c r="H266"/>
      <c r="I266"/>
      <c r="J266"/>
      <c r="Z266" s="23"/>
    </row>
    <row r="267" spans="1:26" ht="14.45" customHeight="1" x14ac:dyDescent="0.25">
      <c r="A267"/>
      <c r="B267"/>
      <c r="C267"/>
      <c r="D267"/>
      <c r="E267"/>
      <c r="F267"/>
      <c r="G267"/>
      <c r="H267"/>
      <c r="I267"/>
      <c r="J267"/>
      <c r="Z267" s="23"/>
    </row>
    <row r="268" spans="1:26" ht="14.45" customHeight="1" x14ac:dyDescent="0.25">
      <c r="A268"/>
      <c r="B268"/>
      <c r="C268"/>
      <c r="D268"/>
      <c r="E268"/>
      <c r="F268"/>
      <c r="G268"/>
      <c r="H268"/>
      <c r="I268"/>
      <c r="J268"/>
      <c r="Z268" s="23"/>
    </row>
    <row r="269" spans="1:26" ht="14.45" customHeight="1" x14ac:dyDescent="0.25">
      <c r="A269"/>
      <c r="B269"/>
      <c r="C269"/>
      <c r="D269"/>
      <c r="E269"/>
      <c r="F269"/>
      <c r="G269"/>
      <c r="H269"/>
      <c r="I269"/>
      <c r="J269"/>
      <c r="Z269" s="23"/>
    </row>
    <row r="270" spans="1:26" ht="14.45" customHeight="1" x14ac:dyDescent="0.25">
      <c r="A270"/>
      <c r="B270"/>
      <c r="C270"/>
      <c r="D270"/>
      <c r="E270"/>
      <c r="F270"/>
      <c r="G270"/>
      <c r="H270"/>
      <c r="I270"/>
      <c r="J270"/>
      <c r="Z270" s="23"/>
    </row>
    <row r="271" spans="1:26" ht="14.45" customHeight="1" x14ac:dyDescent="0.25">
      <c r="A271"/>
      <c r="B271"/>
      <c r="C271"/>
      <c r="D271"/>
      <c r="E271"/>
      <c r="F271"/>
      <c r="G271"/>
      <c r="H271"/>
      <c r="I271"/>
      <c r="J271"/>
      <c r="Z271" s="23"/>
    </row>
    <row r="272" spans="1:26" ht="14.45" customHeight="1" x14ac:dyDescent="0.25">
      <c r="A272"/>
      <c r="B272"/>
      <c r="C272"/>
      <c r="D272"/>
      <c r="E272"/>
      <c r="F272"/>
      <c r="G272"/>
      <c r="H272"/>
      <c r="I272"/>
      <c r="J272"/>
      <c r="Z272" s="23"/>
    </row>
    <row r="273" spans="1:26" ht="14.45" customHeight="1" x14ac:dyDescent="0.25">
      <c r="A273"/>
      <c r="B273"/>
      <c r="C273"/>
      <c r="D273"/>
      <c r="E273"/>
      <c r="F273"/>
      <c r="G273"/>
      <c r="H273"/>
      <c r="I273"/>
      <c r="J273"/>
      <c r="Z273" s="23"/>
    </row>
    <row r="274" spans="1:26" ht="14.45" customHeight="1" x14ac:dyDescent="0.25">
      <c r="A274"/>
      <c r="B274"/>
      <c r="C274"/>
      <c r="D274"/>
      <c r="E274"/>
      <c r="F274"/>
      <c r="G274"/>
      <c r="H274"/>
      <c r="I274"/>
      <c r="J274"/>
      <c r="Z274" s="23"/>
    </row>
    <row r="275" spans="1:26" ht="14.45" customHeight="1" x14ac:dyDescent="0.25">
      <c r="A275"/>
      <c r="B275"/>
      <c r="C275"/>
      <c r="D275"/>
      <c r="E275"/>
      <c r="F275"/>
      <c r="G275"/>
      <c r="H275"/>
      <c r="I275"/>
      <c r="J275"/>
      <c r="Z275" s="23"/>
    </row>
    <row r="276" spans="1:26" ht="14.45" customHeight="1" x14ac:dyDescent="0.25">
      <c r="A276"/>
      <c r="B276"/>
      <c r="C276"/>
      <c r="D276"/>
      <c r="E276"/>
      <c r="F276"/>
      <c r="G276"/>
      <c r="H276"/>
      <c r="I276"/>
      <c r="J276"/>
      <c r="Z276" s="23"/>
    </row>
    <row r="277" spans="1:26" ht="14.45" customHeight="1" x14ac:dyDescent="0.25">
      <c r="A277"/>
      <c r="B277"/>
      <c r="C277"/>
      <c r="D277"/>
      <c r="E277"/>
      <c r="F277"/>
      <c r="G277"/>
      <c r="H277"/>
      <c r="I277"/>
      <c r="J277"/>
      <c r="Z277" s="23"/>
    </row>
    <row r="278" spans="1:26" ht="14.45" customHeight="1" x14ac:dyDescent="0.25">
      <c r="A278"/>
      <c r="B278"/>
      <c r="C278"/>
      <c r="D278"/>
      <c r="E278"/>
      <c r="F278"/>
      <c r="G278"/>
      <c r="H278"/>
      <c r="I278"/>
      <c r="J278"/>
      <c r="Z278" s="23"/>
    </row>
    <row r="279" spans="1:26" ht="14.45" customHeight="1" x14ac:dyDescent="0.25">
      <c r="A279"/>
      <c r="B279"/>
      <c r="C279"/>
      <c r="D279"/>
      <c r="E279"/>
      <c r="F279"/>
      <c r="G279"/>
      <c r="H279"/>
      <c r="I279"/>
      <c r="J279"/>
      <c r="Z279" s="23"/>
    </row>
    <row r="280" spans="1:26" ht="14.45" customHeight="1" x14ac:dyDescent="0.25">
      <c r="A280"/>
      <c r="B280"/>
      <c r="C280"/>
      <c r="D280"/>
      <c r="E280"/>
      <c r="F280"/>
      <c r="G280"/>
      <c r="H280"/>
      <c r="I280"/>
      <c r="J280"/>
      <c r="Z280" s="23"/>
    </row>
    <row r="281" spans="1:26" ht="14.45" customHeight="1" x14ac:dyDescent="0.25">
      <c r="A281"/>
      <c r="B281"/>
      <c r="C281"/>
      <c r="D281"/>
      <c r="E281"/>
      <c r="F281"/>
      <c r="G281"/>
      <c r="H281"/>
      <c r="I281"/>
      <c r="J281"/>
      <c r="Z281" s="23"/>
    </row>
    <row r="282" spans="1:26" ht="14.45" customHeight="1" x14ac:dyDescent="0.25">
      <c r="A282"/>
      <c r="B282"/>
      <c r="C282"/>
      <c r="D282"/>
      <c r="E282"/>
      <c r="F282"/>
      <c r="G282"/>
      <c r="H282"/>
      <c r="I282"/>
      <c r="J282"/>
      <c r="Z282" s="23"/>
    </row>
    <row r="283" spans="1:26" ht="14.45" customHeight="1" x14ac:dyDescent="0.25">
      <c r="A283"/>
      <c r="B283"/>
      <c r="C283"/>
      <c r="D283"/>
      <c r="E283"/>
      <c r="F283"/>
      <c r="G283"/>
      <c r="H283"/>
      <c r="I283"/>
      <c r="J283"/>
      <c r="Z283" s="23"/>
    </row>
    <row r="284" spans="1:26" ht="14.45" customHeight="1" x14ac:dyDescent="0.25">
      <c r="A284"/>
      <c r="B284"/>
      <c r="C284"/>
      <c r="D284"/>
      <c r="E284"/>
      <c r="F284"/>
      <c r="G284"/>
      <c r="H284"/>
      <c r="I284"/>
      <c r="J284"/>
      <c r="Z284" s="23"/>
    </row>
    <row r="285" spans="1:26" ht="14.45" customHeight="1" x14ac:dyDescent="0.25">
      <c r="A285"/>
      <c r="B285"/>
      <c r="C285"/>
      <c r="D285"/>
      <c r="E285"/>
      <c r="F285"/>
      <c r="G285"/>
      <c r="H285"/>
      <c r="I285"/>
      <c r="J285"/>
      <c r="Z285" s="23"/>
    </row>
    <row r="286" spans="1:26" ht="14.45" customHeight="1" x14ac:dyDescent="0.25">
      <c r="A286"/>
      <c r="B286"/>
      <c r="C286"/>
      <c r="D286"/>
      <c r="E286"/>
      <c r="F286"/>
      <c r="G286"/>
      <c r="H286"/>
      <c r="I286"/>
      <c r="J286"/>
      <c r="Z286" s="23"/>
    </row>
    <row r="287" spans="1:26" ht="14.45" customHeight="1" x14ac:dyDescent="0.25">
      <c r="A287"/>
      <c r="B287"/>
      <c r="C287"/>
      <c r="D287"/>
      <c r="E287"/>
      <c r="F287"/>
      <c r="G287"/>
      <c r="H287"/>
      <c r="I287"/>
      <c r="J287"/>
      <c r="Z287" s="23"/>
    </row>
    <row r="288" spans="1:26" ht="14.45" customHeight="1" x14ac:dyDescent="0.25">
      <c r="A288"/>
      <c r="B288"/>
      <c r="C288"/>
      <c r="D288"/>
      <c r="E288"/>
      <c r="F288"/>
      <c r="G288"/>
      <c r="H288"/>
      <c r="I288"/>
      <c r="J288"/>
      <c r="Z288" s="23"/>
    </row>
    <row r="289" spans="1:26" ht="14.45" customHeight="1" x14ac:dyDescent="0.25">
      <c r="A289"/>
      <c r="B289"/>
      <c r="C289"/>
      <c r="D289"/>
      <c r="E289"/>
      <c r="F289"/>
      <c r="G289"/>
      <c r="H289"/>
      <c r="I289"/>
      <c r="J289"/>
      <c r="Z289" s="23"/>
    </row>
    <row r="290" spans="1:26" ht="14.45" customHeight="1" x14ac:dyDescent="0.25">
      <c r="A290"/>
      <c r="B290"/>
      <c r="C290"/>
      <c r="D290"/>
      <c r="E290"/>
      <c r="F290"/>
      <c r="G290"/>
      <c r="H290"/>
      <c r="I290"/>
      <c r="J290"/>
      <c r="Z290" s="23"/>
    </row>
    <row r="291" spans="1:26" ht="14.45" customHeight="1" x14ac:dyDescent="0.25">
      <c r="A291"/>
      <c r="B291"/>
      <c r="C291"/>
      <c r="D291"/>
      <c r="E291"/>
      <c r="F291"/>
      <c r="G291"/>
      <c r="H291"/>
      <c r="I291"/>
      <c r="J291"/>
      <c r="Z291" s="23"/>
    </row>
    <row r="292" spans="1:26" ht="14.45" customHeight="1" x14ac:dyDescent="0.25">
      <c r="A292"/>
      <c r="B292"/>
      <c r="C292"/>
      <c r="D292"/>
      <c r="E292"/>
      <c r="F292"/>
      <c r="G292"/>
      <c r="H292"/>
      <c r="I292"/>
      <c r="J292"/>
      <c r="Z292" s="23"/>
    </row>
    <row r="293" spans="1:26" ht="14.45" customHeight="1" x14ac:dyDescent="0.25">
      <c r="A293"/>
      <c r="B293"/>
      <c r="C293"/>
      <c r="D293"/>
      <c r="E293"/>
      <c r="F293"/>
      <c r="G293"/>
      <c r="H293"/>
      <c r="I293"/>
      <c r="J293"/>
      <c r="Z293" s="23"/>
    </row>
    <row r="294" spans="1:26" ht="14.45" customHeight="1" x14ac:dyDescent="0.25">
      <c r="A294"/>
      <c r="B294"/>
      <c r="C294"/>
      <c r="D294"/>
      <c r="E294"/>
      <c r="F294"/>
      <c r="G294"/>
      <c r="H294"/>
      <c r="I294"/>
      <c r="J294"/>
      <c r="Z294" s="23"/>
    </row>
    <row r="295" spans="1:26" ht="14.45" customHeight="1" x14ac:dyDescent="0.25">
      <c r="A295"/>
      <c r="B295"/>
      <c r="C295"/>
      <c r="D295"/>
      <c r="E295"/>
      <c r="F295"/>
      <c r="G295"/>
      <c r="H295"/>
      <c r="I295"/>
      <c r="J295"/>
      <c r="Z295" s="23"/>
    </row>
    <row r="296" spans="1:26" ht="14.45" customHeight="1" x14ac:dyDescent="0.25">
      <c r="A296"/>
      <c r="B296"/>
      <c r="C296"/>
      <c r="D296"/>
      <c r="E296"/>
      <c r="F296"/>
      <c r="G296"/>
      <c r="H296"/>
      <c r="I296"/>
      <c r="J296"/>
      <c r="Z296" s="23"/>
    </row>
    <row r="297" spans="1:26" ht="14.45" customHeight="1" x14ac:dyDescent="0.25">
      <c r="A297"/>
      <c r="B297"/>
      <c r="C297"/>
      <c r="D297"/>
      <c r="E297"/>
      <c r="F297"/>
      <c r="G297"/>
      <c r="H297"/>
      <c r="I297"/>
      <c r="J297"/>
      <c r="Z297" s="23"/>
    </row>
    <row r="298" spans="1:26" ht="14.45" customHeight="1" x14ac:dyDescent="0.25">
      <c r="A298"/>
      <c r="B298"/>
      <c r="C298"/>
      <c r="D298"/>
      <c r="E298"/>
      <c r="F298"/>
      <c r="G298"/>
      <c r="H298"/>
      <c r="I298"/>
      <c r="J298"/>
      <c r="Z298" s="23"/>
    </row>
    <row r="299" spans="1:26" ht="14.45" customHeight="1" x14ac:dyDescent="0.25">
      <c r="A299"/>
      <c r="B299"/>
      <c r="C299"/>
      <c r="D299"/>
      <c r="E299"/>
      <c r="F299"/>
      <c r="G299"/>
      <c r="H299"/>
      <c r="I299"/>
      <c r="J299"/>
      <c r="Z299" s="23"/>
    </row>
    <row r="300" spans="1:26" ht="14.45" customHeight="1" x14ac:dyDescent="0.25">
      <c r="A300"/>
      <c r="B300"/>
      <c r="C300"/>
      <c r="D300"/>
      <c r="E300"/>
      <c r="F300"/>
      <c r="G300"/>
      <c r="H300"/>
      <c r="I300"/>
      <c r="J300"/>
      <c r="Z300" s="23"/>
    </row>
    <row r="301" spans="1:26" ht="14.45" customHeight="1" x14ac:dyDescent="0.25">
      <c r="A301"/>
      <c r="B301"/>
      <c r="C301"/>
      <c r="D301"/>
      <c r="E301"/>
      <c r="F301"/>
      <c r="G301"/>
      <c r="H301"/>
      <c r="I301"/>
      <c r="J301"/>
      <c r="Z301" s="23"/>
    </row>
    <row r="302" spans="1:26" ht="14.45" customHeight="1" x14ac:dyDescent="0.25">
      <c r="A302"/>
      <c r="B302"/>
      <c r="C302"/>
      <c r="D302"/>
      <c r="E302"/>
      <c r="F302"/>
      <c r="G302"/>
      <c r="H302"/>
      <c r="I302"/>
      <c r="J302"/>
      <c r="Z302" s="23"/>
    </row>
    <row r="303" spans="1:26" ht="14.45" customHeight="1" x14ac:dyDescent="0.25">
      <c r="A303"/>
      <c r="B303"/>
      <c r="C303"/>
      <c r="D303"/>
      <c r="E303"/>
      <c r="F303"/>
      <c r="G303"/>
      <c r="H303"/>
      <c r="I303"/>
      <c r="J303"/>
      <c r="Z303" s="23"/>
    </row>
    <row r="304" spans="1:26" ht="14.45" customHeight="1" x14ac:dyDescent="0.25">
      <c r="A304"/>
      <c r="B304"/>
      <c r="C304"/>
      <c r="D304"/>
      <c r="E304"/>
      <c r="F304"/>
      <c r="G304"/>
      <c r="H304"/>
      <c r="I304"/>
      <c r="J304"/>
      <c r="Z304" s="23"/>
    </row>
    <row r="305" spans="1:26" ht="14.45" customHeight="1" x14ac:dyDescent="0.25">
      <c r="A305"/>
      <c r="B305"/>
      <c r="C305"/>
      <c r="D305"/>
      <c r="E305"/>
      <c r="F305"/>
      <c r="G305"/>
      <c r="H305"/>
      <c r="I305"/>
      <c r="J305"/>
      <c r="Z305" s="23"/>
    </row>
    <row r="306" spans="1:26" ht="14.45" customHeight="1" x14ac:dyDescent="0.25">
      <c r="A306"/>
      <c r="B306"/>
      <c r="C306"/>
      <c r="D306"/>
      <c r="E306"/>
      <c r="F306"/>
      <c r="G306"/>
      <c r="H306"/>
      <c r="I306"/>
      <c r="J306"/>
      <c r="Z306" s="23"/>
    </row>
    <row r="307" spans="1:26" ht="14.45" customHeight="1" x14ac:dyDescent="0.25">
      <c r="A307"/>
      <c r="B307"/>
      <c r="C307"/>
      <c r="D307"/>
      <c r="E307"/>
      <c r="F307"/>
      <c r="G307"/>
      <c r="H307"/>
      <c r="I307"/>
      <c r="J307"/>
      <c r="Z307" s="23"/>
    </row>
    <row r="308" spans="1:26" ht="14.45" customHeight="1" x14ac:dyDescent="0.25">
      <c r="A308"/>
      <c r="B308"/>
      <c r="C308"/>
      <c r="D308"/>
      <c r="E308"/>
      <c r="F308"/>
      <c r="G308"/>
      <c r="H308"/>
      <c r="I308"/>
      <c r="J308"/>
      <c r="Z308" s="23"/>
    </row>
    <row r="309" spans="1:26" ht="14.45" customHeight="1" x14ac:dyDescent="0.25">
      <c r="A309"/>
      <c r="B309"/>
      <c r="C309"/>
      <c r="D309"/>
      <c r="E309"/>
      <c r="F309"/>
      <c r="G309"/>
      <c r="H309"/>
      <c r="I309"/>
      <c r="J309"/>
      <c r="Z309" s="23"/>
    </row>
    <row r="310" spans="1:26" ht="14.45" customHeight="1" x14ac:dyDescent="0.25">
      <c r="A310"/>
      <c r="B310"/>
      <c r="C310"/>
      <c r="D310"/>
      <c r="E310"/>
      <c r="F310"/>
      <c r="G310"/>
      <c r="H310"/>
      <c r="I310"/>
      <c r="J310"/>
      <c r="Z310" s="23"/>
    </row>
    <row r="311" spans="1:26" ht="14.45" customHeight="1" x14ac:dyDescent="0.25">
      <c r="A311"/>
      <c r="B311"/>
      <c r="C311"/>
      <c r="D311"/>
      <c r="E311"/>
      <c r="F311"/>
      <c r="G311"/>
      <c r="H311"/>
      <c r="I311"/>
      <c r="J311"/>
      <c r="Z311" s="23"/>
    </row>
    <row r="312" spans="1:26" ht="14.45" customHeight="1" x14ac:dyDescent="0.25">
      <c r="A312"/>
      <c r="B312"/>
      <c r="C312"/>
      <c r="D312"/>
      <c r="E312"/>
      <c r="F312"/>
      <c r="G312"/>
      <c r="H312"/>
      <c r="I312"/>
      <c r="J312"/>
      <c r="Z312" s="23"/>
    </row>
    <row r="313" spans="1:26" ht="14.45" customHeight="1" x14ac:dyDescent="0.25">
      <c r="A313"/>
      <c r="B313"/>
      <c r="C313"/>
      <c r="D313"/>
      <c r="E313"/>
      <c r="F313"/>
      <c r="G313"/>
      <c r="H313"/>
      <c r="I313"/>
      <c r="J313"/>
      <c r="Z313" s="23"/>
    </row>
    <row r="314" spans="1:26" ht="14.45" customHeight="1" x14ac:dyDescent="0.25">
      <c r="A314"/>
      <c r="B314"/>
      <c r="C314"/>
      <c r="D314"/>
      <c r="E314"/>
      <c r="F314"/>
      <c r="G314"/>
      <c r="H314"/>
      <c r="I314"/>
      <c r="J314"/>
      <c r="Z314" s="23"/>
    </row>
    <row r="315" spans="1:26" ht="14.45" customHeight="1" x14ac:dyDescent="0.25">
      <c r="A315"/>
      <c r="B315"/>
      <c r="C315"/>
      <c r="D315"/>
      <c r="E315"/>
      <c r="F315"/>
      <c r="G315"/>
      <c r="H315"/>
      <c r="I315"/>
      <c r="J315"/>
      <c r="Z315" s="23"/>
    </row>
    <row r="316" spans="1:26" ht="14.45" customHeight="1" x14ac:dyDescent="0.25">
      <c r="A316"/>
      <c r="B316"/>
      <c r="C316"/>
      <c r="D316"/>
      <c r="E316"/>
      <c r="F316"/>
      <c r="G316"/>
      <c r="H316"/>
      <c r="I316"/>
      <c r="J316"/>
      <c r="Z316" s="23"/>
    </row>
    <row r="317" spans="1:26" ht="14.45" customHeight="1" x14ac:dyDescent="0.25">
      <c r="A317"/>
      <c r="B317"/>
      <c r="C317"/>
      <c r="D317"/>
      <c r="E317"/>
      <c r="F317"/>
      <c r="G317"/>
      <c r="H317"/>
      <c r="I317"/>
      <c r="J317"/>
      <c r="Z317" s="23"/>
    </row>
    <row r="318" spans="1:26" ht="14.45" customHeight="1" x14ac:dyDescent="0.25">
      <c r="A318"/>
      <c r="B318"/>
      <c r="C318"/>
      <c r="D318"/>
      <c r="E318"/>
      <c r="F318"/>
      <c r="G318"/>
      <c r="H318"/>
      <c r="I318"/>
      <c r="J318"/>
      <c r="Z318" s="23"/>
    </row>
    <row r="319" spans="1:26" ht="14.45" customHeight="1" x14ac:dyDescent="0.25">
      <c r="A319"/>
      <c r="B319"/>
      <c r="C319"/>
      <c r="D319"/>
      <c r="E319"/>
      <c r="F319"/>
      <c r="G319"/>
      <c r="H319"/>
      <c r="I319"/>
      <c r="J319"/>
      <c r="Z319" s="23"/>
    </row>
    <row r="320" spans="1:26" ht="14.45" customHeight="1" x14ac:dyDescent="0.25">
      <c r="A320"/>
      <c r="B320"/>
      <c r="C320"/>
      <c r="D320"/>
      <c r="E320"/>
      <c r="F320"/>
      <c r="G320"/>
      <c r="H320"/>
      <c r="I320"/>
      <c r="J320"/>
      <c r="Z320" s="23"/>
    </row>
    <row r="321" spans="1:26" ht="14.45" customHeight="1" x14ac:dyDescent="0.25">
      <c r="A321"/>
      <c r="B321"/>
      <c r="C321"/>
      <c r="D321"/>
      <c r="E321"/>
      <c r="F321"/>
      <c r="G321"/>
      <c r="H321"/>
      <c r="I321"/>
      <c r="J321"/>
      <c r="Z321" s="23"/>
    </row>
    <row r="322" spans="1:26" ht="14.45" customHeight="1" x14ac:dyDescent="0.25">
      <c r="A322"/>
      <c r="B322"/>
      <c r="C322"/>
      <c r="D322"/>
      <c r="E322"/>
      <c r="F322"/>
      <c r="G322"/>
      <c r="H322"/>
      <c r="I322"/>
      <c r="J322"/>
      <c r="Z322" s="23"/>
    </row>
    <row r="323" spans="1:26" ht="14.45" customHeight="1" x14ac:dyDescent="0.25">
      <c r="A323"/>
      <c r="B323"/>
      <c r="C323"/>
      <c r="D323"/>
      <c r="E323"/>
      <c r="F323"/>
      <c r="G323"/>
      <c r="H323"/>
      <c r="I323"/>
      <c r="J323"/>
      <c r="Z323" s="23"/>
    </row>
    <row r="324" spans="1:26" ht="14.45" customHeight="1" x14ac:dyDescent="0.25">
      <c r="A324"/>
      <c r="B324"/>
      <c r="C324"/>
      <c r="D324"/>
      <c r="E324"/>
      <c r="F324"/>
      <c r="G324"/>
      <c r="H324"/>
      <c r="I324"/>
      <c r="J324"/>
      <c r="Z324" s="23"/>
    </row>
    <row r="325" spans="1:26" ht="14.45" customHeight="1" x14ac:dyDescent="0.25">
      <c r="A325"/>
      <c r="B325"/>
      <c r="C325"/>
      <c r="D325"/>
      <c r="E325"/>
      <c r="F325"/>
      <c r="G325"/>
      <c r="H325"/>
      <c r="I325"/>
      <c r="J325"/>
      <c r="Z325" s="23"/>
    </row>
    <row r="326" spans="1:26" ht="14.45" customHeight="1" x14ac:dyDescent="0.25">
      <c r="A326"/>
      <c r="B326"/>
      <c r="C326"/>
      <c r="D326"/>
      <c r="E326"/>
      <c r="F326"/>
      <c r="G326"/>
      <c r="H326"/>
      <c r="I326"/>
      <c r="J326"/>
      <c r="Z326" s="23"/>
    </row>
    <row r="327" spans="1:26" ht="14.45" customHeight="1" x14ac:dyDescent="0.25">
      <c r="A327"/>
      <c r="B327"/>
      <c r="C327"/>
      <c r="D327"/>
      <c r="E327"/>
      <c r="F327"/>
      <c r="G327"/>
      <c r="H327"/>
      <c r="I327"/>
      <c r="J327"/>
      <c r="Z327" s="23"/>
    </row>
    <row r="328" spans="1:26" ht="14.45" customHeight="1" x14ac:dyDescent="0.25">
      <c r="A328"/>
      <c r="B328"/>
      <c r="C328"/>
      <c r="D328"/>
      <c r="E328"/>
      <c r="F328"/>
      <c r="G328"/>
      <c r="H328"/>
      <c r="I328"/>
      <c r="J328"/>
      <c r="Z328" s="23"/>
    </row>
    <row r="329" spans="1:26" ht="14.45" customHeight="1" x14ac:dyDescent="0.25">
      <c r="A329"/>
      <c r="B329"/>
      <c r="C329"/>
      <c r="D329"/>
      <c r="E329"/>
      <c r="F329"/>
      <c r="G329"/>
      <c r="H329"/>
      <c r="I329"/>
      <c r="J329"/>
      <c r="Z329" s="23"/>
    </row>
    <row r="330" spans="1:26" ht="14.45" customHeight="1" x14ac:dyDescent="0.25">
      <c r="A330"/>
      <c r="B330"/>
      <c r="C330"/>
      <c r="D330"/>
      <c r="E330"/>
      <c r="F330"/>
      <c r="G330"/>
      <c r="H330"/>
      <c r="I330"/>
      <c r="J330"/>
      <c r="Z330" s="23"/>
    </row>
    <row r="331" spans="1:26" ht="14.45" customHeight="1" x14ac:dyDescent="0.25">
      <c r="A331"/>
      <c r="B331"/>
      <c r="C331"/>
      <c r="D331"/>
      <c r="E331"/>
      <c r="F331"/>
      <c r="G331"/>
      <c r="H331"/>
      <c r="I331"/>
      <c r="J331"/>
      <c r="Z331" s="23"/>
    </row>
    <row r="332" spans="1:26" ht="14.45" customHeight="1" x14ac:dyDescent="0.25">
      <c r="A332"/>
      <c r="B332"/>
      <c r="C332"/>
      <c r="D332"/>
      <c r="E332"/>
      <c r="F332"/>
      <c r="G332"/>
      <c r="H332"/>
      <c r="I332"/>
      <c r="J332"/>
      <c r="Z332" s="23"/>
    </row>
    <row r="333" spans="1:26" ht="14.45" customHeight="1" x14ac:dyDescent="0.25">
      <c r="A333"/>
      <c r="B333"/>
      <c r="C333"/>
      <c r="D333"/>
      <c r="E333"/>
      <c r="F333"/>
      <c r="G333"/>
      <c r="H333"/>
      <c r="I333"/>
      <c r="J333"/>
      <c r="Z333" s="23"/>
    </row>
    <row r="334" spans="1:26" ht="14.45" customHeight="1" x14ac:dyDescent="0.25">
      <c r="A334"/>
      <c r="B334"/>
      <c r="C334"/>
      <c r="D334"/>
      <c r="E334"/>
      <c r="F334"/>
      <c r="G334"/>
      <c r="H334"/>
      <c r="I334"/>
      <c r="J334"/>
      <c r="Z334" s="23"/>
    </row>
    <row r="335" spans="1:26" ht="14.45" customHeight="1" x14ac:dyDescent="0.25">
      <c r="A335"/>
      <c r="B335"/>
      <c r="C335"/>
      <c r="D335"/>
      <c r="E335"/>
      <c r="F335"/>
      <c r="G335"/>
      <c r="H335"/>
      <c r="I335"/>
      <c r="J335"/>
      <c r="Z335" s="23"/>
    </row>
    <row r="336" spans="1:26" ht="14.45" customHeight="1" x14ac:dyDescent="0.25">
      <c r="A336"/>
      <c r="B336"/>
      <c r="C336"/>
      <c r="D336"/>
      <c r="E336"/>
      <c r="F336"/>
      <c r="G336"/>
      <c r="H336"/>
      <c r="I336"/>
      <c r="J336"/>
      <c r="Z336" s="23"/>
    </row>
    <row r="337" spans="1:29" ht="14.45" customHeight="1" x14ac:dyDescent="0.25">
      <c r="A337"/>
      <c r="B337"/>
      <c r="C337"/>
      <c r="D337"/>
      <c r="E337"/>
      <c r="F337"/>
      <c r="G337"/>
      <c r="H337"/>
      <c r="I337"/>
      <c r="J337"/>
      <c r="Z337" s="23"/>
    </row>
    <row r="338" spans="1:29" ht="14.45" customHeight="1" x14ac:dyDescent="0.25">
      <c r="A338"/>
      <c r="B338"/>
      <c r="C338"/>
      <c r="D338"/>
      <c r="E338"/>
      <c r="F338"/>
      <c r="G338"/>
      <c r="H338"/>
      <c r="I338"/>
      <c r="J338"/>
      <c r="Z338" s="23"/>
    </row>
    <row r="339" spans="1:29" ht="14.45" customHeight="1" x14ac:dyDescent="0.25">
      <c r="A339"/>
      <c r="B339"/>
      <c r="C339"/>
      <c r="D339"/>
      <c r="E339"/>
      <c r="F339"/>
      <c r="G339"/>
      <c r="H339"/>
      <c r="I339"/>
      <c r="J339"/>
      <c r="Z339" s="23"/>
    </row>
    <row r="340" spans="1:29" ht="14.45" customHeight="1" x14ac:dyDescent="0.25">
      <c r="A340"/>
      <c r="B340"/>
      <c r="C340"/>
      <c r="D340"/>
      <c r="E340"/>
      <c r="F340"/>
      <c r="G340"/>
      <c r="H340"/>
      <c r="I340"/>
      <c r="J340"/>
      <c r="Z340" s="23"/>
    </row>
    <row r="341" spans="1:29" ht="14.45" customHeight="1" x14ac:dyDescent="0.25">
      <c r="A341"/>
      <c r="B341"/>
      <c r="C341"/>
      <c r="D341"/>
      <c r="E341"/>
      <c r="F341"/>
      <c r="G341"/>
      <c r="H341"/>
      <c r="I341"/>
      <c r="J341"/>
      <c r="Z341" s="23"/>
    </row>
    <row r="342" spans="1:29" ht="14.45" customHeight="1" x14ac:dyDescent="0.25">
      <c r="A342"/>
      <c r="B342"/>
      <c r="C342"/>
      <c r="D342"/>
      <c r="E342"/>
      <c r="F342"/>
      <c r="G342"/>
      <c r="H342"/>
      <c r="I342"/>
      <c r="J342"/>
      <c r="Z342" s="23"/>
    </row>
    <row r="343" spans="1:29" ht="14.45" customHeight="1" x14ac:dyDescent="0.25">
      <c r="A343"/>
      <c r="B343"/>
      <c r="C343"/>
      <c r="D343"/>
      <c r="E343"/>
      <c r="F343"/>
      <c r="G343"/>
      <c r="H343"/>
      <c r="I343"/>
      <c r="J343"/>
      <c r="Z343" s="23"/>
    </row>
    <row r="344" spans="1:29" ht="14.45" customHeight="1" x14ac:dyDescent="0.25">
      <c r="A344"/>
      <c r="B344"/>
      <c r="C344"/>
      <c r="D344"/>
      <c r="E344"/>
      <c r="F344"/>
      <c r="G344"/>
      <c r="H344"/>
      <c r="I344"/>
      <c r="J344"/>
      <c r="Z344" s="23"/>
    </row>
    <row r="345" spans="1:29" ht="14.45" customHeight="1" x14ac:dyDescent="0.25">
      <c r="A345"/>
      <c r="B345"/>
      <c r="C345"/>
      <c r="D345"/>
      <c r="E345"/>
      <c r="F345"/>
      <c r="G345"/>
      <c r="H345"/>
      <c r="I345"/>
      <c r="J345"/>
      <c r="Z345" s="23"/>
    </row>
    <row r="346" spans="1:29" ht="14.45" customHeight="1" x14ac:dyDescent="0.25">
      <c r="A346"/>
      <c r="B346"/>
      <c r="C346"/>
      <c r="D346"/>
      <c r="E346"/>
      <c r="F346"/>
      <c r="G346"/>
      <c r="H346"/>
      <c r="I346"/>
      <c r="J346"/>
      <c r="Z346" s="23"/>
    </row>
    <row r="347" spans="1:29" ht="14.45" customHeight="1" x14ac:dyDescent="0.25">
      <c r="A347"/>
      <c r="B347"/>
      <c r="C347"/>
      <c r="D347"/>
      <c r="E347"/>
      <c r="F347"/>
      <c r="G347"/>
      <c r="H347"/>
      <c r="I347"/>
      <c r="J347"/>
      <c r="Z347" s="23"/>
    </row>
    <row r="348" spans="1:29" ht="14.45" customHeight="1" x14ac:dyDescent="0.25">
      <c r="A348"/>
      <c r="B348"/>
      <c r="C348"/>
      <c r="D348"/>
      <c r="E348"/>
      <c r="F348"/>
      <c r="G348"/>
      <c r="H348"/>
      <c r="I348"/>
      <c r="J348"/>
      <c r="Z348" s="23"/>
    </row>
    <row r="349" spans="1:29" ht="14.45" customHeight="1" x14ac:dyDescent="0.25">
      <c r="A349"/>
      <c r="B349"/>
      <c r="C349"/>
      <c r="D349"/>
      <c r="E349"/>
      <c r="F349"/>
      <c r="G349"/>
      <c r="H349"/>
      <c r="I349"/>
      <c r="J349"/>
      <c r="Z349" s="23"/>
    </row>
    <row r="350" spans="1:29" ht="14.45" customHeight="1" x14ac:dyDescent="0.25">
      <c r="A350"/>
      <c r="B350"/>
      <c r="C350"/>
      <c r="D350"/>
      <c r="E350"/>
      <c r="F350"/>
      <c r="G350"/>
      <c r="H350"/>
      <c r="I350"/>
      <c r="J350"/>
      <c r="Z350" s="23"/>
    </row>
    <row r="351" spans="1:29" x14ac:dyDescent="0.25">
      <c r="L351" s="27"/>
      <c r="X351" s="27"/>
      <c r="Y351" s="27"/>
      <c r="Z351" s="27"/>
    </row>
    <row r="352" spans="1:29" x14ac:dyDescent="0.25">
      <c r="A352"/>
      <c r="B352"/>
      <c r="C352"/>
      <c r="D352"/>
      <c r="E352"/>
      <c r="F352"/>
      <c r="G352"/>
      <c r="H352"/>
      <c r="I352"/>
      <c r="J352"/>
      <c r="Z352" s="210"/>
      <c r="AA352" s="202" t="str" cm="1">
        <f t="array" ref="AA352:AC352">AA6:AC6</f>
        <v>Pt Froid</v>
      </c>
      <c r="AB352" s="202" t="str">
        <v>Regulation</v>
      </c>
      <c r="AC352" s="202" t="str">
        <v>Pt Chaud</v>
      </c>
    </row>
    <row r="353" spans="1:31" x14ac:dyDescent="0.25">
      <c r="A353"/>
      <c r="B353"/>
      <c r="C353"/>
      <c r="D353"/>
      <c r="E353"/>
      <c r="F353"/>
      <c r="G353"/>
      <c r="H353"/>
      <c r="I353"/>
      <c r="J353"/>
      <c r="Z353" s="198" t="s">
        <v>90</v>
      </c>
      <c r="AA353" s="43">
        <f>MAX(tab_four80[Pt Froid])</f>
        <v>0</v>
      </c>
      <c r="AB353" s="43">
        <f>MAX(tab_four80[Regulation])</f>
        <v>0</v>
      </c>
      <c r="AC353" s="43">
        <f>MAX(tab_four80[Pt Chaud])</f>
        <v>0</v>
      </c>
    </row>
    <row r="354" spans="1:31" x14ac:dyDescent="0.25">
      <c r="A354"/>
      <c r="B354"/>
      <c r="C354"/>
      <c r="D354"/>
      <c r="E354"/>
      <c r="F354"/>
      <c r="G354"/>
      <c r="H354"/>
      <c r="I354"/>
      <c r="J354"/>
      <c r="Z354" s="198" t="s">
        <v>91</v>
      </c>
      <c r="AA354" s="43" t="e">
        <f ca="1">MAX(OFFSET(INDEX(tab_four80[Pt Froid],1),COUNT(tab_four80[Pt Froid])-30,0,30))</f>
        <v>#REF!</v>
      </c>
      <c r="AB354" s="43" t="e">
        <f ca="1">MAX(OFFSET(INDEX(tab_four80[Regulation],1),COUNT(tab_four80[Regulation])-30,0,30))</f>
        <v>#REF!</v>
      </c>
      <c r="AC354" s="43" t="e">
        <f ca="1">MAX(OFFSET(INDEX(tab_four80[Pt Chaud],1),COUNT(tab_four80[Pt Chaud])-30,0,30))</f>
        <v>#REF!</v>
      </c>
    </row>
    <row r="355" spans="1:31" x14ac:dyDescent="0.25">
      <c r="A355"/>
      <c r="B355"/>
      <c r="C355"/>
      <c r="D355"/>
      <c r="E355"/>
      <c r="F355"/>
      <c r="G355"/>
      <c r="H355"/>
      <c r="I355"/>
      <c r="J355"/>
      <c r="Z355" s="198" t="s">
        <v>93</v>
      </c>
      <c r="AA355" s="43" t="e">
        <f ca="1">MIN(OFFSET(INDEX(tab_four80[Pt Froid],1),COUNT(tab_four80[Pt Froid])-30,0,30))</f>
        <v>#REF!</v>
      </c>
      <c r="AB355" s="43" t="e">
        <f ca="1">MIN(OFFSET(INDEX(tab_four80[Regulation],1),COUNT(tab_four80[Regulation])-30,0,30))</f>
        <v>#REF!</v>
      </c>
      <c r="AC355" s="43" t="e">
        <f ca="1">MIN(OFFSET(INDEX(tab_four80[Pt Chaud],1),COUNT(tab_four80[Pt Chaud])-30,0,30))</f>
        <v>#REF!</v>
      </c>
    </row>
    <row r="356" spans="1:31" x14ac:dyDescent="0.25">
      <c r="A356"/>
      <c r="B356"/>
      <c r="C356"/>
      <c r="D356"/>
      <c r="E356"/>
      <c r="F356"/>
      <c r="G356"/>
      <c r="H356"/>
      <c r="I356"/>
      <c r="J356"/>
      <c r="Z356" s="198" t="s">
        <v>95</v>
      </c>
      <c r="AA356" s="43" t="e">
        <f ca="1">AVERAGE(OFFSET(INDEX(tab_four80[Pt Froid],1),COUNT(tab_four80[Pt Froid])-30,0,30))</f>
        <v>#REF!</v>
      </c>
      <c r="AB356" s="43" t="e">
        <f ca="1">AVERAGE(OFFSET(INDEX(tab_four80[Regulation],1),COUNT(tab_four80[Regulation])-30,0,30))</f>
        <v>#REF!</v>
      </c>
      <c r="AC356" s="43" t="e">
        <f ca="1">AVERAGE(OFFSET(INDEX(tab_four80[Pt Chaud],1),COUNT(tab_four80[Pt Chaud])-30,0,30))</f>
        <v>#REF!</v>
      </c>
    </row>
    <row r="357" spans="1:31" x14ac:dyDescent="0.25">
      <c r="A357"/>
      <c r="B357"/>
      <c r="C357"/>
      <c r="D357"/>
      <c r="E357"/>
      <c r="F357"/>
      <c r="G357"/>
      <c r="H357"/>
      <c r="I357"/>
      <c r="J357"/>
      <c r="Z357" s="210"/>
    </row>
    <row r="358" spans="1:31" x14ac:dyDescent="0.25">
      <c r="A358"/>
      <c r="B358"/>
      <c r="C358"/>
      <c r="D358"/>
      <c r="E358"/>
      <c r="F358"/>
      <c r="G358"/>
      <c r="H358"/>
      <c r="I358"/>
      <c r="J358"/>
      <c r="Z358" s="210"/>
    </row>
    <row r="359" spans="1:31" s="27" customFormat="1" x14ac:dyDescent="0.25">
      <c r="A359"/>
      <c r="B359"/>
      <c r="C359"/>
      <c r="D359"/>
      <c r="E359"/>
      <c r="F359"/>
      <c r="G359"/>
      <c r="H359"/>
      <c r="I359"/>
      <c r="J359"/>
      <c r="L359"/>
      <c r="M359"/>
      <c r="N359"/>
      <c r="O359"/>
      <c r="P359"/>
      <c r="Q359"/>
      <c r="R359"/>
      <c r="S359"/>
      <c r="T359"/>
      <c r="U359"/>
      <c r="V359"/>
      <c r="X359"/>
      <c r="Y359"/>
      <c r="Z359" s="210"/>
      <c r="AD359"/>
      <c r="AE359"/>
    </row>
    <row r="360" spans="1:31" s="27" customFormat="1" x14ac:dyDescent="0.25">
      <c r="A360"/>
      <c r="B360"/>
      <c r="C360"/>
      <c r="D360"/>
      <c r="E360"/>
      <c r="F360"/>
      <c r="G360"/>
      <c r="H360"/>
      <c r="I360"/>
      <c r="J360"/>
      <c r="L360"/>
      <c r="M360"/>
      <c r="N360"/>
      <c r="O360"/>
      <c r="P360"/>
      <c r="Q360"/>
      <c r="R360"/>
      <c r="S360"/>
      <c r="T360"/>
      <c r="U360"/>
      <c r="V360"/>
      <c r="X360"/>
      <c r="Y360"/>
      <c r="Z360" s="210"/>
      <c r="AD360"/>
      <c r="AE360"/>
    </row>
    <row r="361" spans="1:31" s="27" customFormat="1" x14ac:dyDescent="0.25">
      <c r="A361"/>
      <c r="B361"/>
      <c r="C361"/>
      <c r="D361"/>
      <c r="E361"/>
      <c r="F361"/>
      <c r="G361"/>
      <c r="H361"/>
      <c r="I361"/>
      <c r="J361"/>
      <c r="L361"/>
      <c r="M361"/>
      <c r="N361"/>
      <c r="O361"/>
      <c r="P361"/>
      <c r="Q361"/>
      <c r="R361"/>
      <c r="S361"/>
      <c r="T361"/>
      <c r="U361"/>
      <c r="V361"/>
      <c r="X361"/>
      <c r="Y361"/>
      <c r="Z361" s="210"/>
      <c r="AD361"/>
      <c r="AE361"/>
    </row>
    <row r="362" spans="1:31" s="27" customFormat="1" x14ac:dyDescent="0.25">
      <c r="A362"/>
      <c r="B362"/>
      <c r="C362"/>
      <c r="D362"/>
      <c r="E362"/>
      <c r="F362"/>
      <c r="G362"/>
      <c r="H362"/>
      <c r="I362"/>
      <c r="J362"/>
      <c r="L362"/>
      <c r="M362"/>
      <c r="N362"/>
      <c r="O362"/>
      <c r="P362"/>
      <c r="Q362"/>
      <c r="R362"/>
      <c r="S362"/>
      <c r="T362"/>
      <c r="U362"/>
      <c r="V362"/>
      <c r="X362"/>
      <c r="Y362"/>
      <c r="Z362" s="210"/>
      <c r="AD362"/>
      <c r="AE362"/>
    </row>
    <row r="363" spans="1:31" s="27" customFormat="1" x14ac:dyDescent="0.25">
      <c r="A363"/>
      <c r="B363"/>
      <c r="C363"/>
      <c r="D363"/>
      <c r="E363"/>
      <c r="F363"/>
      <c r="G363"/>
      <c r="H363"/>
      <c r="I363"/>
      <c r="J363"/>
      <c r="L363"/>
      <c r="M363"/>
      <c r="N363"/>
      <c r="O363"/>
      <c r="P363"/>
      <c r="Q363"/>
      <c r="R363"/>
      <c r="S363"/>
      <c r="T363"/>
      <c r="U363"/>
      <c r="V363"/>
      <c r="X363"/>
      <c r="Y363"/>
      <c r="Z363" s="210"/>
      <c r="AD363"/>
      <c r="AE363"/>
    </row>
    <row r="364" spans="1:31" s="27" customFormat="1" x14ac:dyDescent="0.25">
      <c r="A364"/>
      <c r="B364"/>
      <c r="C364"/>
      <c r="D364"/>
      <c r="E364"/>
      <c r="F364"/>
      <c r="G364"/>
      <c r="H364"/>
      <c r="I364"/>
      <c r="J364"/>
      <c r="L364"/>
      <c r="M364"/>
      <c r="N364"/>
      <c r="O364"/>
      <c r="P364"/>
      <c r="Q364"/>
      <c r="R364"/>
      <c r="S364"/>
      <c r="T364"/>
      <c r="U364"/>
      <c r="V364"/>
      <c r="X364"/>
      <c r="Y364"/>
      <c r="Z364" s="210"/>
      <c r="AD364"/>
      <c r="AE364"/>
    </row>
    <row r="365" spans="1:31" s="27" customFormat="1" x14ac:dyDescent="0.25">
      <c r="A365"/>
      <c r="B365"/>
      <c r="C365"/>
      <c r="D365"/>
      <c r="E365"/>
      <c r="F365"/>
      <c r="G365"/>
      <c r="H365"/>
      <c r="I365"/>
      <c r="J365"/>
      <c r="L365"/>
      <c r="M365"/>
      <c r="N365"/>
      <c r="O365"/>
      <c r="P365"/>
      <c r="Q365"/>
      <c r="R365"/>
      <c r="S365"/>
      <c r="T365"/>
      <c r="U365"/>
      <c r="V365"/>
      <c r="X365"/>
      <c r="Y365"/>
      <c r="Z365" s="210"/>
      <c r="AD365"/>
      <c r="AE365"/>
    </row>
    <row r="366" spans="1:31" s="27" customFormat="1" x14ac:dyDescent="0.25">
      <c r="A366"/>
      <c r="B366"/>
      <c r="C366"/>
      <c r="D366"/>
      <c r="E366"/>
      <c r="F366"/>
      <c r="G366"/>
      <c r="H366"/>
      <c r="I366"/>
      <c r="J366"/>
      <c r="L366"/>
      <c r="M366"/>
      <c r="N366"/>
      <c r="O366"/>
      <c r="P366"/>
      <c r="Q366"/>
      <c r="R366"/>
      <c r="S366"/>
      <c r="T366"/>
      <c r="U366"/>
      <c r="V366"/>
      <c r="X366"/>
      <c r="Y366"/>
      <c r="Z366" s="210"/>
      <c r="AD366"/>
      <c r="AE366"/>
    </row>
    <row r="367" spans="1:31" s="27" customFormat="1" x14ac:dyDescent="0.25">
      <c r="A367"/>
      <c r="B367"/>
      <c r="C367"/>
      <c r="D367"/>
      <c r="E367"/>
      <c r="F367"/>
      <c r="G367"/>
      <c r="H367"/>
      <c r="I367"/>
      <c r="J367"/>
      <c r="L367"/>
      <c r="M367"/>
      <c r="N367"/>
      <c r="O367"/>
      <c r="P367"/>
      <c r="Q367"/>
      <c r="R367"/>
      <c r="S367"/>
      <c r="T367"/>
      <c r="U367"/>
      <c r="V367"/>
      <c r="X367"/>
      <c r="Y367"/>
      <c r="Z367" s="210"/>
      <c r="AD367"/>
      <c r="AE367"/>
    </row>
    <row r="368" spans="1:31" s="27" customFormat="1" x14ac:dyDescent="0.25">
      <c r="A368"/>
      <c r="B368"/>
      <c r="C368"/>
      <c r="D368"/>
      <c r="E368"/>
      <c r="F368"/>
      <c r="G368"/>
      <c r="H368"/>
      <c r="I368"/>
      <c r="J368"/>
      <c r="L368"/>
      <c r="M368"/>
      <c r="N368"/>
      <c r="O368"/>
      <c r="P368"/>
      <c r="Q368"/>
      <c r="R368"/>
      <c r="S368"/>
      <c r="T368"/>
      <c r="U368"/>
      <c r="V368"/>
      <c r="X368"/>
      <c r="Y368"/>
      <c r="Z368" s="210"/>
      <c r="AD368"/>
      <c r="AE368"/>
    </row>
    <row r="369" spans="1:31" s="27" customFormat="1" x14ac:dyDescent="0.25">
      <c r="A369"/>
      <c r="B369"/>
      <c r="C369"/>
      <c r="D369"/>
      <c r="E369"/>
      <c r="F369"/>
      <c r="G369"/>
      <c r="H369"/>
      <c r="I369"/>
      <c r="J369"/>
      <c r="L369"/>
      <c r="M369"/>
      <c r="N369"/>
      <c r="O369"/>
      <c r="P369"/>
      <c r="Q369"/>
      <c r="R369"/>
      <c r="S369"/>
      <c r="T369"/>
      <c r="U369"/>
      <c r="V369"/>
      <c r="X369"/>
      <c r="Y369"/>
      <c r="Z369" s="210"/>
      <c r="AD369"/>
      <c r="AE369"/>
    </row>
    <row r="370" spans="1:31" s="27" customFormat="1" x14ac:dyDescent="0.25">
      <c r="A370"/>
      <c r="B370"/>
      <c r="C370"/>
      <c r="D370"/>
      <c r="E370"/>
      <c r="F370"/>
      <c r="G370"/>
      <c r="H370"/>
      <c r="I370"/>
      <c r="J370"/>
      <c r="L370"/>
      <c r="M370"/>
      <c r="N370"/>
      <c r="O370"/>
      <c r="P370"/>
      <c r="Q370"/>
      <c r="R370"/>
      <c r="S370"/>
      <c r="T370"/>
      <c r="U370"/>
      <c r="V370"/>
      <c r="X370"/>
      <c r="Y370"/>
      <c r="Z370" s="210"/>
      <c r="AD370"/>
      <c r="AE370"/>
    </row>
    <row r="371" spans="1:31" s="27" customFormat="1" x14ac:dyDescent="0.25">
      <c r="A371"/>
      <c r="B371"/>
      <c r="C371"/>
      <c r="D371"/>
      <c r="E371"/>
      <c r="F371"/>
      <c r="G371"/>
      <c r="H371"/>
      <c r="I371"/>
      <c r="J371"/>
      <c r="L371"/>
      <c r="M371"/>
      <c r="N371"/>
      <c r="O371"/>
      <c r="P371"/>
      <c r="Q371"/>
      <c r="R371"/>
      <c r="S371"/>
      <c r="T371"/>
      <c r="U371"/>
      <c r="V371"/>
      <c r="X371"/>
      <c r="Y371"/>
      <c r="Z371" s="210"/>
      <c r="AD371"/>
      <c r="AE371"/>
    </row>
    <row r="372" spans="1:31" s="27" customFormat="1" x14ac:dyDescent="0.25">
      <c r="A372"/>
      <c r="B372"/>
      <c r="C372"/>
      <c r="D372"/>
      <c r="E372"/>
      <c r="F372"/>
      <c r="G372"/>
      <c r="H372"/>
      <c r="I372"/>
      <c r="J372"/>
      <c r="L372"/>
      <c r="M372"/>
      <c r="N372"/>
      <c r="O372"/>
      <c r="P372"/>
      <c r="Q372"/>
      <c r="R372"/>
      <c r="S372"/>
      <c r="T372"/>
      <c r="U372"/>
      <c r="V372"/>
      <c r="X372"/>
      <c r="Y372"/>
      <c r="Z372" s="210"/>
      <c r="AD372"/>
      <c r="AE372"/>
    </row>
    <row r="373" spans="1:31" s="27" customFormat="1" x14ac:dyDescent="0.25">
      <c r="A373"/>
      <c r="B373"/>
      <c r="C373"/>
      <c r="D373"/>
      <c r="E373"/>
      <c r="F373"/>
      <c r="G373"/>
      <c r="H373"/>
      <c r="I373"/>
      <c r="J373"/>
      <c r="L373"/>
      <c r="M373"/>
      <c r="N373"/>
      <c r="O373"/>
      <c r="P373"/>
      <c r="Q373"/>
      <c r="R373"/>
      <c r="S373"/>
      <c r="T373"/>
      <c r="U373"/>
      <c r="V373"/>
      <c r="X373"/>
      <c r="Y373"/>
      <c r="Z373" s="210"/>
      <c r="AD373"/>
      <c r="AE373"/>
    </row>
    <row r="374" spans="1:31" s="27" customFormat="1" x14ac:dyDescent="0.25">
      <c r="A374"/>
      <c r="B374"/>
      <c r="C374"/>
      <c r="D374"/>
      <c r="E374"/>
      <c r="F374"/>
      <c r="G374"/>
      <c r="H374"/>
      <c r="I374"/>
      <c r="J374"/>
      <c r="L374"/>
      <c r="M374"/>
      <c r="N374"/>
      <c r="O374"/>
      <c r="P374"/>
      <c r="Q374"/>
      <c r="R374"/>
      <c r="S374"/>
      <c r="T374"/>
      <c r="U374"/>
      <c r="V374"/>
      <c r="X374"/>
      <c r="Y374"/>
      <c r="Z374" s="210"/>
      <c r="AD374"/>
      <c r="AE374"/>
    </row>
    <row r="375" spans="1:31" s="27" customFormat="1" x14ac:dyDescent="0.25">
      <c r="A375"/>
      <c r="B375"/>
      <c r="C375"/>
      <c r="D375"/>
      <c r="E375"/>
      <c r="F375"/>
      <c r="G375"/>
      <c r="H375"/>
      <c r="I375"/>
      <c r="J375"/>
      <c r="L375"/>
      <c r="M375"/>
      <c r="N375"/>
      <c r="O375"/>
      <c r="P375"/>
      <c r="Q375"/>
      <c r="R375"/>
      <c r="S375"/>
      <c r="T375"/>
      <c r="U375"/>
      <c r="V375"/>
      <c r="X375"/>
      <c r="Y375"/>
      <c r="Z375" s="210"/>
      <c r="AD375"/>
      <c r="AE375"/>
    </row>
    <row r="376" spans="1:31" s="27" customFormat="1" x14ac:dyDescent="0.25">
      <c r="A376"/>
      <c r="B376"/>
      <c r="C376"/>
      <c r="D376"/>
      <c r="E376"/>
      <c r="F376"/>
      <c r="G376"/>
      <c r="H376"/>
      <c r="I376"/>
      <c r="J376"/>
      <c r="L376"/>
      <c r="M376"/>
      <c r="N376"/>
      <c r="O376"/>
      <c r="P376"/>
      <c r="Q376"/>
      <c r="R376"/>
      <c r="S376"/>
      <c r="T376"/>
      <c r="U376"/>
      <c r="V376"/>
      <c r="X376"/>
      <c r="Y376"/>
      <c r="Z376" s="210"/>
      <c r="AD376"/>
      <c r="AE376"/>
    </row>
    <row r="377" spans="1:31" s="27" customFormat="1" x14ac:dyDescent="0.25">
      <c r="A377"/>
      <c r="B377"/>
      <c r="C377"/>
      <c r="D377"/>
      <c r="E377"/>
      <c r="F377"/>
      <c r="G377"/>
      <c r="H377"/>
      <c r="I377"/>
      <c r="J377"/>
      <c r="L377"/>
      <c r="M377"/>
      <c r="N377"/>
      <c r="O377"/>
      <c r="P377"/>
      <c r="Q377"/>
      <c r="R377"/>
      <c r="S377"/>
      <c r="T377"/>
      <c r="U377"/>
      <c r="V377"/>
      <c r="X377"/>
      <c r="Y377"/>
      <c r="Z377" s="210"/>
      <c r="AD377"/>
      <c r="AE377"/>
    </row>
    <row r="378" spans="1:31" s="27" customFormat="1" x14ac:dyDescent="0.25">
      <c r="A378"/>
      <c r="B378"/>
      <c r="C378"/>
      <c r="D378"/>
      <c r="E378"/>
      <c r="F378"/>
      <c r="G378"/>
      <c r="H378"/>
      <c r="I378"/>
      <c r="J378"/>
      <c r="L378"/>
      <c r="M378"/>
      <c r="N378"/>
      <c r="O378"/>
      <c r="P378"/>
      <c r="Q378"/>
      <c r="R378"/>
      <c r="S378"/>
      <c r="T378"/>
      <c r="U378"/>
      <c r="V378"/>
      <c r="X378"/>
      <c r="Y378"/>
      <c r="Z378" s="210"/>
      <c r="AD378"/>
      <c r="AE378"/>
    </row>
    <row r="379" spans="1:31" s="27" customFormat="1" x14ac:dyDescent="0.25">
      <c r="A379"/>
      <c r="B379"/>
      <c r="C379"/>
      <c r="D379"/>
      <c r="E379"/>
      <c r="F379"/>
      <c r="G379"/>
      <c r="H379"/>
      <c r="I379"/>
      <c r="J379"/>
      <c r="L379"/>
      <c r="M379"/>
      <c r="N379"/>
      <c r="O379"/>
      <c r="P379"/>
      <c r="Q379"/>
      <c r="R379"/>
      <c r="S379"/>
      <c r="T379"/>
      <c r="U379"/>
      <c r="V379"/>
      <c r="X379"/>
      <c r="Y379"/>
      <c r="Z379" s="210"/>
      <c r="AD379"/>
      <c r="AE379"/>
    </row>
    <row r="380" spans="1:31" s="27" customFormat="1" x14ac:dyDescent="0.25">
      <c r="A380"/>
      <c r="B380"/>
      <c r="C380"/>
      <c r="D380"/>
      <c r="E380"/>
      <c r="F380"/>
      <c r="G380"/>
      <c r="H380"/>
      <c r="I380"/>
      <c r="J380"/>
      <c r="L380"/>
      <c r="M380"/>
      <c r="N380"/>
      <c r="O380"/>
      <c r="P380"/>
      <c r="Q380"/>
      <c r="R380"/>
      <c r="S380"/>
      <c r="T380"/>
      <c r="U380"/>
      <c r="V380"/>
      <c r="X380"/>
      <c r="Y380"/>
      <c r="Z380" s="210"/>
      <c r="AD380"/>
      <c r="AE380"/>
    </row>
    <row r="381" spans="1:31" s="27" customFormat="1" x14ac:dyDescent="0.25">
      <c r="A381"/>
      <c r="B381"/>
      <c r="C381"/>
      <c r="D381"/>
      <c r="E381"/>
      <c r="F381"/>
      <c r="G381"/>
      <c r="H381"/>
      <c r="I381"/>
      <c r="J381"/>
      <c r="L381"/>
      <c r="M381"/>
      <c r="N381"/>
      <c r="O381"/>
      <c r="P381"/>
      <c r="Q381"/>
      <c r="R381"/>
      <c r="S381"/>
      <c r="T381"/>
      <c r="U381"/>
      <c r="V381"/>
      <c r="X381"/>
      <c r="Y381"/>
      <c r="Z381" s="210"/>
      <c r="AD381"/>
      <c r="AE381"/>
    </row>
    <row r="382" spans="1:31" s="27" customFormat="1" x14ac:dyDescent="0.25">
      <c r="A382"/>
      <c r="B382"/>
      <c r="C382"/>
      <c r="D382"/>
      <c r="E382"/>
      <c r="F382"/>
      <c r="G382"/>
      <c r="H382"/>
      <c r="I382"/>
      <c r="J382"/>
      <c r="L382"/>
      <c r="M382"/>
      <c r="N382"/>
      <c r="O382"/>
      <c r="P382"/>
      <c r="Q382"/>
      <c r="R382"/>
      <c r="S382"/>
      <c r="T382"/>
      <c r="U382"/>
      <c r="V382"/>
      <c r="X382"/>
      <c r="Y382"/>
      <c r="Z382" s="210"/>
      <c r="AD382"/>
      <c r="AE382"/>
    </row>
    <row r="383" spans="1:31" s="27" customFormat="1" x14ac:dyDescent="0.25">
      <c r="A383"/>
      <c r="B383"/>
      <c r="C383"/>
      <c r="D383"/>
      <c r="E383"/>
      <c r="F383"/>
      <c r="G383"/>
      <c r="H383"/>
      <c r="I383"/>
      <c r="J383"/>
      <c r="L383"/>
      <c r="M383"/>
      <c r="N383"/>
      <c r="O383"/>
      <c r="P383"/>
      <c r="Q383"/>
      <c r="R383"/>
      <c r="S383"/>
      <c r="T383"/>
      <c r="U383"/>
      <c r="V383"/>
      <c r="X383"/>
      <c r="Y383"/>
      <c r="Z383" s="210"/>
      <c r="AD383"/>
      <c r="AE383"/>
    </row>
    <row r="384" spans="1:31" s="27" customFormat="1" x14ac:dyDescent="0.25">
      <c r="A384"/>
      <c r="B384"/>
      <c r="C384"/>
      <c r="D384"/>
      <c r="E384"/>
      <c r="F384"/>
      <c r="G384"/>
      <c r="H384"/>
      <c r="I384"/>
      <c r="J384"/>
      <c r="L384"/>
      <c r="M384"/>
      <c r="N384"/>
      <c r="O384"/>
      <c r="P384"/>
      <c r="Q384"/>
      <c r="R384"/>
      <c r="S384"/>
      <c r="T384"/>
      <c r="U384"/>
      <c r="V384"/>
      <c r="X384"/>
      <c r="Y384"/>
      <c r="Z384" s="210"/>
      <c r="AD384"/>
      <c r="AE384"/>
    </row>
    <row r="385" spans="1:31" s="27" customFormat="1" x14ac:dyDescent="0.25">
      <c r="A385"/>
      <c r="B385"/>
      <c r="C385"/>
      <c r="D385"/>
      <c r="E385"/>
      <c r="F385"/>
      <c r="G385"/>
      <c r="H385"/>
      <c r="I385"/>
      <c r="J385"/>
      <c r="L385"/>
      <c r="M385"/>
      <c r="N385"/>
      <c r="O385"/>
      <c r="P385"/>
      <c r="Q385"/>
      <c r="R385"/>
      <c r="S385"/>
      <c r="T385"/>
      <c r="U385"/>
      <c r="V385"/>
      <c r="X385"/>
      <c r="Y385"/>
      <c r="Z385" s="210"/>
      <c r="AD385"/>
      <c r="AE385"/>
    </row>
    <row r="386" spans="1:31" s="27" customFormat="1" x14ac:dyDescent="0.25">
      <c r="A386"/>
      <c r="B386"/>
      <c r="C386"/>
      <c r="D386"/>
      <c r="E386"/>
      <c r="F386"/>
      <c r="G386"/>
      <c r="H386"/>
      <c r="I386"/>
      <c r="J386"/>
      <c r="L386"/>
      <c r="M386"/>
      <c r="N386"/>
      <c r="O386"/>
      <c r="P386"/>
      <c r="Q386"/>
      <c r="R386"/>
      <c r="S386"/>
      <c r="T386"/>
      <c r="U386"/>
      <c r="V386"/>
      <c r="X386"/>
      <c r="Y386"/>
      <c r="Z386" s="210"/>
      <c r="AD386"/>
      <c r="AE386"/>
    </row>
    <row r="387" spans="1:31" s="27" customFormat="1" x14ac:dyDescent="0.25">
      <c r="A387"/>
      <c r="B387"/>
      <c r="C387"/>
      <c r="D387"/>
      <c r="E387"/>
      <c r="F387"/>
      <c r="G387"/>
      <c r="H387"/>
      <c r="I387"/>
      <c r="J387"/>
      <c r="L387"/>
      <c r="M387"/>
      <c r="N387"/>
      <c r="O387"/>
      <c r="P387"/>
      <c r="Q387"/>
      <c r="R387"/>
      <c r="S387"/>
      <c r="T387"/>
      <c r="U387"/>
      <c r="V387"/>
      <c r="X387"/>
      <c r="Y387"/>
      <c r="Z387" s="210"/>
      <c r="AD387"/>
      <c r="AE387"/>
    </row>
    <row r="388" spans="1:31" s="27" customFormat="1" x14ac:dyDescent="0.25">
      <c r="A388"/>
      <c r="B388"/>
      <c r="C388"/>
      <c r="D388"/>
      <c r="E388"/>
      <c r="F388"/>
      <c r="G388"/>
      <c r="H388"/>
      <c r="I388"/>
      <c r="J388"/>
      <c r="L388"/>
      <c r="M388"/>
      <c r="N388"/>
      <c r="O388"/>
      <c r="P388"/>
      <c r="Q388"/>
      <c r="R388"/>
      <c r="S388"/>
      <c r="T388"/>
      <c r="U388"/>
      <c r="V388"/>
      <c r="X388"/>
      <c r="Y388"/>
      <c r="Z388" s="210"/>
      <c r="AD388"/>
      <c r="AE388"/>
    </row>
    <row r="389" spans="1:31" s="27" customFormat="1" x14ac:dyDescent="0.25">
      <c r="A389"/>
      <c r="B389"/>
      <c r="C389"/>
      <c r="D389"/>
      <c r="E389"/>
      <c r="F389"/>
      <c r="G389"/>
      <c r="H389"/>
      <c r="I389"/>
      <c r="J389"/>
      <c r="L389"/>
      <c r="M389"/>
      <c r="N389"/>
      <c r="O389"/>
      <c r="P389"/>
      <c r="Q389"/>
      <c r="R389"/>
      <c r="S389"/>
      <c r="T389"/>
      <c r="U389"/>
      <c r="V389"/>
      <c r="X389"/>
      <c r="Y389"/>
      <c r="Z389" s="210"/>
      <c r="AD389"/>
      <c r="AE389"/>
    </row>
    <row r="390" spans="1:31" s="27" customFormat="1" x14ac:dyDescent="0.25">
      <c r="A390"/>
      <c r="B390"/>
      <c r="C390"/>
      <c r="D390"/>
      <c r="E390"/>
      <c r="F390"/>
      <c r="G390"/>
      <c r="H390"/>
      <c r="I390"/>
      <c r="J390"/>
      <c r="L390"/>
      <c r="M390"/>
      <c r="N390"/>
      <c r="O390"/>
      <c r="P390"/>
      <c r="Q390"/>
      <c r="R390"/>
      <c r="S390"/>
      <c r="T390"/>
      <c r="U390"/>
      <c r="V390"/>
      <c r="X390"/>
      <c r="Y390"/>
      <c r="Z390" s="210"/>
      <c r="AD390"/>
      <c r="AE390"/>
    </row>
    <row r="391" spans="1:31" s="27" customFormat="1" x14ac:dyDescent="0.25">
      <c r="A391"/>
      <c r="B391"/>
      <c r="C391"/>
      <c r="D391"/>
      <c r="E391"/>
      <c r="F391"/>
      <c r="G391"/>
      <c r="H391"/>
      <c r="I391"/>
      <c r="J391"/>
      <c r="L391"/>
      <c r="M391"/>
      <c r="N391"/>
      <c r="O391"/>
      <c r="P391"/>
      <c r="Q391"/>
      <c r="R391"/>
      <c r="S391"/>
      <c r="T391"/>
      <c r="U391"/>
      <c r="V391"/>
      <c r="X391"/>
      <c r="Y391"/>
      <c r="Z391" s="210"/>
      <c r="AD391"/>
      <c r="AE391"/>
    </row>
    <row r="392" spans="1:31" s="27" customFormat="1" x14ac:dyDescent="0.25">
      <c r="A392"/>
      <c r="B392"/>
      <c r="C392"/>
      <c r="D392"/>
      <c r="E392"/>
      <c r="F392"/>
      <c r="G392"/>
      <c r="H392"/>
      <c r="I392"/>
      <c r="J392"/>
      <c r="L392"/>
      <c r="M392"/>
      <c r="N392"/>
      <c r="O392"/>
      <c r="P392"/>
      <c r="Q392"/>
      <c r="R392"/>
      <c r="S392"/>
      <c r="T392"/>
      <c r="U392"/>
      <c r="V392"/>
      <c r="X392"/>
      <c r="Y392"/>
      <c r="Z392" s="210"/>
      <c r="AD392"/>
      <c r="AE392"/>
    </row>
    <row r="393" spans="1:31" s="27" customFormat="1" x14ac:dyDescent="0.25">
      <c r="A393"/>
      <c r="B393"/>
      <c r="C393"/>
      <c r="D393"/>
      <c r="E393"/>
      <c r="F393"/>
      <c r="G393"/>
      <c r="H393"/>
      <c r="I393"/>
      <c r="J393"/>
      <c r="L393"/>
      <c r="M393"/>
      <c r="N393"/>
      <c r="O393"/>
      <c r="P393"/>
      <c r="Q393"/>
      <c r="R393"/>
      <c r="S393"/>
      <c r="T393"/>
      <c r="U393"/>
      <c r="V393"/>
      <c r="X393"/>
      <c r="Y393"/>
      <c r="Z393" s="210"/>
      <c r="AD393"/>
      <c r="AE393"/>
    </row>
    <row r="394" spans="1:31" s="27" customFormat="1" x14ac:dyDescent="0.25">
      <c r="A394"/>
      <c r="B394"/>
      <c r="C394"/>
      <c r="D394"/>
      <c r="E394"/>
      <c r="F394"/>
      <c r="G394"/>
      <c r="H394"/>
      <c r="I394"/>
      <c r="J394"/>
      <c r="L394"/>
      <c r="M394"/>
      <c r="N394"/>
      <c r="O394"/>
      <c r="P394"/>
      <c r="Q394"/>
      <c r="R394"/>
      <c r="S394"/>
      <c r="T394"/>
      <c r="U394"/>
      <c r="V394"/>
      <c r="X394"/>
      <c r="Y394"/>
      <c r="Z394" s="210"/>
      <c r="AD394"/>
      <c r="AE394"/>
    </row>
    <row r="395" spans="1:31" s="27" customFormat="1" x14ac:dyDescent="0.25">
      <c r="A395"/>
      <c r="B395"/>
      <c r="C395"/>
      <c r="D395"/>
      <c r="E395"/>
      <c r="F395"/>
      <c r="G395"/>
      <c r="H395"/>
      <c r="I395"/>
      <c r="J395"/>
      <c r="L395"/>
      <c r="M395"/>
      <c r="N395"/>
      <c r="O395"/>
      <c r="P395"/>
      <c r="Q395"/>
      <c r="R395"/>
      <c r="S395"/>
      <c r="T395"/>
      <c r="U395"/>
      <c r="V395"/>
      <c r="X395"/>
      <c r="Y395"/>
      <c r="Z395" s="210"/>
      <c r="AD395"/>
      <c r="AE395"/>
    </row>
    <row r="396" spans="1:31" s="27" customFormat="1" x14ac:dyDescent="0.25">
      <c r="A396"/>
      <c r="B396"/>
      <c r="C396"/>
      <c r="D396"/>
      <c r="E396"/>
      <c r="F396"/>
      <c r="G396"/>
      <c r="H396"/>
      <c r="I396"/>
      <c r="J396"/>
      <c r="L396"/>
      <c r="M396"/>
      <c r="N396"/>
      <c r="O396"/>
      <c r="P396"/>
      <c r="Q396"/>
      <c r="R396"/>
      <c r="S396"/>
      <c r="T396"/>
      <c r="U396"/>
      <c r="V396"/>
      <c r="X396"/>
      <c r="Y396"/>
      <c r="Z396" s="210"/>
      <c r="AD396"/>
      <c r="AE396"/>
    </row>
    <row r="397" spans="1:31" s="27" customFormat="1" x14ac:dyDescent="0.25">
      <c r="A397"/>
      <c r="B397"/>
      <c r="C397"/>
      <c r="D397"/>
      <c r="E397"/>
      <c r="F397"/>
      <c r="G397"/>
      <c r="H397"/>
      <c r="I397"/>
      <c r="J397"/>
      <c r="L397"/>
      <c r="M397"/>
      <c r="N397"/>
      <c r="O397"/>
      <c r="P397"/>
      <c r="Q397"/>
      <c r="R397"/>
      <c r="S397"/>
      <c r="T397"/>
      <c r="U397"/>
      <c r="V397"/>
      <c r="X397"/>
      <c r="Y397"/>
      <c r="Z397" s="210"/>
      <c r="AD397"/>
      <c r="AE397"/>
    </row>
    <row r="398" spans="1:31" s="27" customFormat="1" x14ac:dyDescent="0.25">
      <c r="A398"/>
      <c r="B398"/>
      <c r="C398"/>
      <c r="D398"/>
      <c r="E398"/>
      <c r="F398"/>
      <c r="G398"/>
      <c r="H398"/>
      <c r="I398"/>
      <c r="J398"/>
      <c r="L398"/>
      <c r="M398"/>
      <c r="N398"/>
      <c r="O398"/>
      <c r="P398"/>
      <c r="Q398"/>
      <c r="R398"/>
      <c r="S398"/>
      <c r="T398"/>
      <c r="U398"/>
      <c r="V398"/>
      <c r="X398"/>
      <c r="Y398"/>
      <c r="Z398" s="210"/>
      <c r="AD398"/>
      <c r="AE398"/>
    </row>
    <row r="399" spans="1:31" s="27" customFormat="1" x14ac:dyDescent="0.25">
      <c r="A399"/>
      <c r="B399"/>
      <c r="C399"/>
      <c r="D399"/>
      <c r="E399"/>
      <c r="F399"/>
      <c r="G399"/>
      <c r="H399"/>
      <c r="I399"/>
      <c r="J399"/>
      <c r="L399"/>
      <c r="M399"/>
      <c r="N399"/>
      <c r="O399"/>
      <c r="P399"/>
      <c r="Q399"/>
      <c r="R399"/>
      <c r="S399"/>
      <c r="T399"/>
      <c r="U399"/>
      <c r="V399"/>
      <c r="X399"/>
      <c r="Y399"/>
      <c r="Z399" s="210"/>
      <c r="AD399"/>
      <c r="AE399"/>
    </row>
    <row r="400" spans="1:31" s="27" customFormat="1" x14ac:dyDescent="0.25">
      <c r="A400"/>
      <c r="B400"/>
      <c r="C400"/>
      <c r="D400"/>
      <c r="E400"/>
      <c r="F400"/>
      <c r="G400"/>
      <c r="H400"/>
      <c r="I400"/>
      <c r="J400"/>
      <c r="L400"/>
      <c r="M400"/>
      <c r="N400"/>
      <c r="O400"/>
      <c r="P400"/>
      <c r="Q400"/>
      <c r="R400"/>
      <c r="S400"/>
      <c r="T400"/>
      <c r="U400"/>
      <c r="V400"/>
      <c r="X400"/>
      <c r="Y400"/>
      <c r="Z400" s="210"/>
      <c r="AD400"/>
      <c r="AE400"/>
    </row>
    <row r="401" spans="1:31" s="27" customFormat="1" x14ac:dyDescent="0.25">
      <c r="A401"/>
      <c r="B401"/>
      <c r="C401"/>
      <c r="D401"/>
      <c r="E401"/>
      <c r="F401"/>
      <c r="G401"/>
      <c r="H401"/>
      <c r="I401"/>
      <c r="J401"/>
      <c r="L401"/>
      <c r="M401"/>
      <c r="N401"/>
      <c r="O401"/>
      <c r="P401"/>
      <c r="Q401"/>
      <c r="R401"/>
      <c r="S401"/>
      <c r="T401"/>
      <c r="U401"/>
      <c r="V401"/>
      <c r="X401"/>
      <c r="Y401"/>
      <c r="Z401" s="210"/>
      <c r="AD401"/>
      <c r="AE401"/>
    </row>
    <row r="402" spans="1:31" s="27" customFormat="1" x14ac:dyDescent="0.25">
      <c r="A402"/>
      <c r="B402"/>
      <c r="C402"/>
      <c r="D402"/>
      <c r="E402"/>
      <c r="F402"/>
      <c r="G402"/>
      <c r="H402"/>
      <c r="I402"/>
      <c r="J402"/>
      <c r="L402"/>
      <c r="M402"/>
      <c r="N402"/>
      <c r="O402"/>
      <c r="P402"/>
      <c r="Q402"/>
      <c r="R402"/>
      <c r="S402"/>
      <c r="T402"/>
      <c r="U402"/>
      <c r="V402"/>
      <c r="X402"/>
      <c r="Y402"/>
      <c r="Z402" s="210"/>
      <c r="AD402"/>
      <c r="AE402"/>
    </row>
    <row r="403" spans="1:31" s="27" customFormat="1" x14ac:dyDescent="0.25">
      <c r="A403"/>
      <c r="B403"/>
      <c r="C403"/>
      <c r="D403"/>
      <c r="E403"/>
      <c r="F403"/>
      <c r="G403"/>
      <c r="H403"/>
      <c r="I403"/>
      <c r="J403"/>
      <c r="L403"/>
      <c r="M403"/>
      <c r="N403"/>
      <c r="O403"/>
      <c r="P403"/>
      <c r="Q403"/>
      <c r="R403"/>
      <c r="S403"/>
      <c r="T403"/>
      <c r="U403"/>
      <c r="V403"/>
      <c r="X403"/>
      <c r="Y403"/>
      <c r="Z403" s="210"/>
      <c r="AD403"/>
      <c r="AE403"/>
    </row>
    <row r="404" spans="1:31" s="27" customFormat="1" x14ac:dyDescent="0.25">
      <c r="A404"/>
      <c r="B404"/>
      <c r="C404"/>
      <c r="D404"/>
      <c r="E404"/>
      <c r="F404"/>
      <c r="G404"/>
      <c r="H404"/>
      <c r="I404"/>
      <c r="J404"/>
      <c r="L404"/>
      <c r="M404"/>
      <c r="N404"/>
      <c r="O404"/>
      <c r="P404"/>
      <c r="Q404"/>
      <c r="R404"/>
      <c r="S404"/>
      <c r="T404"/>
      <c r="U404"/>
      <c r="V404"/>
      <c r="X404"/>
      <c r="Y404"/>
      <c r="Z404" s="210"/>
      <c r="AD404"/>
      <c r="AE404"/>
    </row>
    <row r="405" spans="1:31" s="27" customFormat="1" x14ac:dyDescent="0.25">
      <c r="A405"/>
      <c r="B405"/>
      <c r="C405"/>
      <c r="D405"/>
      <c r="E405"/>
      <c r="F405"/>
      <c r="G405"/>
      <c r="H405"/>
      <c r="I405"/>
      <c r="J405"/>
      <c r="L405"/>
      <c r="M405"/>
      <c r="N405"/>
      <c r="O405"/>
      <c r="P405"/>
      <c r="Q405"/>
      <c r="R405"/>
      <c r="S405"/>
      <c r="T405"/>
      <c r="U405"/>
      <c r="V405"/>
      <c r="X405"/>
      <c r="Y405"/>
      <c r="Z405" s="210"/>
      <c r="AD405"/>
      <c r="AE405"/>
    </row>
    <row r="406" spans="1:31" s="27" customFormat="1" x14ac:dyDescent="0.25">
      <c r="A406"/>
      <c r="B406"/>
      <c r="C406"/>
      <c r="D406"/>
      <c r="E406"/>
      <c r="F406"/>
      <c r="G406"/>
      <c r="H406"/>
      <c r="I406"/>
      <c r="J406"/>
      <c r="L406"/>
      <c r="M406"/>
      <c r="N406"/>
      <c r="O406"/>
      <c r="P406"/>
      <c r="Q406"/>
      <c r="R406"/>
      <c r="S406"/>
      <c r="T406"/>
      <c r="U406"/>
      <c r="V406"/>
      <c r="X406"/>
      <c r="Y406"/>
      <c r="Z406" s="210"/>
      <c r="AD406"/>
      <c r="AE406"/>
    </row>
    <row r="407" spans="1:31" s="27" customFormat="1" x14ac:dyDescent="0.25">
      <c r="A407"/>
      <c r="B407"/>
      <c r="C407"/>
      <c r="D407"/>
      <c r="E407"/>
      <c r="F407"/>
      <c r="G407"/>
      <c r="H407"/>
      <c r="I407"/>
      <c r="J407"/>
      <c r="L407"/>
      <c r="M407"/>
      <c r="N407"/>
      <c r="O407"/>
      <c r="P407"/>
      <c r="Q407"/>
      <c r="R407"/>
      <c r="S407"/>
      <c r="T407"/>
      <c r="U407"/>
      <c r="V407"/>
      <c r="X407"/>
      <c r="Y407"/>
      <c r="Z407" s="210"/>
      <c r="AD407"/>
      <c r="AE407"/>
    </row>
    <row r="408" spans="1:31" s="27" customFormat="1" x14ac:dyDescent="0.25">
      <c r="A408"/>
      <c r="B408"/>
      <c r="C408"/>
      <c r="D408"/>
      <c r="E408"/>
      <c r="F408"/>
      <c r="G408"/>
      <c r="H408"/>
      <c r="I408"/>
      <c r="J408"/>
      <c r="L408"/>
      <c r="M408"/>
      <c r="N408"/>
      <c r="O408"/>
      <c r="P408"/>
      <c r="Q408"/>
      <c r="R408"/>
      <c r="S408"/>
      <c r="T408"/>
      <c r="U408"/>
      <c r="V408"/>
      <c r="X408"/>
      <c r="Y408"/>
      <c r="Z408" s="210"/>
      <c r="AD408"/>
      <c r="AE408"/>
    </row>
    <row r="409" spans="1:31" s="27" customFormat="1" x14ac:dyDescent="0.25">
      <c r="A409"/>
      <c r="B409"/>
      <c r="C409"/>
      <c r="D409"/>
      <c r="E409"/>
      <c r="F409"/>
      <c r="G409"/>
      <c r="H409"/>
      <c r="I409"/>
      <c r="J409"/>
      <c r="L409"/>
      <c r="M409"/>
      <c r="N409"/>
      <c r="O409"/>
      <c r="P409"/>
      <c r="Q409"/>
      <c r="R409"/>
      <c r="S409"/>
      <c r="T409"/>
      <c r="U409"/>
      <c r="V409"/>
      <c r="X409"/>
      <c r="Y409"/>
      <c r="Z409" s="210"/>
      <c r="AD409"/>
      <c r="AE409"/>
    </row>
    <row r="410" spans="1:31" s="27" customFormat="1" x14ac:dyDescent="0.25">
      <c r="A410"/>
      <c r="B410"/>
      <c r="C410"/>
      <c r="D410"/>
      <c r="E410"/>
      <c r="F410"/>
      <c r="G410"/>
      <c r="H410"/>
      <c r="I410"/>
      <c r="J410"/>
      <c r="L410"/>
      <c r="M410"/>
      <c r="N410"/>
      <c r="O410"/>
      <c r="P410"/>
      <c r="Q410"/>
      <c r="R410"/>
      <c r="S410"/>
      <c r="T410"/>
      <c r="U410"/>
      <c r="V410"/>
      <c r="X410"/>
      <c r="Y410"/>
      <c r="Z410" s="210"/>
      <c r="AD410"/>
      <c r="AE410"/>
    </row>
    <row r="411" spans="1:31" s="27" customFormat="1" x14ac:dyDescent="0.25">
      <c r="A411"/>
      <c r="B411"/>
      <c r="C411"/>
      <c r="D411"/>
      <c r="E411"/>
      <c r="F411"/>
      <c r="G411"/>
      <c r="H411"/>
      <c r="I411"/>
      <c r="J411"/>
      <c r="L411"/>
      <c r="M411"/>
      <c r="N411"/>
      <c r="O411"/>
      <c r="P411"/>
      <c r="Q411"/>
      <c r="R411"/>
      <c r="S411"/>
      <c r="T411"/>
      <c r="U411"/>
      <c r="V411"/>
      <c r="X411"/>
      <c r="Y411"/>
      <c r="Z411" s="210"/>
      <c r="AD411"/>
      <c r="AE411"/>
    </row>
    <row r="412" spans="1:31" s="27" customFormat="1" x14ac:dyDescent="0.25">
      <c r="A412"/>
      <c r="B412"/>
      <c r="C412"/>
      <c r="D412"/>
      <c r="E412"/>
      <c r="F412"/>
      <c r="G412"/>
      <c r="H412"/>
      <c r="I412"/>
      <c r="J412"/>
      <c r="L412"/>
      <c r="M412"/>
      <c r="N412"/>
      <c r="O412"/>
      <c r="P412"/>
      <c r="Q412"/>
      <c r="R412"/>
      <c r="S412"/>
      <c r="T412"/>
      <c r="U412"/>
      <c r="V412"/>
      <c r="X412"/>
      <c r="Y412"/>
      <c r="Z412" s="210"/>
      <c r="AD412"/>
      <c r="AE412"/>
    </row>
    <row r="413" spans="1:31" s="27" customFormat="1" x14ac:dyDescent="0.25">
      <c r="A413"/>
      <c r="B413"/>
      <c r="C413"/>
      <c r="D413"/>
      <c r="E413"/>
      <c r="F413"/>
      <c r="G413"/>
      <c r="H413"/>
      <c r="I413"/>
      <c r="J413"/>
      <c r="L413"/>
      <c r="M413"/>
      <c r="N413"/>
      <c r="O413"/>
      <c r="P413"/>
      <c r="Q413"/>
      <c r="R413"/>
      <c r="S413"/>
      <c r="T413"/>
      <c r="U413"/>
      <c r="V413"/>
      <c r="X413"/>
      <c r="Y413"/>
      <c r="Z413" s="210"/>
      <c r="AD413"/>
      <c r="AE413"/>
    </row>
    <row r="414" spans="1:31" s="27" customFormat="1" x14ac:dyDescent="0.25">
      <c r="A414"/>
      <c r="B414"/>
      <c r="C414"/>
      <c r="D414"/>
      <c r="E414"/>
      <c r="F414"/>
      <c r="G414"/>
      <c r="H414"/>
      <c r="I414"/>
      <c r="J414"/>
      <c r="L414"/>
      <c r="M414"/>
      <c r="N414"/>
      <c r="O414"/>
      <c r="P414"/>
      <c r="Q414"/>
      <c r="R414"/>
      <c r="S414"/>
      <c r="T414"/>
      <c r="U414"/>
      <c r="V414"/>
      <c r="X414"/>
      <c r="Y414"/>
      <c r="Z414" s="210"/>
      <c r="AD414"/>
      <c r="AE414"/>
    </row>
    <row r="415" spans="1:31" s="27" customFormat="1" x14ac:dyDescent="0.25">
      <c r="A415"/>
      <c r="B415"/>
      <c r="C415"/>
      <c r="D415"/>
      <c r="E415"/>
      <c r="F415"/>
      <c r="G415"/>
      <c r="H415"/>
      <c r="I415"/>
      <c r="J415"/>
      <c r="L415"/>
      <c r="M415"/>
      <c r="N415"/>
      <c r="O415"/>
      <c r="P415"/>
      <c r="Q415"/>
      <c r="R415"/>
      <c r="S415"/>
      <c r="T415"/>
      <c r="U415"/>
      <c r="V415"/>
      <c r="X415"/>
      <c r="Y415"/>
      <c r="Z415" s="210"/>
      <c r="AD415"/>
      <c r="AE415"/>
    </row>
    <row r="416" spans="1:31" s="27" customFormat="1" x14ac:dyDescent="0.25">
      <c r="A416"/>
      <c r="B416"/>
      <c r="C416"/>
      <c r="D416"/>
      <c r="E416"/>
      <c r="F416"/>
      <c r="G416"/>
      <c r="H416"/>
      <c r="I416"/>
      <c r="J416"/>
      <c r="L416"/>
      <c r="M416"/>
      <c r="N416"/>
      <c r="O416"/>
      <c r="P416"/>
      <c r="Q416"/>
      <c r="R416"/>
      <c r="S416"/>
      <c r="T416"/>
      <c r="U416"/>
      <c r="V416"/>
      <c r="X416"/>
      <c r="Y416"/>
      <c r="Z416" s="210"/>
      <c r="AD416"/>
      <c r="AE416"/>
    </row>
    <row r="417" spans="1:31" s="27" customFormat="1" x14ac:dyDescent="0.25">
      <c r="A417"/>
      <c r="B417"/>
      <c r="C417"/>
      <c r="D417"/>
      <c r="E417"/>
      <c r="F417"/>
      <c r="G417"/>
      <c r="H417"/>
      <c r="I417"/>
      <c r="J417"/>
      <c r="L417"/>
      <c r="M417"/>
      <c r="N417"/>
      <c r="O417"/>
      <c r="P417"/>
      <c r="Q417"/>
      <c r="R417"/>
      <c r="S417"/>
      <c r="T417"/>
      <c r="U417"/>
      <c r="V417"/>
      <c r="X417"/>
      <c r="Y417"/>
      <c r="Z417" s="210"/>
      <c r="AD417"/>
      <c r="AE417"/>
    </row>
    <row r="418" spans="1:31" s="27" customFormat="1" x14ac:dyDescent="0.25">
      <c r="A418"/>
      <c r="B418"/>
      <c r="C418"/>
      <c r="D418"/>
      <c r="E418"/>
      <c r="F418"/>
      <c r="G418"/>
      <c r="H418"/>
      <c r="I418"/>
      <c r="J418"/>
      <c r="L418"/>
      <c r="M418"/>
      <c r="N418"/>
      <c r="O418"/>
      <c r="P418"/>
      <c r="Q418"/>
      <c r="R418"/>
      <c r="S418"/>
      <c r="T418"/>
      <c r="U418"/>
      <c r="V418"/>
      <c r="X418"/>
      <c r="Y418"/>
      <c r="Z418" s="210"/>
      <c r="AD418"/>
      <c r="AE418"/>
    </row>
    <row r="419" spans="1:31" s="27" customFormat="1" x14ac:dyDescent="0.25">
      <c r="A419"/>
      <c r="B419"/>
      <c r="C419"/>
      <c r="D419"/>
      <c r="E419"/>
      <c r="F419"/>
      <c r="G419"/>
      <c r="H419"/>
      <c r="I419"/>
      <c r="J419"/>
      <c r="L419"/>
      <c r="M419"/>
      <c r="N419"/>
      <c r="O419"/>
      <c r="P419"/>
      <c r="Q419"/>
      <c r="R419"/>
      <c r="S419"/>
      <c r="T419"/>
      <c r="U419"/>
      <c r="V419"/>
      <c r="X419"/>
      <c r="Y419"/>
      <c r="Z419" s="210"/>
      <c r="AD419"/>
      <c r="AE419"/>
    </row>
    <row r="420" spans="1:31" s="27" customFormat="1" x14ac:dyDescent="0.25">
      <c r="A420"/>
      <c r="B420"/>
      <c r="C420"/>
      <c r="D420"/>
      <c r="E420"/>
      <c r="F420"/>
      <c r="G420"/>
      <c r="H420"/>
      <c r="I420"/>
      <c r="J420"/>
      <c r="L420"/>
      <c r="M420"/>
      <c r="N420"/>
      <c r="O420"/>
      <c r="P420"/>
      <c r="Q420"/>
      <c r="R420"/>
      <c r="S420"/>
      <c r="T420"/>
      <c r="U420"/>
      <c r="V420"/>
      <c r="X420"/>
      <c r="Y420"/>
      <c r="Z420" s="210"/>
      <c r="AD420"/>
      <c r="AE420"/>
    </row>
    <row r="421" spans="1:31" s="27" customFormat="1" x14ac:dyDescent="0.25">
      <c r="A421"/>
      <c r="B421"/>
      <c r="C421"/>
      <c r="D421"/>
      <c r="E421"/>
      <c r="F421"/>
      <c r="G421"/>
      <c r="H421"/>
      <c r="I421"/>
      <c r="J421"/>
      <c r="L421"/>
      <c r="M421"/>
      <c r="N421"/>
      <c r="O421"/>
      <c r="P421"/>
      <c r="Q421"/>
      <c r="R421"/>
      <c r="S421"/>
      <c r="T421"/>
      <c r="U421"/>
      <c r="V421"/>
      <c r="X421"/>
      <c r="Y421"/>
      <c r="Z421" s="210"/>
      <c r="AD421"/>
      <c r="AE421"/>
    </row>
    <row r="422" spans="1:31" s="27" customFormat="1" x14ac:dyDescent="0.25">
      <c r="A422"/>
      <c r="B422"/>
      <c r="C422"/>
      <c r="D422"/>
      <c r="E422"/>
      <c r="F422"/>
      <c r="G422"/>
      <c r="H422"/>
      <c r="I422"/>
      <c r="J422"/>
      <c r="L422"/>
      <c r="M422"/>
      <c r="N422"/>
      <c r="O422"/>
      <c r="P422"/>
      <c r="Q422"/>
      <c r="R422"/>
      <c r="S422"/>
      <c r="T422"/>
      <c r="U422"/>
      <c r="V422"/>
      <c r="X422"/>
      <c r="Y422"/>
      <c r="Z422" s="210"/>
      <c r="AD422"/>
      <c r="AE422"/>
    </row>
    <row r="423" spans="1:31" s="27" customFormat="1" x14ac:dyDescent="0.25">
      <c r="A423"/>
      <c r="B423"/>
      <c r="C423"/>
      <c r="D423"/>
      <c r="E423"/>
      <c r="F423"/>
      <c r="G423"/>
      <c r="H423"/>
      <c r="I423"/>
      <c r="J423"/>
      <c r="L423"/>
      <c r="M423"/>
      <c r="N423"/>
      <c r="O423"/>
      <c r="P423"/>
      <c r="Q423"/>
      <c r="R423"/>
      <c r="S423"/>
      <c r="T423"/>
      <c r="U423"/>
      <c r="V423"/>
      <c r="X423"/>
      <c r="Y423"/>
      <c r="Z423" s="210"/>
      <c r="AD423"/>
      <c r="AE423"/>
    </row>
    <row r="424" spans="1:31" s="27" customFormat="1" x14ac:dyDescent="0.25">
      <c r="A424"/>
      <c r="B424"/>
      <c r="C424"/>
      <c r="D424"/>
      <c r="E424"/>
      <c r="F424"/>
      <c r="G424"/>
      <c r="H424"/>
      <c r="I424"/>
      <c r="J424"/>
      <c r="L424"/>
      <c r="M424"/>
      <c r="N424"/>
      <c r="O424"/>
      <c r="P424"/>
      <c r="Q424"/>
      <c r="R424"/>
      <c r="S424"/>
      <c r="T424"/>
      <c r="U424"/>
      <c r="V424"/>
      <c r="X424"/>
      <c r="Y424"/>
      <c r="Z424" s="210"/>
      <c r="AD424"/>
      <c r="AE424"/>
    </row>
    <row r="425" spans="1:31" s="27" customFormat="1" x14ac:dyDescent="0.25">
      <c r="A425"/>
      <c r="B425"/>
      <c r="C425"/>
      <c r="D425"/>
      <c r="E425"/>
      <c r="F425"/>
      <c r="G425"/>
      <c r="H425"/>
      <c r="I425"/>
      <c r="J425"/>
      <c r="L425"/>
      <c r="M425"/>
      <c r="N425"/>
      <c r="O425"/>
      <c r="P425"/>
      <c r="Q425"/>
      <c r="R425"/>
      <c r="S425"/>
      <c r="T425"/>
      <c r="U425"/>
      <c r="V425"/>
      <c r="X425"/>
      <c r="Y425"/>
      <c r="Z425" s="210"/>
      <c r="AD425"/>
      <c r="AE425"/>
    </row>
    <row r="426" spans="1:31" s="27" customFormat="1" x14ac:dyDescent="0.25">
      <c r="A426"/>
      <c r="B426"/>
      <c r="C426"/>
      <c r="D426"/>
      <c r="E426"/>
      <c r="F426"/>
      <c r="G426"/>
      <c r="H426"/>
      <c r="I426"/>
      <c r="J426"/>
      <c r="L426"/>
      <c r="M426"/>
      <c r="N426"/>
      <c r="O426"/>
      <c r="P426"/>
      <c r="Q426"/>
      <c r="R426"/>
      <c r="S426"/>
      <c r="T426"/>
      <c r="U426"/>
      <c r="V426"/>
      <c r="X426"/>
      <c r="Y426"/>
      <c r="Z426" s="210"/>
      <c r="AD426"/>
      <c r="AE426"/>
    </row>
    <row r="427" spans="1:31" s="27" customFormat="1" x14ac:dyDescent="0.25">
      <c r="A427"/>
      <c r="B427"/>
      <c r="C427"/>
      <c r="D427"/>
      <c r="E427"/>
      <c r="F427"/>
      <c r="G427"/>
      <c r="H427"/>
      <c r="I427"/>
      <c r="J427"/>
      <c r="L427"/>
      <c r="M427"/>
      <c r="N427"/>
      <c r="O427"/>
      <c r="P427"/>
      <c r="Q427"/>
      <c r="R427"/>
      <c r="S427"/>
      <c r="T427"/>
      <c r="U427"/>
      <c r="V427"/>
      <c r="X427"/>
      <c r="Y427"/>
      <c r="Z427" s="210"/>
      <c r="AD427"/>
      <c r="AE427"/>
    </row>
    <row r="428" spans="1:31" s="27" customFormat="1" x14ac:dyDescent="0.25">
      <c r="A428"/>
      <c r="B428"/>
      <c r="C428"/>
      <c r="D428"/>
      <c r="E428"/>
      <c r="F428"/>
      <c r="G428"/>
      <c r="H428"/>
      <c r="I428"/>
      <c r="J428"/>
      <c r="L428"/>
      <c r="M428"/>
      <c r="N428"/>
      <c r="O428"/>
      <c r="P428"/>
      <c r="Q428"/>
      <c r="R428"/>
      <c r="S428"/>
      <c r="T428"/>
      <c r="U428"/>
      <c r="V428"/>
      <c r="X428"/>
      <c r="Y428"/>
      <c r="Z428" s="210"/>
      <c r="AD428"/>
      <c r="AE428"/>
    </row>
    <row r="429" spans="1:31" s="27" customFormat="1" x14ac:dyDescent="0.25">
      <c r="A429"/>
      <c r="B429"/>
      <c r="C429"/>
      <c r="D429"/>
      <c r="E429"/>
      <c r="F429"/>
      <c r="G429"/>
      <c r="H429"/>
      <c r="I429"/>
      <c r="J429"/>
      <c r="L429"/>
      <c r="M429"/>
      <c r="N429"/>
      <c r="O429"/>
      <c r="P429"/>
      <c r="Q429"/>
      <c r="R429"/>
      <c r="S429"/>
      <c r="T429"/>
      <c r="U429"/>
      <c r="V429"/>
      <c r="X429"/>
      <c r="Y429"/>
      <c r="Z429" s="210"/>
      <c r="AD429"/>
      <c r="AE429"/>
    </row>
    <row r="430" spans="1:31" s="27" customFormat="1" x14ac:dyDescent="0.25">
      <c r="A430"/>
      <c r="B430"/>
      <c r="C430"/>
      <c r="D430"/>
      <c r="E430"/>
      <c r="F430"/>
      <c r="G430"/>
      <c r="H430"/>
      <c r="I430"/>
      <c r="J430"/>
      <c r="L430"/>
      <c r="M430"/>
      <c r="N430"/>
      <c r="O430"/>
      <c r="P430"/>
      <c r="Q430"/>
      <c r="R430"/>
      <c r="S430"/>
      <c r="T430"/>
      <c r="U430"/>
      <c r="V430"/>
      <c r="X430"/>
      <c r="Y430"/>
      <c r="Z430" s="210"/>
      <c r="AD430"/>
      <c r="AE430"/>
    </row>
    <row r="431" spans="1:31" s="27" customFormat="1" x14ac:dyDescent="0.25">
      <c r="A431"/>
      <c r="B431"/>
      <c r="C431"/>
      <c r="D431"/>
      <c r="E431"/>
      <c r="F431"/>
      <c r="G431"/>
      <c r="H431"/>
      <c r="I431"/>
      <c r="J431"/>
      <c r="L431"/>
      <c r="M431"/>
      <c r="N431"/>
      <c r="O431"/>
      <c r="P431"/>
      <c r="Q431"/>
      <c r="R431"/>
      <c r="S431"/>
      <c r="T431"/>
      <c r="U431"/>
      <c r="V431"/>
      <c r="X431"/>
      <c r="Y431"/>
      <c r="Z431" s="210"/>
      <c r="AD431"/>
      <c r="AE431"/>
    </row>
    <row r="432" spans="1:31" s="27" customFormat="1" x14ac:dyDescent="0.25">
      <c r="A432"/>
      <c r="B432"/>
      <c r="C432"/>
      <c r="D432"/>
      <c r="E432"/>
      <c r="F432"/>
      <c r="G432"/>
      <c r="H432"/>
      <c r="I432"/>
      <c r="J432"/>
      <c r="L432"/>
      <c r="M432"/>
      <c r="N432"/>
      <c r="O432"/>
      <c r="P432"/>
      <c r="Q432"/>
      <c r="R432"/>
      <c r="S432"/>
      <c r="T432"/>
      <c r="U432"/>
      <c r="V432"/>
      <c r="X432"/>
      <c r="Y432"/>
      <c r="Z432" s="210"/>
      <c r="AD432"/>
      <c r="AE432"/>
    </row>
    <row r="433" spans="1:31" s="27" customFormat="1" x14ac:dyDescent="0.25">
      <c r="A433"/>
      <c r="B433"/>
      <c r="C433"/>
      <c r="D433"/>
      <c r="E433"/>
      <c r="F433"/>
      <c r="G433"/>
      <c r="H433"/>
      <c r="I433"/>
      <c r="J433"/>
      <c r="L433"/>
      <c r="M433"/>
      <c r="N433"/>
      <c r="O433"/>
      <c r="P433"/>
      <c r="Q433"/>
      <c r="R433"/>
      <c r="S433"/>
      <c r="T433"/>
      <c r="U433"/>
      <c r="V433"/>
      <c r="X433"/>
      <c r="Y433"/>
      <c r="Z433" s="210"/>
      <c r="AD433"/>
      <c r="AE433"/>
    </row>
    <row r="434" spans="1:31" s="27" customFormat="1" x14ac:dyDescent="0.25">
      <c r="A434"/>
      <c r="B434"/>
      <c r="C434"/>
      <c r="D434"/>
      <c r="E434"/>
      <c r="F434"/>
      <c r="G434"/>
      <c r="H434"/>
      <c r="I434"/>
      <c r="J434"/>
      <c r="L434"/>
      <c r="M434"/>
      <c r="N434"/>
      <c r="O434"/>
      <c r="P434"/>
      <c r="Q434"/>
      <c r="R434"/>
      <c r="S434"/>
      <c r="T434"/>
      <c r="U434"/>
      <c r="V434"/>
      <c r="X434"/>
      <c r="Y434"/>
      <c r="Z434" s="210"/>
      <c r="AD434"/>
      <c r="AE434"/>
    </row>
    <row r="435" spans="1:31" s="27" customFormat="1" x14ac:dyDescent="0.25">
      <c r="A435"/>
      <c r="B435"/>
      <c r="C435"/>
      <c r="D435"/>
      <c r="E435"/>
      <c r="F435"/>
      <c r="G435"/>
      <c r="H435"/>
      <c r="I435"/>
      <c r="J435"/>
      <c r="L435"/>
      <c r="M435"/>
      <c r="N435"/>
      <c r="O435"/>
      <c r="P435"/>
      <c r="Q435"/>
      <c r="R435"/>
      <c r="S435"/>
      <c r="T435"/>
      <c r="U435"/>
      <c r="V435"/>
      <c r="X435"/>
      <c r="Y435"/>
      <c r="Z435" s="210"/>
      <c r="AD435"/>
      <c r="AE435"/>
    </row>
    <row r="436" spans="1:31" s="27" customFormat="1" x14ac:dyDescent="0.25">
      <c r="A436"/>
      <c r="B436"/>
      <c r="C436"/>
      <c r="D436"/>
      <c r="E436"/>
      <c r="F436"/>
      <c r="G436"/>
      <c r="H436"/>
      <c r="I436"/>
      <c r="J436"/>
      <c r="L436"/>
      <c r="M436"/>
      <c r="N436"/>
      <c r="O436"/>
      <c r="P436"/>
      <c r="Q436"/>
      <c r="R436"/>
      <c r="S436"/>
      <c r="T436"/>
      <c r="U436"/>
      <c r="V436"/>
      <c r="X436"/>
      <c r="Y436"/>
      <c r="Z436" s="210"/>
      <c r="AD436"/>
      <c r="AE436"/>
    </row>
    <row r="437" spans="1:31" s="27" customFormat="1" x14ac:dyDescent="0.25">
      <c r="A437"/>
      <c r="B437"/>
      <c r="C437"/>
      <c r="D437"/>
      <c r="E437"/>
      <c r="F437"/>
      <c r="G437"/>
      <c r="H437"/>
      <c r="I437"/>
      <c r="J437"/>
      <c r="L437"/>
      <c r="M437"/>
      <c r="N437"/>
      <c r="O437"/>
      <c r="P437"/>
      <c r="Q437"/>
      <c r="R437"/>
      <c r="S437"/>
      <c r="T437"/>
      <c r="U437"/>
      <c r="V437"/>
      <c r="X437"/>
      <c r="Y437"/>
      <c r="Z437" s="210"/>
      <c r="AD437"/>
      <c r="AE437"/>
    </row>
    <row r="438" spans="1:31" s="27" customFormat="1" x14ac:dyDescent="0.25">
      <c r="A438"/>
      <c r="B438"/>
      <c r="C438"/>
      <c r="D438"/>
      <c r="E438"/>
      <c r="F438"/>
      <c r="G438"/>
      <c r="H438"/>
      <c r="I438"/>
      <c r="J438"/>
      <c r="L438"/>
      <c r="M438"/>
      <c r="N438"/>
      <c r="O438"/>
      <c r="P438"/>
      <c r="Q438"/>
      <c r="R438"/>
      <c r="S438"/>
      <c r="T438"/>
      <c r="U438"/>
      <c r="V438"/>
      <c r="X438"/>
      <c r="Y438"/>
      <c r="Z438" s="210"/>
      <c r="AD438"/>
      <c r="AE438"/>
    </row>
    <row r="439" spans="1:31" s="27" customFormat="1" x14ac:dyDescent="0.25">
      <c r="A439"/>
      <c r="B439"/>
      <c r="C439"/>
      <c r="D439"/>
      <c r="E439"/>
      <c r="F439"/>
      <c r="G439"/>
      <c r="H439"/>
      <c r="I439"/>
      <c r="J439"/>
      <c r="L439"/>
      <c r="M439"/>
      <c r="N439"/>
      <c r="O439"/>
      <c r="P439"/>
      <c r="Q439"/>
      <c r="R439"/>
      <c r="S439"/>
      <c r="T439"/>
      <c r="U439"/>
      <c r="V439"/>
      <c r="X439"/>
      <c r="Y439"/>
      <c r="Z439" s="210"/>
      <c r="AD439"/>
      <c r="AE439"/>
    </row>
    <row r="440" spans="1:31" s="27" customFormat="1" x14ac:dyDescent="0.25">
      <c r="A440"/>
      <c r="B440"/>
      <c r="C440"/>
      <c r="D440"/>
      <c r="E440"/>
      <c r="F440"/>
      <c r="G440"/>
      <c r="H440"/>
      <c r="I440"/>
      <c r="J440"/>
      <c r="L440"/>
      <c r="M440"/>
      <c r="N440"/>
      <c r="O440"/>
      <c r="P440"/>
      <c r="Q440"/>
      <c r="R440"/>
      <c r="S440"/>
      <c r="T440"/>
      <c r="U440"/>
      <c r="V440"/>
      <c r="X440"/>
      <c r="Y440"/>
      <c r="Z440" s="210"/>
      <c r="AD440"/>
      <c r="AE440"/>
    </row>
    <row r="441" spans="1:31" s="27" customFormat="1" x14ac:dyDescent="0.25">
      <c r="A441"/>
      <c r="B441"/>
      <c r="C441"/>
      <c r="D441"/>
      <c r="E441"/>
      <c r="F441"/>
      <c r="G441"/>
      <c r="H441"/>
      <c r="I441"/>
      <c r="J441"/>
      <c r="L441"/>
      <c r="M441"/>
      <c r="N441"/>
      <c r="O441"/>
      <c r="P441"/>
      <c r="Q441"/>
      <c r="R441"/>
      <c r="S441"/>
      <c r="T441"/>
      <c r="U441"/>
      <c r="V441"/>
      <c r="X441"/>
      <c r="Y441"/>
      <c r="Z441" s="210"/>
      <c r="AD441"/>
      <c r="AE441"/>
    </row>
    <row r="442" spans="1:31" s="27" customFormat="1" x14ac:dyDescent="0.25">
      <c r="A442"/>
      <c r="B442"/>
      <c r="C442"/>
      <c r="D442"/>
      <c r="E442"/>
      <c r="F442"/>
      <c r="G442"/>
      <c r="H442"/>
      <c r="I442"/>
      <c r="J442"/>
      <c r="L442"/>
      <c r="M442"/>
      <c r="N442"/>
      <c r="O442"/>
      <c r="P442"/>
      <c r="Q442"/>
      <c r="R442"/>
      <c r="S442"/>
      <c r="T442"/>
      <c r="U442"/>
      <c r="V442"/>
      <c r="X442"/>
      <c r="Y442"/>
      <c r="Z442" s="210"/>
      <c r="AD442"/>
      <c r="AE442"/>
    </row>
    <row r="443" spans="1:31" s="27" customFormat="1" x14ac:dyDescent="0.25">
      <c r="A443"/>
      <c r="B443"/>
      <c r="C443"/>
      <c r="D443"/>
      <c r="E443"/>
      <c r="F443"/>
      <c r="G443"/>
      <c r="H443"/>
      <c r="I443"/>
      <c r="J443"/>
      <c r="L443"/>
      <c r="M443"/>
      <c r="N443"/>
      <c r="O443"/>
      <c r="P443"/>
      <c r="Q443"/>
      <c r="R443"/>
      <c r="S443"/>
      <c r="T443"/>
      <c r="U443"/>
      <c r="V443"/>
      <c r="X443"/>
      <c r="Y443"/>
      <c r="Z443" s="210"/>
      <c r="AD443"/>
      <c r="AE443"/>
    </row>
    <row r="444" spans="1:31" s="27" customFormat="1" x14ac:dyDescent="0.25">
      <c r="A444"/>
      <c r="B444"/>
      <c r="C444"/>
      <c r="D444"/>
      <c r="E444"/>
      <c r="F444"/>
      <c r="G444"/>
      <c r="H444"/>
      <c r="I444"/>
      <c r="J444"/>
      <c r="L444"/>
      <c r="M444"/>
      <c r="N444"/>
      <c r="O444"/>
      <c r="P444"/>
      <c r="Q444"/>
      <c r="R444"/>
      <c r="S444"/>
      <c r="T444"/>
      <c r="U444"/>
      <c r="V444"/>
      <c r="X444"/>
      <c r="Y444"/>
      <c r="Z444" s="210"/>
      <c r="AD444"/>
      <c r="AE444"/>
    </row>
    <row r="445" spans="1:31" s="27" customFormat="1" x14ac:dyDescent="0.25">
      <c r="A445"/>
      <c r="B445"/>
      <c r="C445"/>
      <c r="D445"/>
      <c r="E445"/>
      <c r="F445"/>
      <c r="G445"/>
      <c r="H445"/>
      <c r="I445"/>
      <c r="J445"/>
      <c r="L445"/>
      <c r="M445"/>
      <c r="N445"/>
      <c r="O445"/>
      <c r="P445"/>
      <c r="Q445"/>
      <c r="R445"/>
      <c r="S445"/>
      <c r="T445"/>
      <c r="U445"/>
      <c r="V445"/>
      <c r="X445"/>
      <c r="Y445"/>
      <c r="Z445" s="210"/>
      <c r="AD445"/>
      <c r="AE445"/>
    </row>
    <row r="446" spans="1:31" s="27" customFormat="1" x14ac:dyDescent="0.25">
      <c r="A446"/>
      <c r="B446"/>
      <c r="C446"/>
      <c r="D446"/>
      <c r="E446"/>
      <c r="F446"/>
      <c r="G446"/>
      <c r="H446"/>
      <c r="I446"/>
      <c r="J446"/>
      <c r="L446"/>
      <c r="M446"/>
      <c r="N446"/>
      <c r="O446"/>
      <c r="P446"/>
      <c r="Q446"/>
      <c r="R446"/>
      <c r="S446"/>
      <c r="T446"/>
      <c r="U446"/>
      <c r="V446"/>
      <c r="X446"/>
      <c r="Y446"/>
      <c r="Z446" s="210"/>
      <c r="AD446"/>
      <c r="AE446"/>
    </row>
    <row r="447" spans="1:31" s="27" customFormat="1" x14ac:dyDescent="0.25">
      <c r="A447"/>
      <c r="B447"/>
      <c r="C447"/>
      <c r="D447"/>
      <c r="E447"/>
      <c r="F447"/>
      <c r="G447"/>
      <c r="H447"/>
      <c r="I447"/>
      <c r="J447"/>
      <c r="L447"/>
      <c r="M447"/>
      <c r="N447"/>
      <c r="O447"/>
      <c r="P447"/>
      <c r="Q447"/>
      <c r="R447"/>
      <c r="S447"/>
      <c r="T447"/>
      <c r="U447"/>
      <c r="V447"/>
      <c r="X447"/>
      <c r="Y447"/>
      <c r="Z447" s="210"/>
      <c r="AD447"/>
      <c r="AE447"/>
    </row>
    <row r="448" spans="1:31" s="27" customFormat="1" x14ac:dyDescent="0.25">
      <c r="A448"/>
      <c r="B448"/>
      <c r="C448"/>
      <c r="D448"/>
      <c r="E448"/>
      <c r="F448"/>
      <c r="G448"/>
      <c r="H448"/>
      <c r="I448"/>
      <c r="J448"/>
      <c r="L448"/>
      <c r="M448"/>
      <c r="N448"/>
      <c r="O448"/>
      <c r="P448"/>
      <c r="Q448"/>
      <c r="R448"/>
      <c r="S448"/>
      <c r="T448"/>
      <c r="U448"/>
      <c r="V448"/>
      <c r="X448"/>
      <c r="Y448"/>
      <c r="Z448" s="210"/>
      <c r="AD448"/>
      <c r="AE448"/>
    </row>
    <row r="449" spans="1:31" s="27" customFormat="1" x14ac:dyDescent="0.25">
      <c r="A449"/>
      <c r="B449"/>
      <c r="C449"/>
      <c r="D449"/>
      <c r="E449"/>
      <c r="F449"/>
      <c r="G449"/>
      <c r="H449"/>
      <c r="I449"/>
      <c r="J449"/>
      <c r="L449"/>
      <c r="M449"/>
      <c r="N449"/>
      <c r="O449"/>
      <c r="P449"/>
      <c r="Q449"/>
      <c r="R449"/>
      <c r="S449"/>
      <c r="T449"/>
      <c r="U449"/>
      <c r="V449"/>
      <c r="X449"/>
      <c r="Y449"/>
      <c r="Z449" s="210"/>
      <c r="AD449"/>
      <c r="AE449"/>
    </row>
    <row r="450" spans="1:31" s="27" customFormat="1" x14ac:dyDescent="0.25">
      <c r="A450"/>
      <c r="B450"/>
      <c r="C450"/>
      <c r="D450"/>
      <c r="E450"/>
      <c r="F450"/>
      <c r="G450"/>
      <c r="H450"/>
      <c r="I450"/>
      <c r="J450"/>
      <c r="L450"/>
      <c r="M450"/>
      <c r="N450"/>
      <c r="O450"/>
      <c r="P450"/>
      <c r="Q450"/>
      <c r="R450"/>
      <c r="S450"/>
      <c r="T450"/>
      <c r="U450"/>
      <c r="V450"/>
      <c r="X450"/>
      <c r="Y450"/>
      <c r="Z450" s="210"/>
      <c r="AD450"/>
      <c r="AE450"/>
    </row>
    <row r="451" spans="1:31" s="27" customFormat="1" x14ac:dyDescent="0.25">
      <c r="A451"/>
      <c r="B451"/>
      <c r="C451"/>
      <c r="D451"/>
      <c r="E451"/>
      <c r="F451"/>
      <c r="G451"/>
      <c r="H451"/>
      <c r="I451"/>
      <c r="J451"/>
      <c r="L451"/>
      <c r="M451"/>
      <c r="N451"/>
      <c r="O451"/>
      <c r="P451"/>
      <c r="Q451"/>
      <c r="R451"/>
      <c r="S451"/>
      <c r="T451"/>
      <c r="U451"/>
      <c r="V451"/>
      <c r="X451"/>
      <c r="Y451"/>
      <c r="Z451" s="210"/>
      <c r="AD451"/>
      <c r="AE451"/>
    </row>
    <row r="452" spans="1:31" s="27" customFormat="1" x14ac:dyDescent="0.25">
      <c r="A452"/>
      <c r="B452"/>
      <c r="C452"/>
      <c r="D452"/>
      <c r="E452"/>
      <c r="F452"/>
      <c r="G452"/>
      <c r="H452"/>
      <c r="I452"/>
      <c r="J452"/>
      <c r="L452"/>
      <c r="M452"/>
      <c r="N452"/>
      <c r="O452"/>
      <c r="P452"/>
      <c r="Q452"/>
      <c r="R452"/>
      <c r="S452"/>
      <c r="T452"/>
      <c r="U452"/>
      <c r="V452"/>
      <c r="X452"/>
      <c r="Y452"/>
      <c r="Z452" s="210"/>
      <c r="AD452"/>
      <c r="AE452"/>
    </row>
    <row r="453" spans="1:31" s="27" customFormat="1" x14ac:dyDescent="0.25">
      <c r="A453"/>
      <c r="B453"/>
      <c r="C453"/>
      <c r="D453"/>
      <c r="E453"/>
      <c r="F453"/>
      <c r="G453"/>
      <c r="H453"/>
      <c r="I453"/>
      <c r="J453"/>
      <c r="L453"/>
      <c r="M453"/>
      <c r="N453"/>
      <c r="O453"/>
      <c r="P453"/>
      <c r="Q453"/>
      <c r="R453"/>
      <c r="S453"/>
      <c r="T453"/>
      <c r="U453"/>
      <c r="V453"/>
      <c r="X453"/>
      <c r="Y453"/>
      <c r="Z453" s="210"/>
      <c r="AD453"/>
      <c r="AE453"/>
    </row>
    <row r="454" spans="1:31" s="27" customFormat="1" x14ac:dyDescent="0.25">
      <c r="A454"/>
      <c r="B454"/>
      <c r="C454"/>
      <c r="D454"/>
      <c r="E454"/>
      <c r="F454"/>
      <c r="G454"/>
      <c r="H454"/>
      <c r="I454"/>
      <c r="J454"/>
      <c r="L454"/>
      <c r="M454"/>
      <c r="N454"/>
      <c r="O454"/>
      <c r="P454"/>
      <c r="Q454"/>
      <c r="R454"/>
      <c r="S454"/>
      <c r="T454"/>
      <c r="U454"/>
      <c r="V454"/>
      <c r="X454"/>
      <c r="Y454"/>
      <c r="Z454" s="210"/>
      <c r="AD454"/>
      <c r="AE454"/>
    </row>
    <row r="455" spans="1:31" s="27" customFormat="1" x14ac:dyDescent="0.25">
      <c r="A455"/>
      <c r="B455"/>
      <c r="C455"/>
      <c r="D455"/>
      <c r="E455"/>
      <c r="F455"/>
      <c r="G455"/>
      <c r="H455"/>
      <c r="I455"/>
      <c r="J455"/>
      <c r="L455"/>
      <c r="M455"/>
      <c r="N455"/>
      <c r="O455"/>
      <c r="P455"/>
      <c r="Q455"/>
      <c r="R455"/>
      <c r="S455"/>
      <c r="T455"/>
      <c r="U455"/>
      <c r="V455"/>
      <c r="X455"/>
      <c r="Y455"/>
      <c r="Z455" s="210"/>
      <c r="AD455"/>
      <c r="AE455"/>
    </row>
    <row r="456" spans="1:31" s="27" customFormat="1" x14ac:dyDescent="0.25">
      <c r="A456"/>
      <c r="B456"/>
      <c r="C456"/>
      <c r="D456"/>
      <c r="E456"/>
      <c r="F456"/>
      <c r="G456"/>
      <c r="H456"/>
      <c r="I456"/>
      <c r="J456"/>
      <c r="L456"/>
      <c r="M456"/>
      <c r="N456"/>
      <c r="O456"/>
      <c r="P456"/>
      <c r="Q456"/>
      <c r="R456"/>
      <c r="S456"/>
      <c r="T456"/>
      <c r="U456"/>
      <c r="V456"/>
      <c r="X456"/>
      <c r="Y456"/>
      <c r="Z456" s="210"/>
      <c r="AD456"/>
      <c r="AE456"/>
    </row>
    <row r="457" spans="1:31" s="27" customFormat="1" x14ac:dyDescent="0.25">
      <c r="A457"/>
      <c r="B457"/>
      <c r="C457"/>
      <c r="D457"/>
      <c r="E457"/>
      <c r="F457"/>
      <c r="G457"/>
      <c r="H457"/>
      <c r="I457"/>
      <c r="J457"/>
      <c r="L457"/>
      <c r="M457"/>
      <c r="N457"/>
      <c r="O457"/>
      <c r="P457"/>
      <c r="Q457"/>
      <c r="R457"/>
      <c r="S457"/>
      <c r="T457"/>
      <c r="U457"/>
      <c r="V457"/>
      <c r="X457"/>
      <c r="Y457"/>
      <c r="Z457" s="210"/>
      <c r="AD457"/>
      <c r="AE457"/>
    </row>
    <row r="458" spans="1:31" s="27" customFormat="1" x14ac:dyDescent="0.25">
      <c r="A458"/>
      <c r="B458"/>
      <c r="C458"/>
      <c r="D458"/>
      <c r="E458"/>
      <c r="F458"/>
      <c r="G458"/>
      <c r="H458"/>
      <c r="I458"/>
      <c r="J458"/>
      <c r="L458"/>
      <c r="M458"/>
      <c r="N458"/>
      <c r="O458"/>
      <c r="P458"/>
      <c r="Q458"/>
      <c r="R458"/>
      <c r="S458"/>
      <c r="T458"/>
      <c r="U458"/>
      <c r="V458"/>
      <c r="X458"/>
      <c r="Y458"/>
      <c r="Z458" s="210"/>
      <c r="AD458"/>
      <c r="AE458"/>
    </row>
    <row r="459" spans="1:31" s="27" customFormat="1" x14ac:dyDescent="0.25">
      <c r="A459"/>
      <c r="B459"/>
      <c r="C459"/>
      <c r="D459"/>
      <c r="E459"/>
      <c r="F459"/>
      <c r="G459"/>
      <c r="H459"/>
      <c r="I459"/>
      <c r="J459"/>
      <c r="L459"/>
      <c r="M459"/>
      <c r="N459"/>
      <c r="O459"/>
      <c r="P459"/>
      <c r="Q459"/>
      <c r="R459"/>
      <c r="S459"/>
      <c r="T459"/>
      <c r="U459"/>
      <c r="V459"/>
      <c r="X459"/>
      <c r="Y459"/>
      <c r="Z459" s="210"/>
      <c r="AD459"/>
      <c r="AE459"/>
    </row>
    <row r="460" spans="1:31" s="27" customFormat="1" x14ac:dyDescent="0.25">
      <c r="A460"/>
      <c r="B460"/>
      <c r="C460"/>
      <c r="D460"/>
      <c r="E460"/>
      <c r="F460"/>
      <c r="G460"/>
      <c r="H460"/>
      <c r="I460"/>
      <c r="J460"/>
      <c r="L460"/>
      <c r="M460"/>
      <c r="N460"/>
      <c r="O460"/>
      <c r="P460"/>
      <c r="Q460"/>
      <c r="R460"/>
      <c r="S460"/>
      <c r="T460"/>
      <c r="U460"/>
      <c r="V460"/>
      <c r="X460"/>
      <c r="Y460"/>
      <c r="Z460" s="210"/>
      <c r="AD460"/>
      <c r="AE460"/>
    </row>
    <row r="461" spans="1:31" s="27" customFormat="1" x14ac:dyDescent="0.25">
      <c r="A461"/>
      <c r="B461"/>
      <c r="C461"/>
      <c r="D461"/>
      <c r="E461"/>
      <c r="F461"/>
      <c r="G461"/>
      <c r="H461"/>
      <c r="I461"/>
      <c r="J461"/>
      <c r="L461"/>
      <c r="M461"/>
      <c r="N461"/>
      <c r="O461"/>
      <c r="P461"/>
      <c r="Q461"/>
      <c r="R461"/>
      <c r="S461"/>
      <c r="T461"/>
      <c r="U461"/>
      <c r="V461"/>
      <c r="X461"/>
      <c r="Y461"/>
      <c r="Z461" s="210"/>
      <c r="AD461"/>
      <c r="AE461"/>
    </row>
    <row r="462" spans="1:31" s="27" customFormat="1" x14ac:dyDescent="0.25">
      <c r="A462"/>
      <c r="B462"/>
      <c r="C462"/>
      <c r="D462"/>
      <c r="E462"/>
      <c r="F462"/>
      <c r="G462"/>
      <c r="H462"/>
      <c r="I462"/>
      <c r="J462"/>
      <c r="L462"/>
      <c r="M462"/>
      <c r="N462"/>
      <c r="O462"/>
      <c r="P462"/>
      <c r="Q462"/>
      <c r="R462"/>
      <c r="S462"/>
      <c r="T462"/>
      <c r="U462"/>
      <c r="V462"/>
      <c r="X462"/>
      <c r="Y462"/>
      <c r="Z462" s="210"/>
      <c r="AD462"/>
      <c r="AE462"/>
    </row>
    <row r="463" spans="1:31" s="27" customFormat="1" x14ac:dyDescent="0.25">
      <c r="A463"/>
      <c r="B463"/>
      <c r="C463"/>
      <c r="D463"/>
      <c r="E463"/>
      <c r="F463"/>
      <c r="G463"/>
      <c r="H463"/>
      <c r="I463"/>
      <c r="J463"/>
      <c r="L463"/>
      <c r="M463"/>
      <c r="N463"/>
      <c r="O463"/>
      <c r="P463"/>
      <c r="Q463"/>
      <c r="R463"/>
      <c r="S463"/>
      <c r="T463"/>
      <c r="U463"/>
      <c r="V463"/>
      <c r="X463"/>
      <c r="Y463"/>
      <c r="Z463" s="210"/>
      <c r="AD463"/>
      <c r="AE463"/>
    </row>
    <row r="464" spans="1:31" s="27" customFormat="1" x14ac:dyDescent="0.25">
      <c r="A464"/>
      <c r="B464"/>
      <c r="C464"/>
      <c r="D464"/>
      <c r="E464"/>
      <c r="F464"/>
      <c r="G464"/>
      <c r="H464"/>
      <c r="I464"/>
      <c r="J464"/>
      <c r="L464"/>
      <c r="M464"/>
      <c r="N464"/>
      <c r="O464"/>
      <c r="P464"/>
      <c r="Q464"/>
      <c r="R464"/>
      <c r="S464"/>
      <c r="T464"/>
      <c r="U464"/>
      <c r="V464"/>
      <c r="X464"/>
      <c r="Y464"/>
      <c r="Z464" s="210"/>
      <c r="AD464"/>
      <c r="AE464"/>
    </row>
    <row r="465" spans="1:31" s="27" customFormat="1" x14ac:dyDescent="0.25">
      <c r="A465"/>
      <c r="B465"/>
      <c r="C465"/>
      <c r="D465"/>
      <c r="E465"/>
      <c r="F465"/>
      <c r="G465"/>
      <c r="H465"/>
      <c r="I465"/>
      <c r="J465"/>
      <c r="L465"/>
      <c r="M465"/>
      <c r="N465"/>
      <c r="O465"/>
      <c r="P465"/>
      <c r="Q465"/>
      <c r="R465"/>
      <c r="S465"/>
      <c r="T465"/>
      <c r="U465"/>
      <c r="V465"/>
      <c r="X465"/>
      <c r="Y465"/>
      <c r="Z465" s="210"/>
      <c r="AD465"/>
      <c r="AE465"/>
    </row>
    <row r="466" spans="1:31" s="27" customFormat="1" x14ac:dyDescent="0.25">
      <c r="A466"/>
      <c r="B466"/>
      <c r="C466"/>
      <c r="D466"/>
      <c r="E466"/>
      <c r="F466"/>
      <c r="G466"/>
      <c r="H466"/>
      <c r="I466"/>
      <c r="J466"/>
      <c r="L466"/>
      <c r="M466"/>
      <c r="N466"/>
      <c r="O466"/>
      <c r="P466"/>
      <c r="Q466"/>
      <c r="R466"/>
      <c r="S466"/>
      <c r="T466"/>
      <c r="U466"/>
      <c r="V466"/>
      <c r="X466"/>
      <c r="Y466"/>
      <c r="Z466" s="210"/>
      <c r="AD466"/>
      <c r="AE466"/>
    </row>
    <row r="467" spans="1:31" s="27" customFormat="1" x14ac:dyDescent="0.25">
      <c r="A467"/>
      <c r="B467"/>
      <c r="C467"/>
      <c r="D467"/>
      <c r="E467"/>
      <c r="F467"/>
      <c r="G467"/>
      <c r="H467"/>
      <c r="I467"/>
      <c r="J467"/>
      <c r="L467"/>
      <c r="M467"/>
      <c r="N467"/>
      <c r="O467"/>
      <c r="P467"/>
      <c r="Q467"/>
      <c r="R467"/>
      <c r="S467"/>
      <c r="T467"/>
      <c r="U467"/>
      <c r="V467"/>
      <c r="X467"/>
      <c r="Y467"/>
      <c r="Z467" s="210"/>
      <c r="AD467"/>
      <c r="AE467"/>
    </row>
    <row r="468" spans="1:31" s="27" customFormat="1" x14ac:dyDescent="0.25">
      <c r="A468"/>
      <c r="B468"/>
      <c r="C468"/>
      <c r="D468"/>
      <c r="E468"/>
      <c r="F468"/>
      <c r="G468"/>
      <c r="H468"/>
      <c r="I468"/>
      <c r="J468"/>
      <c r="L468"/>
      <c r="M468"/>
      <c r="N468"/>
      <c r="O468"/>
      <c r="P468"/>
      <c r="Q468"/>
      <c r="R468"/>
      <c r="S468"/>
      <c r="T468"/>
      <c r="U468"/>
      <c r="V468"/>
      <c r="X468"/>
      <c r="Y468"/>
      <c r="Z468" s="210"/>
      <c r="AD468"/>
      <c r="AE468"/>
    </row>
    <row r="469" spans="1:31" s="27" customFormat="1" x14ac:dyDescent="0.25">
      <c r="A469"/>
      <c r="B469"/>
      <c r="C469"/>
      <c r="D469"/>
      <c r="E469"/>
      <c r="F469"/>
      <c r="G469"/>
      <c r="H469"/>
      <c r="I469"/>
      <c r="J469"/>
      <c r="L469"/>
      <c r="M469"/>
      <c r="N469"/>
      <c r="O469"/>
      <c r="P469"/>
      <c r="Q469"/>
      <c r="R469"/>
      <c r="S469"/>
      <c r="T469"/>
      <c r="U469"/>
      <c r="V469"/>
      <c r="X469"/>
      <c r="Y469"/>
      <c r="Z469" s="210"/>
      <c r="AD469"/>
      <c r="AE469"/>
    </row>
    <row r="470" spans="1:31" s="27" customFormat="1" x14ac:dyDescent="0.25">
      <c r="A470"/>
      <c r="B470"/>
      <c r="C470"/>
      <c r="D470"/>
      <c r="E470"/>
      <c r="F470"/>
      <c r="G470"/>
      <c r="H470"/>
      <c r="I470"/>
      <c r="J470"/>
      <c r="L470"/>
      <c r="M470"/>
      <c r="N470"/>
      <c r="O470"/>
      <c r="P470"/>
      <c r="Q470"/>
      <c r="R470"/>
      <c r="S470"/>
      <c r="T470"/>
      <c r="U470"/>
      <c r="V470"/>
      <c r="X470"/>
      <c r="Y470"/>
      <c r="Z470" s="210"/>
      <c r="AD470"/>
      <c r="AE470"/>
    </row>
    <row r="471" spans="1:31" s="27" customFormat="1" x14ac:dyDescent="0.25">
      <c r="A471"/>
      <c r="B471"/>
      <c r="C471"/>
      <c r="D471"/>
      <c r="E471"/>
      <c r="F471"/>
      <c r="G471"/>
      <c r="H471"/>
      <c r="I471"/>
      <c r="J471"/>
      <c r="L471"/>
      <c r="M471"/>
      <c r="N471"/>
      <c r="O471"/>
      <c r="P471"/>
      <c r="Q471"/>
      <c r="R471"/>
      <c r="S471"/>
      <c r="T471"/>
      <c r="U471"/>
      <c r="V471"/>
      <c r="X471"/>
      <c r="Y471"/>
      <c r="Z471" s="210"/>
      <c r="AD471"/>
      <c r="AE471"/>
    </row>
    <row r="472" spans="1:31" s="27" customFormat="1" x14ac:dyDescent="0.25">
      <c r="A472"/>
      <c r="B472"/>
      <c r="C472"/>
      <c r="D472"/>
      <c r="E472"/>
      <c r="F472"/>
      <c r="G472"/>
      <c r="H472"/>
      <c r="I472"/>
      <c r="J472"/>
      <c r="L472"/>
      <c r="M472"/>
      <c r="N472"/>
      <c r="O472"/>
      <c r="P472"/>
      <c r="Q472"/>
      <c r="R472"/>
      <c r="S472"/>
      <c r="T472"/>
      <c r="U472"/>
      <c r="V472"/>
      <c r="X472"/>
      <c r="Y472"/>
      <c r="Z472" s="210"/>
      <c r="AD472"/>
      <c r="AE472"/>
    </row>
    <row r="473" spans="1:31" s="27" customFormat="1" x14ac:dyDescent="0.25">
      <c r="A473"/>
      <c r="B473"/>
      <c r="C473"/>
      <c r="D473"/>
      <c r="E473"/>
      <c r="F473"/>
      <c r="G473"/>
      <c r="H473"/>
      <c r="I473"/>
      <c r="J473"/>
      <c r="L473"/>
      <c r="M473"/>
      <c r="N473"/>
      <c r="O473"/>
      <c r="P473"/>
      <c r="Q473"/>
      <c r="R473"/>
      <c r="S473"/>
      <c r="T473"/>
      <c r="U473"/>
      <c r="V473"/>
      <c r="X473"/>
      <c r="Y473"/>
      <c r="Z473" s="210"/>
      <c r="AD473"/>
      <c r="AE473"/>
    </row>
    <row r="474" spans="1:31" s="27" customFormat="1" x14ac:dyDescent="0.25">
      <c r="A474"/>
      <c r="B474"/>
      <c r="C474"/>
      <c r="D474"/>
      <c r="E474"/>
      <c r="F474"/>
      <c r="G474"/>
      <c r="H474"/>
      <c r="I474"/>
      <c r="J474"/>
      <c r="L474"/>
      <c r="M474"/>
      <c r="N474"/>
      <c r="O474"/>
      <c r="P474"/>
      <c r="Q474"/>
      <c r="R474"/>
      <c r="S474"/>
      <c r="T474"/>
      <c r="U474"/>
      <c r="V474"/>
      <c r="X474"/>
      <c r="Y474"/>
      <c r="Z474" s="210"/>
      <c r="AD474"/>
      <c r="AE474"/>
    </row>
    <row r="475" spans="1:31" s="27" customFormat="1" x14ac:dyDescent="0.25">
      <c r="A475"/>
      <c r="B475"/>
      <c r="C475"/>
      <c r="D475"/>
      <c r="E475"/>
      <c r="F475"/>
      <c r="G475"/>
      <c r="H475"/>
      <c r="I475"/>
      <c r="J475"/>
      <c r="L475"/>
      <c r="M475"/>
      <c r="N475"/>
      <c r="O475"/>
      <c r="P475"/>
      <c r="Q475"/>
      <c r="R475"/>
      <c r="S475"/>
      <c r="T475"/>
      <c r="U475"/>
      <c r="V475"/>
      <c r="X475"/>
      <c r="Y475"/>
      <c r="Z475" s="210"/>
      <c r="AD475"/>
      <c r="AE475"/>
    </row>
    <row r="476" spans="1:31" s="27" customFormat="1" x14ac:dyDescent="0.25">
      <c r="A476"/>
      <c r="B476"/>
      <c r="C476"/>
      <c r="D476"/>
      <c r="E476"/>
      <c r="F476"/>
      <c r="G476"/>
      <c r="H476"/>
      <c r="I476"/>
      <c r="J476"/>
      <c r="L476"/>
      <c r="M476"/>
      <c r="N476"/>
      <c r="O476"/>
      <c r="P476"/>
      <c r="Q476"/>
      <c r="R476"/>
      <c r="S476"/>
      <c r="T476"/>
      <c r="U476"/>
      <c r="V476"/>
      <c r="X476"/>
      <c r="Y476"/>
      <c r="Z476" s="210"/>
      <c r="AD476"/>
      <c r="AE476"/>
    </row>
    <row r="477" spans="1:31" s="27" customFormat="1" x14ac:dyDescent="0.25">
      <c r="A477"/>
      <c r="B477"/>
      <c r="C477"/>
      <c r="D477"/>
      <c r="E477"/>
      <c r="F477"/>
      <c r="G477"/>
      <c r="H477"/>
      <c r="I477"/>
      <c r="J477"/>
      <c r="L477"/>
      <c r="M477"/>
      <c r="N477"/>
      <c r="O477"/>
      <c r="P477"/>
      <c r="Q477"/>
      <c r="R477"/>
      <c r="S477"/>
      <c r="T477"/>
      <c r="U477"/>
      <c r="V477"/>
      <c r="X477"/>
      <c r="Y477"/>
      <c r="Z477" s="210"/>
      <c r="AD477"/>
      <c r="AE477"/>
    </row>
    <row r="478" spans="1:31" s="27" customFormat="1" x14ac:dyDescent="0.25">
      <c r="A478"/>
      <c r="B478"/>
      <c r="C478"/>
      <c r="D478"/>
      <c r="E478"/>
      <c r="F478"/>
      <c r="G478"/>
      <c r="H478"/>
      <c r="I478"/>
      <c r="J478"/>
      <c r="L478"/>
      <c r="M478"/>
      <c r="N478"/>
      <c r="O478"/>
      <c r="P478"/>
      <c r="Q478"/>
      <c r="R478"/>
      <c r="S478"/>
      <c r="T478"/>
      <c r="U478"/>
      <c r="V478"/>
      <c r="X478"/>
      <c r="Y478"/>
      <c r="Z478" s="210"/>
      <c r="AD478"/>
      <c r="AE478"/>
    </row>
    <row r="479" spans="1:31" s="27" customFormat="1" x14ac:dyDescent="0.25">
      <c r="A479"/>
      <c r="B479"/>
      <c r="C479"/>
      <c r="D479"/>
      <c r="E479"/>
      <c r="F479"/>
      <c r="G479"/>
      <c r="H479"/>
      <c r="I479"/>
      <c r="J479"/>
      <c r="L479"/>
      <c r="M479"/>
      <c r="N479"/>
      <c r="O479"/>
      <c r="P479"/>
      <c r="Q479"/>
      <c r="R479"/>
      <c r="S479"/>
      <c r="T479"/>
      <c r="U479"/>
      <c r="V479"/>
      <c r="X479"/>
      <c r="Y479"/>
      <c r="Z479" s="210"/>
      <c r="AD479"/>
      <c r="AE479"/>
    </row>
    <row r="480" spans="1:31" s="27" customFormat="1" x14ac:dyDescent="0.25">
      <c r="A480"/>
      <c r="B480"/>
      <c r="C480"/>
      <c r="D480"/>
      <c r="E480"/>
      <c r="F480"/>
      <c r="G480"/>
      <c r="H480"/>
      <c r="I480"/>
      <c r="J480"/>
      <c r="L480"/>
      <c r="M480"/>
      <c r="N480"/>
      <c r="O480"/>
      <c r="P480"/>
      <c r="Q480"/>
      <c r="R480"/>
      <c r="S480"/>
      <c r="T480"/>
      <c r="U480"/>
      <c r="V480"/>
      <c r="X480"/>
      <c r="Y480"/>
      <c r="Z480" s="210"/>
      <c r="AD480"/>
      <c r="AE480"/>
    </row>
    <row r="481" spans="1:31" s="27" customFormat="1" x14ac:dyDescent="0.25">
      <c r="A481"/>
      <c r="B481"/>
      <c r="C481"/>
      <c r="D481"/>
      <c r="E481"/>
      <c r="F481"/>
      <c r="G481"/>
      <c r="H481"/>
      <c r="I481"/>
      <c r="J481"/>
      <c r="L481"/>
      <c r="M481"/>
      <c r="N481"/>
      <c r="O481"/>
      <c r="P481"/>
      <c r="Q481"/>
      <c r="R481"/>
      <c r="S481"/>
      <c r="T481"/>
      <c r="U481"/>
      <c r="V481"/>
      <c r="X481"/>
      <c r="Y481"/>
      <c r="Z481" s="210"/>
      <c r="AD481"/>
      <c r="AE481"/>
    </row>
    <row r="482" spans="1:31" s="27" customFormat="1" x14ac:dyDescent="0.25">
      <c r="A482"/>
      <c r="B482"/>
      <c r="C482"/>
      <c r="D482"/>
      <c r="E482"/>
      <c r="F482"/>
      <c r="G482"/>
      <c r="H482"/>
      <c r="I482"/>
      <c r="J482"/>
      <c r="L482"/>
      <c r="M482"/>
      <c r="N482"/>
      <c r="O482"/>
      <c r="P482"/>
      <c r="Q482"/>
      <c r="R482"/>
      <c r="S482"/>
      <c r="T482"/>
      <c r="U482"/>
      <c r="V482"/>
      <c r="X482"/>
      <c r="Y482"/>
      <c r="Z482" s="210"/>
      <c r="AD482"/>
      <c r="AE482"/>
    </row>
    <row r="483" spans="1:31" s="27" customFormat="1" x14ac:dyDescent="0.25">
      <c r="A483"/>
      <c r="B483"/>
      <c r="C483"/>
      <c r="D483"/>
      <c r="E483"/>
      <c r="F483"/>
      <c r="G483"/>
      <c r="H483"/>
      <c r="I483"/>
      <c r="J483"/>
      <c r="L483"/>
      <c r="M483"/>
      <c r="N483"/>
      <c r="O483"/>
      <c r="P483"/>
      <c r="Q483"/>
      <c r="R483"/>
      <c r="S483"/>
      <c r="T483"/>
      <c r="U483"/>
      <c r="V483"/>
      <c r="X483"/>
      <c r="Y483"/>
      <c r="Z483" s="210"/>
      <c r="AD483"/>
      <c r="AE483"/>
    </row>
    <row r="484" spans="1:31" s="27" customFormat="1" x14ac:dyDescent="0.25">
      <c r="A484"/>
      <c r="B484"/>
      <c r="C484"/>
      <c r="D484"/>
      <c r="E484"/>
      <c r="F484"/>
      <c r="G484"/>
      <c r="H484"/>
      <c r="I484"/>
      <c r="J484"/>
      <c r="L484"/>
      <c r="M484"/>
      <c r="N484"/>
      <c r="O484"/>
      <c r="P484"/>
      <c r="Q484"/>
      <c r="R484"/>
      <c r="S484"/>
      <c r="T484"/>
      <c r="U484"/>
      <c r="V484"/>
      <c r="X484"/>
      <c r="Y484"/>
      <c r="Z484" s="210"/>
      <c r="AD484"/>
      <c r="AE484"/>
    </row>
    <row r="485" spans="1:31" s="27" customFormat="1" x14ac:dyDescent="0.25">
      <c r="A485"/>
      <c r="B485"/>
      <c r="C485"/>
      <c r="D485"/>
      <c r="E485"/>
      <c r="F485"/>
      <c r="G485"/>
      <c r="H485"/>
      <c r="I485"/>
      <c r="J485"/>
      <c r="L485"/>
      <c r="M485"/>
      <c r="N485"/>
      <c r="O485"/>
      <c r="P485"/>
      <c r="Q485"/>
      <c r="R485"/>
      <c r="S485"/>
      <c r="T485"/>
      <c r="U485"/>
      <c r="V485"/>
      <c r="X485"/>
      <c r="Y485"/>
      <c r="Z485" s="210"/>
      <c r="AD485"/>
      <c r="AE485"/>
    </row>
    <row r="486" spans="1:31" s="27" customFormat="1" x14ac:dyDescent="0.25">
      <c r="A486"/>
      <c r="B486"/>
      <c r="C486"/>
      <c r="D486"/>
      <c r="E486"/>
      <c r="F486"/>
      <c r="G486"/>
      <c r="H486"/>
      <c r="I486"/>
      <c r="J486"/>
      <c r="L486"/>
      <c r="M486"/>
      <c r="N486"/>
      <c r="O486"/>
      <c r="P486"/>
      <c r="Q486"/>
      <c r="R486"/>
      <c r="S486"/>
      <c r="T486"/>
      <c r="U486"/>
      <c r="V486"/>
      <c r="X486"/>
      <c r="Y486"/>
      <c r="Z486" s="210"/>
      <c r="AD486"/>
      <c r="AE486"/>
    </row>
    <row r="487" spans="1:31" s="27" customFormat="1" x14ac:dyDescent="0.25">
      <c r="A487"/>
      <c r="B487"/>
      <c r="C487"/>
      <c r="D487"/>
      <c r="E487"/>
      <c r="F487"/>
      <c r="G487"/>
      <c r="H487"/>
      <c r="I487"/>
      <c r="J487"/>
      <c r="L487"/>
      <c r="M487"/>
      <c r="N487"/>
      <c r="O487"/>
      <c r="P487"/>
      <c r="Q487"/>
      <c r="R487"/>
      <c r="S487"/>
      <c r="T487"/>
      <c r="U487"/>
      <c r="V487"/>
      <c r="X487"/>
      <c r="Y487"/>
      <c r="Z487" s="210"/>
      <c r="AD487"/>
      <c r="AE487"/>
    </row>
    <row r="488" spans="1:31" s="27" customFormat="1" x14ac:dyDescent="0.25">
      <c r="A488"/>
      <c r="B488"/>
      <c r="C488"/>
      <c r="D488"/>
      <c r="E488"/>
      <c r="F488"/>
      <c r="G488"/>
      <c r="H488"/>
      <c r="I488"/>
      <c r="J488"/>
      <c r="L488"/>
      <c r="M488"/>
      <c r="N488"/>
      <c r="O488"/>
      <c r="P488"/>
      <c r="Q488"/>
      <c r="R488"/>
      <c r="S488"/>
      <c r="T488"/>
      <c r="U488"/>
      <c r="V488"/>
      <c r="X488"/>
      <c r="Y488"/>
      <c r="Z488" s="210"/>
      <c r="AD488"/>
      <c r="AE488"/>
    </row>
    <row r="489" spans="1:31" s="27" customFormat="1" x14ac:dyDescent="0.25">
      <c r="A489"/>
      <c r="B489"/>
      <c r="C489"/>
      <c r="D489"/>
      <c r="E489"/>
      <c r="F489"/>
      <c r="G489"/>
      <c r="H489"/>
      <c r="I489"/>
      <c r="J489"/>
      <c r="L489"/>
      <c r="M489"/>
      <c r="N489"/>
      <c r="O489"/>
      <c r="P489"/>
      <c r="Q489"/>
      <c r="R489"/>
      <c r="S489"/>
      <c r="T489"/>
      <c r="U489"/>
      <c r="V489"/>
      <c r="X489"/>
      <c r="Y489"/>
      <c r="Z489" s="210"/>
      <c r="AD489"/>
      <c r="AE489"/>
    </row>
    <row r="490" spans="1:31" s="27" customFormat="1" x14ac:dyDescent="0.25">
      <c r="A490"/>
      <c r="B490"/>
      <c r="C490"/>
      <c r="D490"/>
      <c r="E490"/>
      <c r="F490"/>
      <c r="G490"/>
      <c r="H490"/>
      <c r="I490"/>
      <c r="J490"/>
      <c r="L490"/>
      <c r="M490"/>
      <c r="N490"/>
      <c r="O490"/>
      <c r="P490"/>
      <c r="Q490"/>
      <c r="R490"/>
      <c r="S490"/>
      <c r="T490"/>
      <c r="U490"/>
      <c r="V490"/>
      <c r="X490"/>
      <c r="Y490"/>
      <c r="Z490" s="210"/>
      <c r="AD490"/>
      <c r="AE490"/>
    </row>
    <row r="491" spans="1:31" s="27" customFormat="1" x14ac:dyDescent="0.25">
      <c r="A491"/>
      <c r="B491"/>
      <c r="C491"/>
      <c r="D491"/>
      <c r="E491"/>
      <c r="F491"/>
      <c r="G491"/>
      <c r="H491"/>
      <c r="I491"/>
      <c r="J491"/>
      <c r="L491"/>
      <c r="M491"/>
      <c r="N491"/>
      <c r="O491"/>
      <c r="P491"/>
      <c r="Q491"/>
      <c r="R491"/>
      <c r="S491"/>
      <c r="T491"/>
      <c r="U491"/>
      <c r="V491"/>
      <c r="X491"/>
      <c r="Y491"/>
      <c r="Z491" s="210"/>
      <c r="AD491"/>
      <c r="AE491"/>
    </row>
    <row r="492" spans="1:31" s="27" customFormat="1" x14ac:dyDescent="0.25">
      <c r="A492"/>
      <c r="B492"/>
      <c r="C492"/>
      <c r="D492"/>
      <c r="E492"/>
      <c r="F492"/>
      <c r="G492"/>
      <c r="H492"/>
      <c r="I492"/>
      <c r="J492"/>
      <c r="L492"/>
      <c r="M492"/>
      <c r="N492"/>
      <c r="O492"/>
      <c r="P492"/>
      <c r="Q492"/>
      <c r="R492"/>
      <c r="S492"/>
      <c r="T492"/>
      <c r="U492"/>
      <c r="V492"/>
      <c r="X492"/>
      <c r="Y492"/>
      <c r="Z492"/>
      <c r="AD492"/>
      <c r="AE492"/>
    </row>
    <row r="493" spans="1:31" s="27" customFormat="1" x14ac:dyDescent="0.25">
      <c r="A493"/>
      <c r="B493"/>
      <c r="C493"/>
      <c r="D493"/>
      <c r="E493"/>
      <c r="F493"/>
      <c r="G493"/>
      <c r="H493"/>
      <c r="I493"/>
      <c r="J493"/>
      <c r="L493"/>
      <c r="M493"/>
      <c r="N493"/>
      <c r="O493"/>
      <c r="P493"/>
      <c r="Q493"/>
      <c r="R493"/>
      <c r="S493"/>
      <c r="T493"/>
      <c r="U493"/>
      <c r="V493"/>
      <c r="X493"/>
      <c r="Y493"/>
      <c r="Z493"/>
      <c r="AD493"/>
      <c r="AE493"/>
    </row>
    <row r="494" spans="1:31" s="27" customFormat="1" x14ac:dyDescent="0.25">
      <c r="A494"/>
      <c r="B494"/>
      <c r="C494"/>
      <c r="D494"/>
      <c r="E494"/>
      <c r="F494"/>
      <c r="G494"/>
      <c r="H494"/>
      <c r="I494"/>
      <c r="J494"/>
      <c r="L494"/>
      <c r="M494"/>
      <c r="N494"/>
      <c r="O494"/>
      <c r="P494"/>
      <c r="Q494"/>
      <c r="R494"/>
      <c r="S494"/>
      <c r="T494"/>
      <c r="U494"/>
      <c r="V494"/>
      <c r="X494"/>
      <c r="Y494"/>
      <c r="Z494"/>
      <c r="AD494"/>
      <c r="AE494"/>
    </row>
    <row r="495" spans="1:31" s="27" customFormat="1" x14ac:dyDescent="0.25">
      <c r="A495"/>
      <c r="B495"/>
      <c r="C495"/>
      <c r="D495"/>
      <c r="E495"/>
      <c r="F495"/>
      <c r="G495"/>
      <c r="H495"/>
      <c r="I495"/>
      <c r="J495"/>
      <c r="L495"/>
      <c r="M495"/>
      <c r="N495"/>
      <c r="O495"/>
      <c r="P495"/>
      <c r="Q495"/>
      <c r="R495"/>
      <c r="S495"/>
      <c r="T495"/>
      <c r="U495"/>
      <c r="V495"/>
      <c r="X495"/>
      <c r="Y495"/>
      <c r="Z495"/>
      <c r="AD495"/>
      <c r="AE495"/>
    </row>
    <row r="496" spans="1:31" s="27" customFormat="1" x14ac:dyDescent="0.25">
      <c r="A496"/>
      <c r="B496"/>
      <c r="C496"/>
      <c r="D496"/>
      <c r="E496"/>
      <c r="F496"/>
      <c r="G496"/>
      <c r="H496"/>
      <c r="I496"/>
      <c r="J496"/>
      <c r="L496"/>
      <c r="M496"/>
      <c r="N496"/>
      <c r="O496"/>
      <c r="P496"/>
      <c r="Q496"/>
      <c r="R496"/>
      <c r="S496"/>
      <c r="T496"/>
      <c r="U496"/>
      <c r="V496"/>
      <c r="X496"/>
      <c r="Y496"/>
      <c r="Z496"/>
      <c r="AD496"/>
      <c r="AE496"/>
    </row>
    <row r="497" spans="1:31" s="27" customFormat="1" x14ac:dyDescent="0.25">
      <c r="A497"/>
      <c r="B497"/>
      <c r="C497"/>
      <c r="D497"/>
      <c r="E497"/>
      <c r="F497"/>
      <c r="G497"/>
      <c r="H497"/>
      <c r="I497"/>
      <c r="J497"/>
      <c r="L497"/>
      <c r="M497"/>
      <c r="N497"/>
      <c r="O497"/>
      <c r="P497"/>
      <c r="Q497"/>
      <c r="R497"/>
      <c r="S497"/>
      <c r="T497"/>
      <c r="U497"/>
      <c r="V497"/>
      <c r="X497"/>
      <c r="Y497"/>
      <c r="Z497"/>
      <c r="AD497"/>
      <c r="AE497"/>
    </row>
    <row r="498" spans="1:31" s="27" customFormat="1" x14ac:dyDescent="0.25">
      <c r="A498"/>
      <c r="B498"/>
      <c r="C498"/>
      <c r="D498"/>
      <c r="E498"/>
      <c r="F498"/>
      <c r="G498"/>
      <c r="H498"/>
      <c r="I498"/>
      <c r="J498"/>
      <c r="L498"/>
      <c r="M498"/>
      <c r="N498"/>
      <c r="O498"/>
      <c r="P498"/>
      <c r="Q498"/>
      <c r="R498"/>
      <c r="S498"/>
      <c r="T498"/>
      <c r="U498"/>
      <c r="V498"/>
      <c r="X498"/>
      <c r="Y498"/>
      <c r="Z498"/>
      <c r="AD498"/>
      <c r="AE498"/>
    </row>
    <row r="499" spans="1:31" s="27" customFormat="1" x14ac:dyDescent="0.25">
      <c r="A499"/>
      <c r="B499"/>
      <c r="C499"/>
      <c r="D499"/>
      <c r="E499"/>
      <c r="F499"/>
      <c r="G499"/>
      <c r="H499"/>
      <c r="I499"/>
      <c r="J499"/>
      <c r="L499"/>
      <c r="M499"/>
      <c r="N499"/>
      <c r="O499"/>
      <c r="P499"/>
      <c r="Q499"/>
      <c r="R499"/>
      <c r="S499"/>
      <c r="T499"/>
      <c r="U499"/>
      <c r="V499"/>
      <c r="X499"/>
      <c r="Y499"/>
      <c r="Z499"/>
      <c r="AD499"/>
      <c r="AE499"/>
    </row>
    <row r="500" spans="1:31" s="27" customFormat="1" x14ac:dyDescent="0.25">
      <c r="A500"/>
      <c r="B500"/>
      <c r="C500"/>
      <c r="D500"/>
      <c r="E500"/>
      <c r="F500"/>
      <c r="G500"/>
      <c r="H500"/>
      <c r="I500"/>
      <c r="J500"/>
      <c r="L500"/>
      <c r="M500"/>
      <c r="N500"/>
      <c r="O500"/>
      <c r="P500"/>
      <c r="Q500"/>
      <c r="R500"/>
      <c r="S500"/>
      <c r="T500"/>
      <c r="U500"/>
      <c r="V500"/>
      <c r="X500"/>
      <c r="Y500"/>
      <c r="Z500"/>
      <c r="AD500"/>
      <c r="AE500"/>
    </row>
    <row r="501" spans="1:31" s="27" customFormat="1" x14ac:dyDescent="0.25">
      <c r="A501"/>
      <c r="B501"/>
      <c r="C501"/>
      <c r="D501"/>
      <c r="E501"/>
      <c r="F501"/>
      <c r="G501"/>
      <c r="H501"/>
      <c r="I501"/>
      <c r="J501"/>
      <c r="L501"/>
      <c r="M501"/>
      <c r="N501"/>
      <c r="O501"/>
      <c r="P501"/>
      <c r="Q501"/>
      <c r="R501"/>
      <c r="S501"/>
      <c r="T501"/>
      <c r="U501"/>
      <c r="V501"/>
      <c r="X501"/>
      <c r="Y501"/>
      <c r="Z501"/>
      <c r="AD501"/>
      <c r="AE501"/>
    </row>
  </sheetData>
  <sheetProtection algorithmName="SHA-512" hashValue="Hym1ltgSkNWEn2rpnl7W/VixmE/Rn5nTkNhT6B61TI7wbeGDjrLjQ4ZH8VXjD3GX+7ht119FL/ggBIOg4rEVeQ==" saltValue="RCq0sKEau9ASTS5GYtAoZQ==" spinCount="100000" sheet="1" objects="1" scenarios="1"/>
  <mergeCells count="7">
    <mergeCell ref="A1:AC1"/>
    <mergeCell ref="B5:J5"/>
    <mergeCell ref="N5:V5"/>
    <mergeCell ref="N186:V186"/>
    <mergeCell ref="N187:V187"/>
    <mergeCell ref="M149:M179"/>
    <mergeCell ref="M7:M148"/>
  </mergeCells>
  <conditionalFormatting sqref="N181:V181">
    <cfRule type="cellIs" dxfId="98" priority="4" operator="equal">
      <formula>$W$181</formula>
    </cfRule>
  </conditionalFormatting>
  <conditionalFormatting sqref="N182:V182">
    <cfRule type="cellIs" dxfId="97" priority="3" operator="equal">
      <formula>$W$182</formula>
    </cfRule>
  </conditionalFormatting>
  <conditionalFormatting sqref="N183:V183">
    <cfRule type="cellIs" dxfId="96" priority="1" operator="equal">
      <formula>$W$183</formula>
    </cfRule>
    <cfRule type="cellIs" dxfId="95" priority="2" operator="equal">
      <formula>$W$183</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212"/>
  <sheetViews>
    <sheetView topLeftCell="A97" zoomScale="85" zoomScaleNormal="85" workbookViewId="0">
      <selection activeCell="I118" sqref="I118"/>
    </sheetView>
  </sheetViews>
  <sheetFormatPr baseColWidth="10" defaultRowHeight="15" x14ac:dyDescent="0.25"/>
  <cols>
    <col min="1" max="1" width="16.7109375" style="192"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69" t="str">
        <f>Mesures_Four!E27</f>
        <v>200°C</v>
      </c>
      <c r="B1" s="369"/>
      <c r="C1" s="369"/>
      <c r="D1" s="369"/>
      <c r="E1" s="369"/>
      <c r="F1" s="369"/>
      <c r="G1" s="369"/>
      <c r="H1" s="369"/>
      <c r="I1" s="369"/>
      <c r="J1" s="369"/>
      <c r="K1" s="369"/>
      <c r="L1" s="369"/>
      <c r="M1" s="369"/>
      <c r="N1" s="369"/>
      <c r="O1" s="369"/>
      <c r="P1" s="369"/>
      <c r="Q1" s="369"/>
      <c r="R1" s="369"/>
      <c r="S1" s="369"/>
      <c r="T1" s="369"/>
      <c r="U1" s="369"/>
      <c r="V1" s="369"/>
      <c r="W1" s="369"/>
      <c r="X1" s="369"/>
      <c r="Y1" s="369"/>
      <c r="Z1" s="369"/>
      <c r="AA1" s="369"/>
      <c r="AB1" s="369"/>
      <c r="AC1" s="369"/>
    </row>
    <row r="2" spans="1:29" x14ac:dyDescent="0.25">
      <c r="M2" s="212" t="s">
        <v>87</v>
      </c>
      <c r="N2" s="44">
        <f>Mesures_Four!E40</f>
        <v>0</v>
      </c>
      <c r="O2" s="44">
        <f>Mesures_Four!E41</f>
        <v>0</v>
      </c>
      <c r="P2" s="44">
        <f>Mesures_Four!E42</f>
        <v>0</v>
      </c>
      <c r="Q2" s="44">
        <f>Mesures_Four!E43</f>
        <v>0</v>
      </c>
      <c r="R2" s="44">
        <f>Mesures_Four!E44</f>
        <v>0</v>
      </c>
      <c r="S2" s="44">
        <f>Mesures_Four!E45</f>
        <v>0</v>
      </c>
      <c r="T2" s="44">
        <f>Mesures_Four!E46</f>
        <v>0</v>
      </c>
      <c r="U2" s="44">
        <f>Mesures_Four!E47</f>
        <v>0</v>
      </c>
      <c r="V2" s="44">
        <f>Mesures_Four!E48</f>
        <v>0</v>
      </c>
      <c r="W2" s="159"/>
      <c r="X2" s="159"/>
      <c r="Y2" s="159"/>
    </row>
    <row r="3" spans="1:29" x14ac:dyDescent="0.25">
      <c r="M3" s="212" t="s">
        <v>23</v>
      </c>
      <c r="N3" s="44">
        <f>Mesures_Four!E28</f>
        <v>0</v>
      </c>
      <c r="O3" s="44">
        <f>Mesures_Four!E29</f>
        <v>0</v>
      </c>
      <c r="P3" s="44">
        <f>Mesures_Four!E30</f>
        <v>0</v>
      </c>
      <c r="Q3" s="44">
        <f>Mesures_Four!E31</f>
        <v>0</v>
      </c>
      <c r="R3" s="44">
        <f>Mesures_Four!E32</f>
        <v>0</v>
      </c>
      <c r="S3" s="44">
        <f>Mesures_Four!E33</f>
        <v>0</v>
      </c>
      <c r="T3" s="44">
        <f>Mesures_Four!E34</f>
        <v>0</v>
      </c>
      <c r="U3" s="44">
        <f>Mesures_Four!E35</f>
        <v>0</v>
      </c>
      <c r="V3" s="44">
        <f>Mesures_Four!E36</f>
        <v>0</v>
      </c>
      <c r="W3" s="159"/>
      <c r="X3" s="159"/>
      <c r="Y3" s="159"/>
    </row>
    <row r="4" spans="1:29" x14ac:dyDescent="0.25">
      <c r="M4" s="23"/>
      <c r="N4" s="211"/>
      <c r="O4" s="211"/>
      <c r="P4" s="211"/>
      <c r="Q4" s="211"/>
      <c r="R4" s="211"/>
      <c r="S4" s="211"/>
      <c r="T4" s="211"/>
      <c r="U4" s="211"/>
      <c r="V4" s="211"/>
      <c r="W4" s="159"/>
      <c r="X4" s="159"/>
      <c r="Y4" s="159"/>
    </row>
    <row r="5" spans="1:29" x14ac:dyDescent="0.25">
      <c r="A5" s="371" t="s">
        <v>344</v>
      </c>
      <c r="B5" s="371"/>
      <c r="C5" s="371"/>
      <c r="D5" s="371"/>
      <c r="E5" s="371"/>
      <c r="F5" s="371"/>
      <c r="G5" s="371"/>
      <c r="H5" s="371"/>
      <c r="I5" s="371"/>
      <c r="J5" s="371"/>
      <c r="M5" s="371" t="s">
        <v>88</v>
      </c>
      <c r="N5" s="371"/>
      <c r="O5" s="371"/>
      <c r="P5" s="371"/>
      <c r="Q5" s="371"/>
      <c r="R5" s="371"/>
      <c r="S5" s="371"/>
      <c r="T5" s="371"/>
      <c r="U5" s="371"/>
      <c r="V5" s="371"/>
      <c r="Z5" s="210"/>
    </row>
    <row r="6" spans="1:29" x14ac:dyDescent="0.25">
      <c r="A6" s="209" t="str" cm="1">
        <f t="array" ref="A6:J7">tab_transfert200[#All]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343</v>
      </c>
      <c r="N6" s="207" t="str" cm="1">
        <f t="array" ref="N6:V6">tab_transfert200[[#Headers],[Connecteur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7">tab_four200[[#All],[Consigne T°]]</f>
        <v>Consigne T°</v>
      </c>
      <c r="Z6" s="202" t="str" cm="1">
        <f t="array" ref="Z6:AC7">tab_four200[[#All],[Date/Heure]:[Pt Chaud]]</f>
        <v>Date/Heure</v>
      </c>
      <c r="AA6" s="202" t="str">
        <v>Pt Froid</v>
      </c>
      <c r="AB6" s="202" t="str">
        <v>Regulation</v>
      </c>
      <c r="AC6" s="202" t="str">
        <v>Pt Chaud</v>
      </c>
    </row>
    <row r="7" spans="1:29" ht="15" customHeight="1" x14ac:dyDescent="0.25">
      <c r="A7" s="23">
        <v>0</v>
      </c>
      <c r="B7">
        <v>0</v>
      </c>
      <c r="C7">
        <v>0</v>
      </c>
      <c r="D7">
        <v>0</v>
      </c>
      <c r="E7">
        <v>0</v>
      </c>
      <c r="F7">
        <v>0</v>
      </c>
      <c r="G7">
        <v>0</v>
      </c>
      <c r="H7">
        <v>0</v>
      </c>
      <c r="I7">
        <v>0</v>
      </c>
      <c r="J7">
        <v>0</v>
      </c>
      <c r="K7" s="205"/>
      <c r="M7" s="374" t="s">
        <v>342</v>
      </c>
      <c r="N7" s="206" cm="1">
        <f t="array" ref="N7:V7">tab_transfert200[[Connecteur 1]:[Connecteur 9]]+N2:V2+N3:V3</f>
        <v>0</v>
      </c>
      <c r="O7" s="206">
        <v>0</v>
      </c>
      <c r="P7" s="206">
        <v>0</v>
      </c>
      <c r="Q7" s="206">
        <v>0</v>
      </c>
      <c r="R7" s="206">
        <v>0</v>
      </c>
      <c r="S7" s="206">
        <v>0</v>
      </c>
      <c r="T7" s="206">
        <v>0</v>
      </c>
      <c r="U7" s="206">
        <v>0</v>
      </c>
      <c r="V7" s="206">
        <v>0</v>
      </c>
      <c r="W7" s="203">
        <v>0</v>
      </c>
      <c r="Z7" s="23">
        <v>0</v>
      </c>
      <c r="AA7">
        <v>0</v>
      </c>
      <c r="AB7">
        <v>0</v>
      </c>
      <c r="AC7">
        <v>0</v>
      </c>
    </row>
    <row r="8" spans="1:29" ht="15" customHeight="1" x14ac:dyDescent="0.25">
      <c r="A8" s="23"/>
      <c r="B8"/>
      <c r="C8"/>
      <c r="D8"/>
      <c r="E8"/>
      <c r="F8"/>
      <c r="G8"/>
      <c r="H8"/>
      <c r="I8"/>
      <c r="J8"/>
      <c r="K8" s="205"/>
      <c r="M8" s="374"/>
      <c r="N8" s="206"/>
      <c r="O8" s="206"/>
      <c r="P8" s="206"/>
      <c r="Q8" s="206"/>
      <c r="R8" s="206"/>
      <c r="S8" s="206"/>
      <c r="T8" s="206"/>
      <c r="U8" s="206"/>
      <c r="V8" s="206"/>
      <c r="W8" s="203"/>
      <c r="Z8" s="23"/>
    </row>
    <row r="9" spans="1:29" ht="15" customHeight="1" x14ac:dyDescent="0.25">
      <c r="A9" s="23"/>
      <c r="B9"/>
      <c r="C9"/>
      <c r="D9"/>
      <c r="E9"/>
      <c r="F9"/>
      <c r="G9"/>
      <c r="H9"/>
      <c r="I9"/>
      <c r="J9"/>
      <c r="K9" s="205"/>
      <c r="M9" s="374"/>
      <c r="N9" s="206"/>
      <c r="O9" s="206"/>
      <c r="P9" s="206"/>
      <c r="Q9" s="206"/>
      <c r="R9" s="206"/>
      <c r="S9" s="206"/>
      <c r="T9" s="206"/>
      <c r="U9" s="206"/>
      <c r="V9" s="206"/>
      <c r="W9" s="203"/>
      <c r="Z9" s="23"/>
    </row>
    <row r="10" spans="1:29" ht="15" customHeight="1" x14ac:dyDescent="0.25">
      <c r="A10" s="23"/>
      <c r="B10"/>
      <c r="C10"/>
      <c r="D10"/>
      <c r="E10"/>
      <c r="F10"/>
      <c r="G10"/>
      <c r="H10"/>
      <c r="I10"/>
      <c r="J10"/>
      <c r="K10" s="205"/>
      <c r="M10" s="374"/>
      <c r="N10" s="206"/>
      <c r="O10" s="206"/>
      <c r="P10" s="206"/>
      <c r="Q10" s="206"/>
      <c r="R10" s="206"/>
      <c r="S10" s="206"/>
      <c r="T10" s="206"/>
      <c r="U10" s="206"/>
      <c r="V10" s="206"/>
      <c r="W10" s="203"/>
      <c r="Z10" s="23"/>
    </row>
    <row r="11" spans="1:29" ht="15" customHeight="1" x14ac:dyDescent="0.25">
      <c r="A11" s="23"/>
      <c r="B11"/>
      <c r="C11"/>
      <c r="D11"/>
      <c r="E11"/>
      <c r="F11"/>
      <c r="G11"/>
      <c r="H11"/>
      <c r="I11"/>
      <c r="J11"/>
      <c r="K11" s="205"/>
      <c r="M11" s="374"/>
      <c r="N11" s="206"/>
      <c r="O11" s="206"/>
      <c r="P11" s="206"/>
      <c r="Q11" s="206"/>
      <c r="R11" s="206"/>
      <c r="S11" s="206"/>
      <c r="T11" s="206"/>
      <c r="U11" s="206"/>
      <c r="V11" s="206"/>
      <c r="W11" s="203"/>
      <c r="Z11" s="23"/>
    </row>
    <row r="12" spans="1:29" ht="15" customHeight="1" x14ac:dyDescent="0.25">
      <c r="A12" s="23"/>
      <c r="B12"/>
      <c r="C12"/>
      <c r="D12"/>
      <c r="E12"/>
      <c r="F12"/>
      <c r="G12"/>
      <c r="H12"/>
      <c r="I12"/>
      <c r="J12"/>
      <c r="K12" s="205"/>
      <c r="M12" s="374"/>
      <c r="N12" s="206"/>
      <c r="O12" s="206"/>
      <c r="P12" s="206"/>
      <c r="Q12" s="206"/>
      <c r="R12" s="206"/>
      <c r="S12" s="206"/>
      <c r="T12" s="206"/>
      <c r="U12" s="206"/>
      <c r="V12" s="206"/>
      <c r="W12" s="203"/>
      <c r="Z12" s="23"/>
    </row>
    <row r="13" spans="1:29" ht="15" customHeight="1" x14ac:dyDescent="0.25">
      <c r="A13" s="23"/>
      <c r="B13"/>
      <c r="C13"/>
      <c r="D13"/>
      <c r="E13"/>
      <c r="F13"/>
      <c r="G13"/>
      <c r="H13"/>
      <c r="I13"/>
      <c r="J13"/>
      <c r="K13" s="205"/>
      <c r="M13" s="374"/>
      <c r="N13" s="206"/>
      <c r="O13" s="206"/>
      <c r="P13" s="206"/>
      <c r="Q13" s="206"/>
      <c r="R13" s="206"/>
      <c r="S13" s="206"/>
      <c r="T13" s="206"/>
      <c r="U13" s="206"/>
      <c r="V13" s="206"/>
      <c r="W13" s="203"/>
      <c r="Z13" s="23"/>
    </row>
    <row r="14" spans="1:29" ht="15" customHeight="1" x14ac:dyDescent="0.25">
      <c r="A14" s="23"/>
      <c r="B14"/>
      <c r="C14"/>
      <c r="D14"/>
      <c r="E14"/>
      <c r="F14"/>
      <c r="G14"/>
      <c r="H14"/>
      <c r="I14"/>
      <c r="J14"/>
      <c r="K14" s="205"/>
      <c r="M14" s="374"/>
      <c r="N14" s="206"/>
      <c r="O14" s="206"/>
      <c r="P14" s="206"/>
      <c r="Q14" s="206"/>
      <c r="R14" s="206"/>
      <c r="S14" s="206"/>
      <c r="T14" s="206"/>
      <c r="U14" s="206"/>
      <c r="V14" s="206"/>
      <c r="W14" s="203"/>
      <c r="Z14" s="23"/>
    </row>
    <row r="15" spans="1:29" ht="15" customHeight="1" x14ac:dyDescent="0.25">
      <c r="A15" s="23"/>
      <c r="B15"/>
      <c r="C15"/>
      <c r="D15"/>
      <c r="E15"/>
      <c r="F15"/>
      <c r="G15"/>
      <c r="H15"/>
      <c r="I15"/>
      <c r="J15"/>
      <c r="K15" s="205"/>
      <c r="M15" s="374"/>
      <c r="N15" s="206"/>
      <c r="O15" s="206"/>
      <c r="P15" s="206"/>
      <c r="Q15" s="206"/>
      <c r="R15" s="206"/>
      <c r="S15" s="206"/>
      <c r="T15" s="206"/>
      <c r="U15" s="206"/>
      <c r="V15" s="206"/>
      <c r="W15" s="203"/>
      <c r="Z15" s="23"/>
    </row>
    <row r="16" spans="1:29" ht="15" customHeight="1" x14ac:dyDescent="0.25">
      <c r="A16" s="23"/>
      <c r="B16"/>
      <c r="C16"/>
      <c r="D16"/>
      <c r="E16"/>
      <c r="F16"/>
      <c r="G16"/>
      <c r="H16"/>
      <c r="I16"/>
      <c r="J16"/>
      <c r="K16" s="205"/>
      <c r="M16" s="374"/>
      <c r="N16" s="206"/>
      <c r="O16" s="206"/>
      <c r="P16" s="206"/>
      <c r="Q16" s="206"/>
      <c r="R16" s="206"/>
      <c r="S16" s="206"/>
      <c r="T16" s="206"/>
      <c r="U16" s="206"/>
      <c r="V16" s="206"/>
      <c r="W16" s="203"/>
      <c r="Z16" s="23"/>
    </row>
    <row r="17" spans="1:26" ht="15" customHeight="1" x14ac:dyDescent="0.25">
      <c r="A17" s="23"/>
      <c r="B17"/>
      <c r="C17"/>
      <c r="D17"/>
      <c r="E17"/>
      <c r="F17"/>
      <c r="G17"/>
      <c r="H17"/>
      <c r="I17"/>
      <c r="J17"/>
      <c r="K17" s="205"/>
      <c r="M17" s="374"/>
      <c r="N17" s="206"/>
      <c r="O17" s="206"/>
      <c r="P17" s="206"/>
      <c r="Q17" s="206"/>
      <c r="R17" s="206"/>
      <c r="S17" s="206"/>
      <c r="T17" s="206"/>
      <c r="U17" s="206"/>
      <c r="V17" s="206"/>
      <c r="W17" s="203"/>
      <c r="Z17" s="23"/>
    </row>
    <row r="18" spans="1:26" ht="15" customHeight="1" x14ac:dyDescent="0.25">
      <c r="A18" s="23"/>
      <c r="B18"/>
      <c r="C18"/>
      <c r="D18"/>
      <c r="E18"/>
      <c r="F18"/>
      <c r="G18"/>
      <c r="H18"/>
      <c r="I18"/>
      <c r="J18"/>
      <c r="K18" s="205"/>
      <c r="M18" s="374"/>
      <c r="N18" s="206"/>
      <c r="O18" s="206"/>
      <c r="P18" s="206"/>
      <c r="Q18" s="206"/>
      <c r="R18" s="206"/>
      <c r="S18" s="206"/>
      <c r="T18" s="206"/>
      <c r="U18" s="206"/>
      <c r="V18" s="206"/>
      <c r="W18" s="203"/>
      <c r="Z18" s="23"/>
    </row>
    <row r="19" spans="1:26" ht="15" customHeight="1" x14ac:dyDescent="0.25">
      <c r="A19" s="23"/>
      <c r="B19"/>
      <c r="C19"/>
      <c r="D19"/>
      <c r="E19"/>
      <c r="F19"/>
      <c r="G19"/>
      <c r="H19"/>
      <c r="I19"/>
      <c r="J19"/>
      <c r="K19" s="205"/>
      <c r="M19" s="374"/>
      <c r="N19" s="206"/>
      <c r="O19" s="206"/>
      <c r="P19" s="206"/>
      <c r="Q19" s="206"/>
      <c r="R19" s="206"/>
      <c r="S19" s="206"/>
      <c r="T19" s="206"/>
      <c r="U19" s="206"/>
      <c r="V19" s="206"/>
      <c r="W19" s="203"/>
      <c r="Z19" s="23"/>
    </row>
    <row r="20" spans="1:26" ht="15" customHeight="1" x14ac:dyDescent="0.25">
      <c r="A20" s="23"/>
      <c r="B20"/>
      <c r="C20"/>
      <c r="D20"/>
      <c r="E20"/>
      <c r="F20"/>
      <c r="G20"/>
      <c r="H20"/>
      <c r="I20"/>
      <c r="J20"/>
      <c r="K20" s="205"/>
      <c r="M20" s="374"/>
      <c r="N20" s="206"/>
      <c r="O20" s="206"/>
      <c r="P20" s="206"/>
      <c r="Q20" s="206"/>
      <c r="R20" s="206"/>
      <c r="S20" s="206"/>
      <c r="T20" s="206"/>
      <c r="U20" s="206"/>
      <c r="V20" s="206"/>
      <c r="W20" s="203"/>
      <c r="Z20" s="23"/>
    </row>
    <row r="21" spans="1:26" ht="15" customHeight="1" x14ac:dyDescent="0.25">
      <c r="A21" s="23"/>
      <c r="B21"/>
      <c r="C21"/>
      <c r="D21"/>
      <c r="E21"/>
      <c r="F21"/>
      <c r="G21"/>
      <c r="H21"/>
      <c r="I21"/>
      <c r="J21"/>
      <c r="K21" s="205"/>
      <c r="M21" s="374"/>
      <c r="N21" s="206"/>
      <c r="O21" s="206"/>
      <c r="P21" s="206"/>
      <c r="Q21" s="206"/>
      <c r="R21" s="206"/>
      <c r="S21" s="206"/>
      <c r="T21" s="206"/>
      <c r="U21" s="206"/>
      <c r="V21" s="206"/>
      <c r="W21" s="203"/>
      <c r="Z21" s="23"/>
    </row>
    <row r="22" spans="1:26" ht="15" customHeight="1" x14ac:dyDescent="0.25">
      <c r="A22" s="23"/>
      <c r="B22"/>
      <c r="C22"/>
      <c r="D22"/>
      <c r="E22"/>
      <c r="F22"/>
      <c r="G22"/>
      <c r="H22"/>
      <c r="I22"/>
      <c r="J22"/>
      <c r="K22" s="205"/>
      <c r="M22" s="374"/>
      <c r="N22" s="206"/>
      <c r="O22" s="206"/>
      <c r="P22" s="206"/>
      <c r="Q22" s="206"/>
      <c r="R22" s="206"/>
      <c r="S22" s="206"/>
      <c r="T22" s="206"/>
      <c r="U22" s="206"/>
      <c r="V22" s="206"/>
      <c r="W22" s="203"/>
      <c r="Z22" s="23"/>
    </row>
    <row r="23" spans="1:26" ht="15" customHeight="1" x14ac:dyDescent="0.25">
      <c r="A23" s="23"/>
      <c r="B23"/>
      <c r="C23"/>
      <c r="D23"/>
      <c r="E23"/>
      <c r="F23"/>
      <c r="G23"/>
      <c r="H23"/>
      <c r="I23"/>
      <c r="J23"/>
      <c r="K23" s="205"/>
      <c r="M23" s="374"/>
      <c r="N23" s="206"/>
      <c r="O23" s="206"/>
      <c r="P23" s="206"/>
      <c r="Q23" s="206"/>
      <c r="R23" s="206"/>
      <c r="S23" s="206"/>
      <c r="T23" s="206"/>
      <c r="U23" s="206"/>
      <c r="V23" s="206"/>
      <c r="W23" s="203"/>
      <c r="Z23" s="23"/>
    </row>
    <row r="24" spans="1:26" ht="15" customHeight="1" x14ac:dyDescent="0.25">
      <c r="A24" s="23"/>
      <c r="B24"/>
      <c r="C24"/>
      <c r="D24"/>
      <c r="E24"/>
      <c r="F24"/>
      <c r="G24"/>
      <c r="H24"/>
      <c r="I24"/>
      <c r="J24"/>
      <c r="K24" s="205"/>
      <c r="M24" s="374"/>
      <c r="N24" s="206"/>
      <c r="O24" s="206"/>
      <c r="P24" s="206"/>
      <c r="Q24" s="206"/>
      <c r="R24" s="206"/>
      <c r="S24" s="206"/>
      <c r="T24" s="206"/>
      <c r="U24" s="206"/>
      <c r="V24" s="206"/>
      <c r="W24" s="203"/>
      <c r="Z24" s="23"/>
    </row>
    <row r="25" spans="1:26" ht="15" customHeight="1" x14ac:dyDescent="0.25">
      <c r="A25" s="23"/>
      <c r="B25"/>
      <c r="C25"/>
      <c r="D25"/>
      <c r="E25"/>
      <c r="F25"/>
      <c r="G25"/>
      <c r="H25"/>
      <c r="I25"/>
      <c r="J25"/>
      <c r="K25" s="205"/>
      <c r="M25" s="374"/>
      <c r="N25" s="206"/>
      <c r="O25" s="206"/>
      <c r="P25" s="206"/>
      <c r="Q25" s="206"/>
      <c r="R25" s="206"/>
      <c r="S25" s="206"/>
      <c r="T25" s="206"/>
      <c r="U25" s="206"/>
      <c r="V25" s="206"/>
      <c r="W25" s="203"/>
      <c r="Z25" s="23"/>
    </row>
    <row r="26" spans="1:26" ht="15" customHeight="1" x14ac:dyDescent="0.25">
      <c r="A26" s="23"/>
      <c r="B26"/>
      <c r="C26"/>
      <c r="D26"/>
      <c r="E26"/>
      <c r="F26"/>
      <c r="G26"/>
      <c r="H26"/>
      <c r="I26"/>
      <c r="J26"/>
      <c r="K26" s="205"/>
      <c r="M26" s="374"/>
      <c r="N26" s="206"/>
      <c r="O26" s="206"/>
      <c r="P26" s="206"/>
      <c r="Q26" s="206"/>
      <c r="R26" s="206"/>
      <c r="S26" s="206"/>
      <c r="T26" s="206"/>
      <c r="U26" s="206"/>
      <c r="V26" s="206"/>
      <c r="W26" s="203"/>
      <c r="Z26" s="23"/>
    </row>
    <row r="27" spans="1:26" ht="15" customHeight="1" x14ac:dyDescent="0.25">
      <c r="A27" s="23"/>
      <c r="B27"/>
      <c r="C27"/>
      <c r="D27"/>
      <c r="E27"/>
      <c r="F27"/>
      <c r="G27"/>
      <c r="H27"/>
      <c r="I27"/>
      <c r="J27"/>
      <c r="K27" s="205"/>
      <c r="M27" s="374"/>
      <c r="N27" s="206"/>
      <c r="O27" s="206"/>
      <c r="P27" s="206"/>
      <c r="Q27" s="206"/>
      <c r="R27" s="206"/>
      <c r="S27" s="206"/>
      <c r="T27" s="206"/>
      <c r="U27" s="206"/>
      <c r="V27" s="206"/>
      <c r="W27" s="203"/>
      <c r="Z27" s="23"/>
    </row>
    <row r="28" spans="1:26" ht="15" customHeight="1" x14ac:dyDescent="0.25">
      <c r="A28" s="23"/>
      <c r="B28"/>
      <c r="C28"/>
      <c r="D28"/>
      <c r="E28"/>
      <c r="F28"/>
      <c r="G28"/>
      <c r="H28"/>
      <c r="I28"/>
      <c r="J28"/>
      <c r="K28" s="205"/>
      <c r="M28" s="374"/>
      <c r="N28" s="206"/>
      <c r="O28" s="206"/>
      <c r="P28" s="206"/>
      <c r="Q28" s="206"/>
      <c r="R28" s="206"/>
      <c r="S28" s="206"/>
      <c r="T28" s="206"/>
      <c r="U28" s="206"/>
      <c r="V28" s="206"/>
      <c r="W28" s="203"/>
      <c r="Z28" s="23"/>
    </row>
    <row r="29" spans="1:26" ht="15" customHeight="1" x14ac:dyDescent="0.25">
      <c r="A29" s="23"/>
      <c r="B29"/>
      <c r="C29"/>
      <c r="D29"/>
      <c r="E29"/>
      <c r="F29"/>
      <c r="G29"/>
      <c r="H29"/>
      <c r="I29"/>
      <c r="J29"/>
      <c r="K29" s="205"/>
      <c r="M29" s="374"/>
      <c r="N29" s="206"/>
      <c r="O29" s="206"/>
      <c r="P29" s="206"/>
      <c r="Q29" s="206"/>
      <c r="R29" s="206"/>
      <c r="S29" s="206"/>
      <c r="T29" s="206"/>
      <c r="U29" s="206"/>
      <c r="V29" s="206"/>
      <c r="W29" s="203"/>
      <c r="Z29" s="23"/>
    </row>
    <row r="30" spans="1:26" ht="15" customHeight="1" x14ac:dyDescent="0.25">
      <c r="A30" s="23"/>
      <c r="B30"/>
      <c r="C30"/>
      <c r="D30"/>
      <c r="E30"/>
      <c r="F30"/>
      <c r="G30"/>
      <c r="H30"/>
      <c r="I30"/>
      <c r="J30"/>
      <c r="K30" s="205"/>
      <c r="M30" s="374"/>
      <c r="N30" s="206"/>
      <c r="O30" s="206"/>
      <c r="P30" s="206"/>
      <c r="Q30" s="206"/>
      <c r="R30" s="206"/>
      <c r="S30" s="206"/>
      <c r="T30" s="206"/>
      <c r="U30" s="206"/>
      <c r="V30" s="206"/>
      <c r="W30" s="203"/>
      <c r="Z30" s="23"/>
    </row>
    <row r="31" spans="1:26" ht="15" customHeight="1" x14ac:dyDescent="0.25">
      <c r="A31" s="23"/>
      <c r="B31"/>
      <c r="C31"/>
      <c r="D31"/>
      <c r="E31"/>
      <c r="F31"/>
      <c r="G31"/>
      <c r="H31"/>
      <c r="I31"/>
      <c r="J31"/>
      <c r="K31" s="205"/>
      <c r="M31" s="374"/>
      <c r="N31" s="206"/>
      <c r="O31" s="206"/>
      <c r="P31" s="206"/>
      <c r="Q31" s="206"/>
      <c r="R31" s="206"/>
      <c r="S31" s="206"/>
      <c r="T31" s="206"/>
      <c r="U31" s="206"/>
      <c r="V31" s="206"/>
      <c r="W31" s="203"/>
      <c r="Z31" s="23"/>
    </row>
    <row r="32" spans="1:26" ht="15" customHeight="1" x14ac:dyDescent="0.25">
      <c r="A32" s="23"/>
      <c r="B32"/>
      <c r="C32"/>
      <c r="D32"/>
      <c r="E32"/>
      <c r="F32"/>
      <c r="G32"/>
      <c r="H32"/>
      <c r="I32"/>
      <c r="J32"/>
      <c r="K32" s="205"/>
      <c r="M32" s="374"/>
      <c r="N32" s="206"/>
      <c r="O32" s="206"/>
      <c r="P32" s="206"/>
      <c r="Q32" s="206"/>
      <c r="R32" s="206"/>
      <c r="S32" s="206"/>
      <c r="T32" s="206"/>
      <c r="U32" s="206"/>
      <c r="V32" s="206"/>
      <c r="W32" s="203"/>
      <c r="Z32" s="23"/>
    </row>
    <row r="33" spans="1:26" ht="15" customHeight="1" x14ac:dyDescent="0.25">
      <c r="A33" s="23"/>
      <c r="B33"/>
      <c r="C33"/>
      <c r="D33"/>
      <c r="E33"/>
      <c r="F33"/>
      <c r="G33"/>
      <c r="H33"/>
      <c r="I33"/>
      <c r="J33"/>
      <c r="K33" s="205"/>
      <c r="M33" s="374"/>
      <c r="N33" s="206"/>
      <c r="O33" s="206"/>
      <c r="P33" s="206"/>
      <c r="Q33" s="206"/>
      <c r="R33" s="206"/>
      <c r="S33" s="206"/>
      <c r="T33" s="206"/>
      <c r="U33" s="206"/>
      <c r="V33" s="206"/>
      <c r="W33" s="203"/>
      <c r="Z33" s="23"/>
    </row>
    <row r="34" spans="1:26" ht="15" customHeight="1" x14ac:dyDescent="0.25">
      <c r="A34" s="23"/>
      <c r="B34"/>
      <c r="C34"/>
      <c r="D34"/>
      <c r="E34"/>
      <c r="F34"/>
      <c r="G34"/>
      <c r="H34"/>
      <c r="I34"/>
      <c r="J34"/>
      <c r="K34" s="205"/>
      <c r="M34" s="374"/>
      <c r="N34" s="206"/>
      <c r="O34" s="206"/>
      <c r="P34" s="206"/>
      <c r="Q34" s="206"/>
      <c r="R34" s="206"/>
      <c r="S34" s="206"/>
      <c r="T34" s="206"/>
      <c r="U34" s="206"/>
      <c r="V34" s="206"/>
      <c r="W34" s="203"/>
      <c r="Z34" s="23"/>
    </row>
    <row r="35" spans="1:26" ht="15" customHeight="1" x14ac:dyDescent="0.25">
      <c r="A35" s="23"/>
      <c r="B35"/>
      <c r="C35"/>
      <c r="D35"/>
      <c r="E35"/>
      <c r="F35"/>
      <c r="G35"/>
      <c r="H35"/>
      <c r="I35"/>
      <c r="J35"/>
      <c r="K35" s="205"/>
      <c r="M35" s="374"/>
      <c r="N35" s="206"/>
      <c r="O35" s="206"/>
      <c r="P35" s="206"/>
      <c r="Q35" s="206"/>
      <c r="R35" s="206"/>
      <c r="S35" s="206"/>
      <c r="T35" s="206"/>
      <c r="U35" s="206"/>
      <c r="V35" s="206"/>
      <c r="W35" s="203"/>
      <c r="Z35" s="23"/>
    </row>
    <row r="36" spans="1:26" ht="15" customHeight="1" x14ac:dyDescent="0.25">
      <c r="A36" s="23"/>
      <c r="B36"/>
      <c r="C36"/>
      <c r="D36"/>
      <c r="E36"/>
      <c r="F36"/>
      <c r="G36"/>
      <c r="H36"/>
      <c r="I36"/>
      <c r="J36"/>
      <c r="K36" s="205"/>
      <c r="M36" s="374"/>
      <c r="N36" s="206"/>
      <c r="O36" s="206"/>
      <c r="P36" s="206"/>
      <c r="Q36" s="206"/>
      <c r="R36" s="206"/>
      <c r="S36" s="206"/>
      <c r="T36" s="206"/>
      <c r="U36" s="206"/>
      <c r="V36" s="206"/>
      <c r="W36" s="203"/>
      <c r="Z36" s="23"/>
    </row>
    <row r="37" spans="1:26" ht="15" customHeight="1" x14ac:dyDescent="0.25">
      <c r="A37" s="23"/>
      <c r="B37"/>
      <c r="C37"/>
      <c r="D37"/>
      <c r="E37"/>
      <c r="F37"/>
      <c r="G37"/>
      <c r="H37"/>
      <c r="I37"/>
      <c r="J37"/>
      <c r="K37" s="205"/>
      <c r="M37" s="374"/>
      <c r="N37" s="206"/>
      <c r="O37" s="206"/>
      <c r="P37" s="206"/>
      <c r="Q37" s="206"/>
      <c r="R37" s="206"/>
      <c r="S37" s="206"/>
      <c r="T37" s="206"/>
      <c r="U37" s="206"/>
      <c r="V37" s="206"/>
      <c r="W37" s="203"/>
      <c r="Z37" s="23"/>
    </row>
    <row r="38" spans="1:26" ht="15" customHeight="1" x14ac:dyDescent="0.25">
      <c r="A38" s="23"/>
      <c r="B38"/>
      <c r="C38"/>
      <c r="D38"/>
      <c r="E38"/>
      <c r="F38"/>
      <c r="G38"/>
      <c r="H38"/>
      <c r="I38"/>
      <c r="J38"/>
      <c r="K38" s="205"/>
      <c r="M38" s="374"/>
      <c r="N38" s="206"/>
      <c r="O38" s="206"/>
      <c r="P38" s="206"/>
      <c r="Q38" s="206"/>
      <c r="R38" s="206"/>
      <c r="S38" s="206"/>
      <c r="T38" s="206"/>
      <c r="U38" s="206"/>
      <c r="V38" s="206"/>
      <c r="W38" s="203"/>
      <c r="Z38" s="23"/>
    </row>
    <row r="39" spans="1:26" ht="15" customHeight="1" x14ac:dyDescent="0.25">
      <c r="A39" s="23"/>
      <c r="B39"/>
      <c r="C39"/>
      <c r="D39"/>
      <c r="E39"/>
      <c r="F39"/>
      <c r="G39"/>
      <c r="H39"/>
      <c r="I39"/>
      <c r="J39"/>
      <c r="K39" s="205"/>
      <c r="M39" s="374"/>
      <c r="N39" s="206"/>
      <c r="O39" s="206"/>
      <c r="P39" s="206"/>
      <c r="Q39" s="206"/>
      <c r="R39" s="206"/>
      <c r="S39" s="206"/>
      <c r="T39" s="206"/>
      <c r="U39" s="206"/>
      <c r="V39" s="206"/>
      <c r="W39" s="203"/>
      <c r="Z39" s="23"/>
    </row>
    <row r="40" spans="1:26" ht="15" customHeight="1" x14ac:dyDescent="0.25">
      <c r="A40" s="23"/>
      <c r="B40"/>
      <c r="C40"/>
      <c r="D40"/>
      <c r="E40"/>
      <c r="F40"/>
      <c r="G40"/>
      <c r="H40"/>
      <c r="I40"/>
      <c r="J40"/>
      <c r="K40" s="205"/>
      <c r="M40" s="374"/>
      <c r="N40" s="206"/>
      <c r="O40" s="206"/>
      <c r="P40" s="206"/>
      <c r="Q40" s="206"/>
      <c r="R40" s="206"/>
      <c r="S40" s="206"/>
      <c r="T40" s="206"/>
      <c r="U40" s="206"/>
      <c r="V40" s="206"/>
      <c r="W40" s="203"/>
      <c r="Z40" s="23"/>
    </row>
    <row r="41" spans="1:26" ht="15" customHeight="1" x14ac:dyDescent="0.25">
      <c r="A41" s="23"/>
      <c r="B41"/>
      <c r="C41"/>
      <c r="D41"/>
      <c r="E41"/>
      <c r="F41"/>
      <c r="G41"/>
      <c r="H41"/>
      <c r="I41"/>
      <c r="J41"/>
      <c r="K41" s="205"/>
      <c r="M41" s="374"/>
      <c r="N41" s="206"/>
      <c r="O41" s="206"/>
      <c r="P41" s="206"/>
      <c r="Q41" s="206"/>
      <c r="R41" s="206"/>
      <c r="S41" s="206"/>
      <c r="T41" s="206"/>
      <c r="U41" s="206"/>
      <c r="V41" s="206"/>
      <c r="W41" s="203"/>
      <c r="Z41" s="23"/>
    </row>
    <row r="42" spans="1:26" ht="15" customHeight="1" x14ac:dyDescent="0.25">
      <c r="A42" s="23"/>
      <c r="B42"/>
      <c r="C42"/>
      <c r="D42"/>
      <c r="E42"/>
      <c r="F42"/>
      <c r="G42"/>
      <c r="H42"/>
      <c r="I42"/>
      <c r="J42"/>
      <c r="K42" s="205"/>
      <c r="M42" s="374"/>
      <c r="N42" s="206"/>
      <c r="O42" s="206"/>
      <c r="P42" s="206"/>
      <c r="Q42" s="206"/>
      <c r="R42" s="206"/>
      <c r="S42" s="206"/>
      <c r="T42" s="206"/>
      <c r="U42" s="206"/>
      <c r="V42" s="206"/>
      <c r="W42" s="203"/>
      <c r="Z42" s="23"/>
    </row>
    <row r="43" spans="1:26" ht="15" customHeight="1" x14ac:dyDescent="0.25">
      <c r="A43" s="23"/>
      <c r="B43"/>
      <c r="C43"/>
      <c r="D43"/>
      <c r="E43"/>
      <c r="F43"/>
      <c r="G43"/>
      <c r="H43"/>
      <c r="I43"/>
      <c r="J43"/>
      <c r="K43" s="205"/>
      <c r="M43" s="374"/>
      <c r="N43" s="206"/>
      <c r="O43" s="206"/>
      <c r="P43" s="206"/>
      <c r="Q43" s="206"/>
      <c r="R43" s="206"/>
      <c r="S43" s="206"/>
      <c r="T43" s="206"/>
      <c r="U43" s="206"/>
      <c r="V43" s="206"/>
      <c r="W43" s="203"/>
      <c r="Z43" s="23"/>
    </row>
    <row r="44" spans="1:26" ht="15" customHeight="1" x14ac:dyDescent="0.25">
      <c r="A44" s="23"/>
      <c r="B44"/>
      <c r="C44"/>
      <c r="D44"/>
      <c r="E44"/>
      <c r="F44"/>
      <c r="G44"/>
      <c r="H44"/>
      <c r="I44"/>
      <c r="J44"/>
      <c r="K44" s="205"/>
      <c r="M44" s="374"/>
      <c r="N44" s="206"/>
      <c r="O44" s="206"/>
      <c r="P44" s="206"/>
      <c r="Q44" s="206"/>
      <c r="R44" s="206"/>
      <c r="S44" s="206"/>
      <c r="T44" s="206"/>
      <c r="U44" s="206"/>
      <c r="V44" s="206"/>
      <c r="W44" s="203"/>
      <c r="Z44" s="23"/>
    </row>
    <row r="45" spans="1:26" ht="15" customHeight="1" x14ac:dyDescent="0.25">
      <c r="A45" s="23"/>
      <c r="B45"/>
      <c r="C45"/>
      <c r="D45"/>
      <c r="E45"/>
      <c r="F45"/>
      <c r="G45"/>
      <c r="H45"/>
      <c r="I45"/>
      <c r="J45"/>
      <c r="K45" s="205"/>
      <c r="M45" s="374"/>
      <c r="N45" s="206"/>
      <c r="O45" s="206"/>
      <c r="P45" s="206"/>
      <c r="Q45" s="206"/>
      <c r="R45" s="206"/>
      <c r="S45" s="206"/>
      <c r="T45" s="206"/>
      <c r="U45" s="206"/>
      <c r="V45" s="206"/>
      <c r="W45" s="203"/>
      <c r="Z45" s="23"/>
    </row>
    <row r="46" spans="1:26" ht="15" customHeight="1" x14ac:dyDescent="0.25">
      <c r="A46" s="23"/>
      <c r="B46"/>
      <c r="C46"/>
      <c r="D46"/>
      <c r="E46"/>
      <c r="F46"/>
      <c r="G46"/>
      <c r="H46"/>
      <c r="I46"/>
      <c r="J46"/>
      <c r="K46" s="205"/>
      <c r="M46" s="374"/>
      <c r="N46" s="206"/>
      <c r="O46" s="206"/>
      <c r="P46" s="206"/>
      <c r="Q46" s="206"/>
      <c r="R46" s="206"/>
      <c r="S46" s="206"/>
      <c r="T46" s="206"/>
      <c r="U46" s="206"/>
      <c r="V46" s="206"/>
      <c r="W46" s="203"/>
      <c r="Z46" s="23"/>
    </row>
    <row r="47" spans="1:26" ht="15" customHeight="1" x14ac:dyDescent="0.25">
      <c r="A47" s="23"/>
      <c r="B47"/>
      <c r="C47"/>
      <c r="D47"/>
      <c r="E47"/>
      <c r="F47"/>
      <c r="G47"/>
      <c r="H47"/>
      <c r="I47"/>
      <c r="J47"/>
      <c r="K47" s="205"/>
      <c r="M47" s="374"/>
      <c r="N47" s="206"/>
      <c r="O47" s="206"/>
      <c r="P47" s="206"/>
      <c r="Q47" s="206"/>
      <c r="R47" s="206"/>
      <c r="S47" s="206"/>
      <c r="T47" s="206"/>
      <c r="U47" s="206"/>
      <c r="V47" s="206"/>
      <c r="W47" s="203"/>
      <c r="Z47" s="23"/>
    </row>
    <row r="48" spans="1:26" ht="15" customHeight="1" x14ac:dyDescent="0.25">
      <c r="A48" s="23"/>
      <c r="B48"/>
      <c r="C48"/>
      <c r="D48"/>
      <c r="E48"/>
      <c r="F48"/>
      <c r="G48"/>
      <c r="H48"/>
      <c r="I48"/>
      <c r="J48"/>
      <c r="K48" s="205"/>
      <c r="M48" s="374"/>
      <c r="N48" s="206"/>
      <c r="O48" s="206"/>
      <c r="P48" s="206"/>
      <c r="Q48" s="206"/>
      <c r="R48" s="206"/>
      <c r="S48" s="206"/>
      <c r="T48" s="206"/>
      <c r="U48" s="206"/>
      <c r="V48" s="206"/>
      <c r="W48" s="203"/>
      <c r="Z48" s="23"/>
    </row>
    <row r="49" spans="1:26" ht="15" customHeight="1" x14ac:dyDescent="0.25">
      <c r="A49" s="23"/>
      <c r="B49"/>
      <c r="C49"/>
      <c r="D49"/>
      <c r="E49"/>
      <c r="F49"/>
      <c r="G49"/>
      <c r="H49"/>
      <c r="I49"/>
      <c r="J49"/>
      <c r="K49" s="205"/>
      <c r="M49" s="374"/>
      <c r="N49" s="206"/>
      <c r="O49" s="206"/>
      <c r="P49" s="206"/>
      <c r="Q49" s="206"/>
      <c r="R49" s="206"/>
      <c r="S49" s="206"/>
      <c r="T49" s="206"/>
      <c r="U49" s="206"/>
      <c r="V49" s="206"/>
      <c r="W49" s="203"/>
      <c r="Z49" s="23"/>
    </row>
    <row r="50" spans="1:26" ht="15" customHeight="1" x14ac:dyDescent="0.25">
      <c r="A50" s="23"/>
      <c r="B50"/>
      <c r="C50"/>
      <c r="D50"/>
      <c r="E50"/>
      <c r="F50"/>
      <c r="G50"/>
      <c r="H50"/>
      <c r="I50"/>
      <c r="J50"/>
      <c r="K50" s="205"/>
      <c r="M50" s="374"/>
      <c r="N50" s="206"/>
      <c r="O50" s="206"/>
      <c r="P50" s="206"/>
      <c r="Q50" s="206"/>
      <c r="R50" s="206"/>
      <c r="S50" s="206"/>
      <c r="T50" s="206"/>
      <c r="U50" s="206"/>
      <c r="V50" s="206"/>
      <c r="W50" s="203"/>
      <c r="Z50" s="23"/>
    </row>
    <row r="51" spans="1:26" ht="15" customHeight="1" x14ac:dyDescent="0.25">
      <c r="A51" s="23"/>
      <c r="B51"/>
      <c r="C51"/>
      <c r="D51"/>
      <c r="E51"/>
      <c r="F51"/>
      <c r="G51"/>
      <c r="H51"/>
      <c r="I51"/>
      <c r="J51"/>
      <c r="K51" s="205"/>
      <c r="M51" s="374"/>
      <c r="N51" s="206"/>
      <c r="O51" s="206"/>
      <c r="P51" s="206"/>
      <c r="Q51" s="206"/>
      <c r="R51" s="206"/>
      <c r="S51" s="206"/>
      <c r="T51" s="206"/>
      <c r="U51" s="206"/>
      <c r="V51" s="206"/>
      <c r="W51" s="203"/>
      <c r="Z51" s="23"/>
    </row>
    <row r="52" spans="1:26" ht="15" customHeight="1" x14ac:dyDescent="0.25">
      <c r="A52" s="23"/>
      <c r="B52"/>
      <c r="C52"/>
      <c r="D52"/>
      <c r="E52"/>
      <c r="F52"/>
      <c r="G52"/>
      <c r="H52"/>
      <c r="I52"/>
      <c r="J52"/>
      <c r="K52" s="205"/>
      <c r="M52" s="374"/>
      <c r="N52" s="206"/>
      <c r="O52" s="206"/>
      <c r="P52" s="206"/>
      <c r="Q52" s="206"/>
      <c r="R52" s="206"/>
      <c r="S52" s="206"/>
      <c r="T52" s="206"/>
      <c r="U52" s="206"/>
      <c r="V52" s="206"/>
      <c r="W52" s="203"/>
      <c r="Z52" s="23"/>
    </row>
    <row r="53" spans="1:26" ht="15" customHeight="1" x14ac:dyDescent="0.25">
      <c r="A53" s="23"/>
      <c r="B53"/>
      <c r="C53"/>
      <c r="D53"/>
      <c r="E53"/>
      <c r="F53"/>
      <c r="G53"/>
      <c r="H53"/>
      <c r="I53"/>
      <c r="J53"/>
      <c r="K53" s="205"/>
      <c r="M53" s="374"/>
      <c r="N53" s="206"/>
      <c r="O53" s="206"/>
      <c r="P53" s="206"/>
      <c r="Q53" s="206"/>
      <c r="R53" s="206"/>
      <c r="S53" s="206"/>
      <c r="T53" s="206"/>
      <c r="U53" s="206"/>
      <c r="V53" s="206"/>
      <c r="W53" s="203"/>
      <c r="Z53" s="23"/>
    </row>
    <row r="54" spans="1:26" ht="15" customHeight="1" x14ac:dyDescent="0.25">
      <c r="A54" s="23"/>
      <c r="B54"/>
      <c r="C54"/>
      <c r="D54"/>
      <c r="E54"/>
      <c r="F54"/>
      <c r="G54"/>
      <c r="H54"/>
      <c r="I54"/>
      <c r="J54"/>
      <c r="K54" s="205"/>
      <c r="M54" s="374"/>
      <c r="N54" s="206"/>
      <c r="O54" s="206"/>
      <c r="P54" s="206"/>
      <c r="Q54" s="206"/>
      <c r="R54" s="206"/>
      <c r="S54" s="206"/>
      <c r="T54" s="206"/>
      <c r="U54" s="206"/>
      <c r="V54" s="206"/>
      <c r="W54" s="203"/>
      <c r="Z54" s="23"/>
    </row>
    <row r="55" spans="1:26" ht="15" customHeight="1" x14ac:dyDescent="0.25">
      <c r="A55" s="23"/>
      <c r="B55"/>
      <c r="C55"/>
      <c r="D55"/>
      <c r="E55"/>
      <c r="F55"/>
      <c r="G55"/>
      <c r="H55"/>
      <c r="I55"/>
      <c r="J55"/>
      <c r="K55" s="205"/>
      <c r="M55" s="374"/>
      <c r="N55" s="206"/>
      <c r="O55" s="206"/>
      <c r="P55" s="206"/>
      <c r="Q55" s="206"/>
      <c r="R55" s="206"/>
      <c r="S55" s="206"/>
      <c r="T55" s="206"/>
      <c r="U55" s="206"/>
      <c r="V55" s="206"/>
      <c r="W55" s="203"/>
      <c r="Z55" s="23"/>
    </row>
    <row r="56" spans="1:26" ht="15" customHeight="1" x14ac:dyDescent="0.25">
      <c r="A56" s="23"/>
      <c r="B56"/>
      <c r="C56"/>
      <c r="D56"/>
      <c r="E56"/>
      <c r="F56"/>
      <c r="G56"/>
      <c r="H56"/>
      <c r="I56"/>
      <c r="J56"/>
      <c r="K56" s="205"/>
      <c r="M56" s="374"/>
      <c r="N56" s="206"/>
      <c r="O56" s="206"/>
      <c r="P56" s="206"/>
      <c r="Q56" s="206"/>
      <c r="R56" s="206"/>
      <c r="S56" s="206"/>
      <c r="T56" s="206"/>
      <c r="U56" s="206"/>
      <c r="V56" s="206"/>
      <c r="W56" s="203"/>
      <c r="Z56" s="23"/>
    </row>
    <row r="57" spans="1:26" ht="15" customHeight="1" x14ac:dyDescent="0.25">
      <c r="A57" s="23"/>
      <c r="B57"/>
      <c r="C57"/>
      <c r="D57"/>
      <c r="E57"/>
      <c r="F57"/>
      <c r="G57"/>
      <c r="H57"/>
      <c r="I57"/>
      <c r="J57"/>
      <c r="K57" s="205"/>
      <c r="M57" s="374"/>
      <c r="N57" s="206"/>
      <c r="O57" s="206"/>
      <c r="P57" s="206"/>
      <c r="Q57" s="206"/>
      <c r="R57" s="206"/>
      <c r="S57" s="206"/>
      <c r="T57" s="206"/>
      <c r="U57" s="206"/>
      <c r="V57" s="206"/>
      <c r="W57" s="203"/>
      <c r="Z57" s="23"/>
    </row>
    <row r="58" spans="1:26" ht="15" customHeight="1" x14ac:dyDescent="0.25">
      <c r="A58" s="23"/>
      <c r="B58"/>
      <c r="C58"/>
      <c r="D58"/>
      <c r="E58"/>
      <c r="F58"/>
      <c r="G58"/>
      <c r="H58"/>
      <c r="I58"/>
      <c r="J58"/>
      <c r="K58" s="205"/>
      <c r="M58" s="374"/>
      <c r="N58" s="206"/>
      <c r="O58" s="206"/>
      <c r="P58" s="206"/>
      <c r="Q58" s="206"/>
      <c r="R58" s="206"/>
      <c r="S58" s="206"/>
      <c r="T58" s="206"/>
      <c r="U58" s="206"/>
      <c r="V58" s="206"/>
      <c r="W58" s="203"/>
      <c r="Z58" s="23"/>
    </row>
    <row r="59" spans="1:26" ht="15" customHeight="1" x14ac:dyDescent="0.25">
      <c r="A59" s="23"/>
      <c r="B59"/>
      <c r="C59"/>
      <c r="D59"/>
      <c r="E59"/>
      <c r="F59"/>
      <c r="G59"/>
      <c r="H59"/>
      <c r="I59"/>
      <c r="J59"/>
      <c r="K59" s="205"/>
      <c r="M59" s="374"/>
      <c r="N59" s="206"/>
      <c r="O59" s="206"/>
      <c r="P59" s="206"/>
      <c r="Q59" s="206"/>
      <c r="R59" s="206"/>
      <c r="S59" s="206"/>
      <c r="T59" s="206"/>
      <c r="U59" s="206"/>
      <c r="V59" s="206"/>
      <c r="W59" s="203"/>
      <c r="Z59" s="23"/>
    </row>
    <row r="60" spans="1:26" ht="15" customHeight="1" x14ac:dyDescent="0.25">
      <c r="A60" s="23"/>
      <c r="B60"/>
      <c r="C60"/>
      <c r="D60"/>
      <c r="E60"/>
      <c r="F60"/>
      <c r="G60"/>
      <c r="H60"/>
      <c r="I60"/>
      <c r="J60"/>
      <c r="K60" s="205"/>
      <c r="M60" s="374"/>
      <c r="N60" s="206"/>
      <c r="O60" s="206"/>
      <c r="P60" s="206"/>
      <c r="Q60" s="206"/>
      <c r="R60" s="206"/>
      <c r="S60" s="206"/>
      <c r="T60" s="206"/>
      <c r="U60" s="206"/>
      <c r="V60" s="206"/>
      <c r="W60" s="203"/>
      <c r="Z60" s="23"/>
    </row>
    <row r="61" spans="1:26" ht="15" customHeight="1" x14ac:dyDescent="0.25">
      <c r="A61" s="23"/>
      <c r="B61"/>
      <c r="C61"/>
      <c r="D61"/>
      <c r="E61"/>
      <c r="F61"/>
      <c r="G61"/>
      <c r="H61"/>
      <c r="I61"/>
      <c r="J61"/>
      <c r="K61" s="205"/>
      <c r="M61" s="374"/>
      <c r="N61" s="206"/>
      <c r="O61" s="206"/>
      <c r="P61" s="206"/>
      <c r="Q61" s="206"/>
      <c r="R61" s="206"/>
      <c r="S61" s="206"/>
      <c r="T61" s="206"/>
      <c r="U61" s="206"/>
      <c r="V61" s="206"/>
      <c r="W61" s="203"/>
      <c r="Z61" s="23"/>
    </row>
    <row r="62" spans="1:26" ht="15" customHeight="1" x14ac:dyDescent="0.25">
      <c r="A62" s="23"/>
      <c r="B62"/>
      <c r="C62"/>
      <c r="D62"/>
      <c r="E62"/>
      <c r="F62"/>
      <c r="G62"/>
      <c r="H62"/>
      <c r="I62"/>
      <c r="J62"/>
      <c r="K62" s="205"/>
      <c r="M62" s="374"/>
      <c r="N62" s="206"/>
      <c r="O62" s="206"/>
      <c r="P62" s="206"/>
      <c r="Q62" s="206"/>
      <c r="R62" s="206"/>
      <c r="S62" s="206"/>
      <c r="T62" s="206"/>
      <c r="U62" s="206"/>
      <c r="V62" s="206"/>
      <c r="W62" s="203"/>
      <c r="Z62" s="23"/>
    </row>
    <row r="63" spans="1:26" ht="15" customHeight="1" x14ac:dyDescent="0.25">
      <c r="A63" s="23"/>
      <c r="B63"/>
      <c r="C63"/>
      <c r="D63"/>
      <c r="E63"/>
      <c r="F63"/>
      <c r="G63"/>
      <c r="H63"/>
      <c r="I63"/>
      <c r="J63"/>
      <c r="K63" s="205"/>
      <c r="M63" s="374"/>
      <c r="N63" s="206"/>
      <c r="O63" s="206"/>
      <c r="P63" s="206"/>
      <c r="Q63" s="206"/>
      <c r="R63" s="206"/>
      <c r="S63" s="206"/>
      <c r="T63" s="206"/>
      <c r="U63" s="206"/>
      <c r="V63" s="206"/>
      <c r="W63" s="203"/>
      <c r="Z63" s="23"/>
    </row>
    <row r="64" spans="1:26" ht="15" customHeight="1" x14ac:dyDescent="0.25">
      <c r="A64" s="23"/>
      <c r="B64"/>
      <c r="C64"/>
      <c r="D64"/>
      <c r="E64"/>
      <c r="F64"/>
      <c r="G64"/>
      <c r="H64"/>
      <c r="I64"/>
      <c r="J64"/>
      <c r="K64" s="205"/>
      <c r="M64" s="374"/>
      <c r="N64" s="206"/>
      <c r="O64" s="206"/>
      <c r="P64" s="206"/>
      <c r="Q64" s="206"/>
      <c r="R64" s="206"/>
      <c r="S64" s="206"/>
      <c r="T64" s="206"/>
      <c r="U64" s="206"/>
      <c r="V64" s="206"/>
      <c r="W64" s="203"/>
      <c r="Z64" s="23"/>
    </row>
    <row r="65" spans="1:26" ht="15" customHeight="1" x14ac:dyDescent="0.25">
      <c r="A65" s="23"/>
      <c r="B65"/>
      <c r="C65"/>
      <c r="D65"/>
      <c r="E65"/>
      <c r="F65"/>
      <c r="G65"/>
      <c r="H65"/>
      <c r="I65"/>
      <c r="J65"/>
      <c r="K65" s="205"/>
      <c r="M65" s="374"/>
      <c r="N65" s="206"/>
      <c r="O65" s="206"/>
      <c r="P65" s="206"/>
      <c r="Q65" s="206"/>
      <c r="R65" s="206"/>
      <c r="S65" s="206"/>
      <c r="T65" s="206"/>
      <c r="U65" s="206"/>
      <c r="V65" s="206"/>
      <c r="W65" s="203"/>
      <c r="Z65" s="23"/>
    </row>
    <row r="66" spans="1:26" ht="15" customHeight="1" x14ac:dyDescent="0.25">
      <c r="A66" s="23"/>
      <c r="B66"/>
      <c r="C66"/>
      <c r="D66"/>
      <c r="E66"/>
      <c r="F66"/>
      <c r="G66"/>
      <c r="H66"/>
      <c r="I66"/>
      <c r="J66"/>
      <c r="K66" s="205"/>
      <c r="M66" s="374"/>
      <c r="N66" s="206"/>
      <c r="O66" s="206"/>
      <c r="P66" s="206"/>
      <c r="Q66" s="206"/>
      <c r="R66" s="206"/>
      <c r="S66" s="206"/>
      <c r="T66" s="206"/>
      <c r="U66" s="206"/>
      <c r="V66" s="206"/>
      <c r="W66" s="203"/>
      <c r="Z66" s="23"/>
    </row>
    <row r="67" spans="1:26" ht="15" customHeight="1" x14ac:dyDescent="0.25">
      <c r="A67" s="23"/>
      <c r="B67"/>
      <c r="C67"/>
      <c r="D67"/>
      <c r="E67"/>
      <c r="F67"/>
      <c r="G67"/>
      <c r="H67"/>
      <c r="I67"/>
      <c r="J67"/>
      <c r="K67" s="205"/>
      <c r="M67" s="374"/>
      <c r="N67" s="206"/>
      <c r="O67" s="206"/>
      <c r="P67" s="206"/>
      <c r="Q67" s="206"/>
      <c r="R67" s="206"/>
      <c r="S67" s="206"/>
      <c r="T67" s="206"/>
      <c r="U67" s="206"/>
      <c r="V67" s="206"/>
      <c r="W67" s="203"/>
      <c r="Z67" s="23"/>
    </row>
    <row r="68" spans="1:26" ht="15" customHeight="1" x14ac:dyDescent="0.25">
      <c r="A68" s="23"/>
      <c r="B68"/>
      <c r="C68"/>
      <c r="D68"/>
      <c r="E68"/>
      <c r="F68"/>
      <c r="G68"/>
      <c r="H68"/>
      <c r="I68"/>
      <c r="J68"/>
      <c r="K68" s="205"/>
      <c r="M68" s="374"/>
      <c r="N68" s="206"/>
      <c r="O68" s="206"/>
      <c r="P68" s="206"/>
      <c r="Q68" s="206"/>
      <c r="R68" s="206"/>
      <c r="S68" s="206"/>
      <c r="T68" s="206"/>
      <c r="U68" s="206"/>
      <c r="V68" s="206"/>
      <c r="W68" s="203"/>
      <c r="Z68" s="23"/>
    </row>
    <row r="69" spans="1:26" ht="15" customHeight="1" x14ac:dyDescent="0.25">
      <c r="A69" s="23"/>
      <c r="B69"/>
      <c r="C69"/>
      <c r="D69"/>
      <c r="E69"/>
      <c r="F69"/>
      <c r="G69"/>
      <c r="H69"/>
      <c r="I69"/>
      <c r="J69"/>
      <c r="K69" s="205"/>
      <c r="M69" s="373" t="s">
        <v>341</v>
      </c>
      <c r="N69" s="204"/>
      <c r="O69" s="204"/>
      <c r="P69" s="204"/>
      <c r="Q69" s="204"/>
      <c r="R69" s="204"/>
      <c r="S69" s="204"/>
      <c r="T69" s="204"/>
      <c r="U69" s="204"/>
      <c r="V69" s="204"/>
      <c r="W69" s="326"/>
      <c r="Z69" s="23"/>
    </row>
    <row r="70" spans="1:26" ht="15" customHeight="1" x14ac:dyDescent="0.25">
      <c r="A70" s="23"/>
      <c r="B70"/>
      <c r="C70"/>
      <c r="D70"/>
      <c r="E70"/>
      <c r="F70"/>
      <c r="G70"/>
      <c r="H70"/>
      <c r="I70"/>
      <c r="J70"/>
      <c r="K70" s="205"/>
      <c r="M70" s="373"/>
      <c r="N70" s="204"/>
      <c r="O70" s="204"/>
      <c r="P70" s="204"/>
      <c r="Q70" s="204"/>
      <c r="R70" s="204"/>
      <c r="S70" s="204"/>
      <c r="T70" s="204"/>
      <c r="U70" s="204"/>
      <c r="V70" s="204"/>
      <c r="W70" s="326"/>
      <c r="Z70" s="23"/>
    </row>
    <row r="71" spans="1:26" ht="15" customHeight="1" x14ac:dyDescent="0.25">
      <c r="A71" s="23"/>
      <c r="B71"/>
      <c r="C71"/>
      <c r="D71"/>
      <c r="E71"/>
      <c r="F71"/>
      <c r="G71"/>
      <c r="H71"/>
      <c r="I71"/>
      <c r="J71"/>
      <c r="K71" s="205"/>
      <c r="M71" s="373"/>
      <c r="N71" s="204"/>
      <c r="O71" s="204"/>
      <c r="P71" s="204"/>
      <c r="Q71" s="204"/>
      <c r="R71" s="204"/>
      <c r="S71" s="204"/>
      <c r="T71" s="204"/>
      <c r="U71" s="204"/>
      <c r="V71" s="204"/>
      <c r="W71" s="326"/>
      <c r="Z71" s="23"/>
    </row>
    <row r="72" spans="1:26" ht="15" customHeight="1" x14ac:dyDescent="0.25">
      <c r="A72" s="23"/>
      <c r="B72"/>
      <c r="C72"/>
      <c r="D72"/>
      <c r="E72"/>
      <c r="F72"/>
      <c r="G72"/>
      <c r="H72"/>
      <c r="I72"/>
      <c r="J72"/>
      <c r="K72" s="205"/>
      <c r="M72" s="373"/>
      <c r="N72" s="204"/>
      <c r="O72" s="204"/>
      <c r="P72" s="204"/>
      <c r="Q72" s="204"/>
      <c r="R72" s="204"/>
      <c r="S72" s="204"/>
      <c r="T72" s="204"/>
      <c r="U72" s="204"/>
      <c r="V72" s="204"/>
      <c r="W72" s="326"/>
      <c r="Z72" s="23"/>
    </row>
    <row r="73" spans="1:26" ht="15" customHeight="1" x14ac:dyDescent="0.25">
      <c r="A73" s="23"/>
      <c r="B73"/>
      <c r="C73"/>
      <c r="D73"/>
      <c r="E73"/>
      <c r="F73"/>
      <c r="G73"/>
      <c r="H73"/>
      <c r="I73"/>
      <c r="J73"/>
      <c r="K73" s="205"/>
      <c r="M73" s="373"/>
      <c r="N73" s="204"/>
      <c r="O73" s="204"/>
      <c r="P73" s="204"/>
      <c r="Q73" s="204"/>
      <c r="R73" s="204"/>
      <c r="S73" s="204"/>
      <c r="T73" s="204"/>
      <c r="U73" s="204"/>
      <c r="V73" s="204"/>
      <c r="W73" s="326"/>
      <c r="Z73" s="23"/>
    </row>
    <row r="74" spans="1:26" ht="15" customHeight="1" x14ac:dyDescent="0.25">
      <c r="A74" s="23"/>
      <c r="B74"/>
      <c r="C74"/>
      <c r="D74"/>
      <c r="E74"/>
      <c r="F74"/>
      <c r="G74"/>
      <c r="H74"/>
      <c r="I74"/>
      <c r="J74"/>
      <c r="K74" s="205"/>
      <c r="M74" s="373"/>
      <c r="N74" s="204"/>
      <c r="O74" s="204"/>
      <c r="P74" s="204"/>
      <c r="Q74" s="204"/>
      <c r="R74" s="204"/>
      <c r="S74" s="204"/>
      <c r="T74" s="204"/>
      <c r="U74" s="204"/>
      <c r="V74" s="204"/>
      <c r="W74" s="326"/>
      <c r="Z74" s="23"/>
    </row>
    <row r="75" spans="1:26" ht="15" customHeight="1" x14ac:dyDescent="0.25">
      <c r="A75" s="23"/>
      <c r="B75"/>
      <c r="C75"/>
      <c r="D75"/>
      <c r="E75"/>
      <c r="F75"/>
      <c r="G75"/>
      <c r="H75"/>
      <c r="I75"/>
      <c r="J75"/>
      <c r="K75" s="205"/>
      <c r="M75" s="373"/>
      <c r="N75" s="204"/>
      <c r="O75" s="204"/>
      <c r="P75" s="204"/>
      <c r="Q75" s="204"/>
      <c r="R75" s="204"/>
      <c r="S75" s="204"/>
      <c r="T75" s="204"/>
      <c r="U75" s="204"/>
      <c r="V75" s="204"/>
      <c r="W75" s="326"/>
      <c r="Z75" s="23"/>
    </row>
    <row r="76" spans="1:26" ht="15" customHeight="1" x14ac:dyDescent="0.25">
      <c r="A76" s="23"/>
      <c r="B76"/>
      <c r="C76"/>
      <c r="D76"/>
      <c r="E76"/>
      <c r="F76"/>
      <c r="G76"/>
      <c r="H76"/>
      <c r="I76"/>
      <c r="J76"/>
      <c r="K76" s="205"/>
      <c r="M76" s="373"/>
      <c r="N76" s="204"/>
      <c r="O76" s="204"/>
      <c r="P76" s="204"/>
      <c r="Q76" s="204"/>
      <c r="R76" s="204"/>
      <c r="S76" s="204"/>
      <c r="T76" s="204"/>
      <c r="U76" s="204"/>
      <c r="V76" s="204"/>
      <c r="W76" s="326"/>
      <c r="Z76" s="23"/>
    </row>
    <row r="77" spans="1:26" ht="15" customHeight="1" x14ac:dyDescent="0.25">
      <c r="A77" s="23"/>
      <c r="B77"/>
      <c r="C77"/>
      <c r="D77"/>
      <c r="E77"/>
      <c r="F77"/>
      <c r="G77"/>
      <c r="H77"/>
      <c r="I77"/>
      <c r="J77"/>
      <c r="K77" s="205"/>
      <c r="M77" s="373"/>
      <c r="N77" s="204"/>
      <c r="O77" s="204"/>
      <c r="P77" s="204"/>
      <c r="Q77" s="204"/>
      <c r="R77" s="204"/>
      <c r="S77" s="204"/>
      <c r="T77" s="204"/>
      <c r="U77" s="204"/>
      <c r="V77" s="204"/>
      <c r="W77" s="326"/>
      <c r="Z77" s="23"/>
    </row>
    <row r="78" spans="1:26" ht="15" customHeight="1" x14ac:dyDescent="0.25">
      <c r="A78" s="23"/>
      <c r="B78"/>
      <c r="C78"/>
      <c r="D78"/>
      <c r="E78"/>
      <c r="F78"/>
      <c r="G78"/>
      <c r="H78"/>
      <c r="I78"/>
      <c r="J78"/>
      <c r="K78" s="205"/>
      <c r="M78" s="373"/>
      <c r="N78" s="204"/>
      <c r="O78" s="204"/>
      <c r="P78" s="204"/>
      <c r="Q78" s="204"/>
      <c r="R78" s="204"/>
      <c r="S78" s="204"/>
      <c r="T78" s="204"/>
      <c r="U78" s="204"/>
      <c r="V78" s="204"/>
      <c r="W78" s="326"/>
      <c r="Z78" s="23"/>
    </row>
    <row r="79" spans="1:26" ht="15" customHeight="1" x14ac:dyDescent="0.25">
      <c r="A79" s="23"/>
      <c r="B79"/>
      <c r="C79"/>
      <c r="D79"/>
      <c r="E79"/>
      <c r="F79"/>
      <c r="G79"/>
      <c r="H79"/>
      <c r="I79"/>
      <c r="J79"/>
      <c r="K79" s="205"/>
      <c r="M79" s="373"/>
      <c r="N79" s="204"/>
      <c r="O79" s="204"/>
      <c r="P79" s="204"/>
      <c r="Q79" s="204"/>
      <c r="R79" s="204"/>
      <c r="S79" s="204"/>
      <c r="T79" s="204"/>
      <c r="U79" s="204"/>
      <c r="V79" s="204"/>
      <c r="W79" s="326"/>
      <c r="Z79" s="23"/>
    </row>
    <row r="80" spans="1:26" ht="15" customHeight="1" x14ac:dyDescent="0.25">
      <c r="A80" s="23"/>
      <c r="B80"/>
      <c r="C80"/>
      <c r="D80"/>
      <c r="E80"/>
      <c r="F80"/>
      <c r="G80"/>
      <c r="H80"/>
      <c r="I80"/>
      <c r="J80"/>
      <c r="K80" s="205"/>
      <c r="M80" s="373"/>
      <c r="N80" s="204"/>
      <c r="O80" s="204"/>
      <c r="P80" s="204"/>
      <c r="Q80" s="204"/>
      <c r="R80" s="204"/>
      <c r="S80" s="204"/>
      <c r="T80" s="204"/>
      <c r="U80" s="204"/>
      <c r="V80" s="204"/>
      <c r="W80" s="326"/>
      <c r="Z80" s="23"/>
    </row>
    <row r="81" spans="1:26" ht="15" customHeight="1" x14ac:dyDescent="0.25">
      <c r="A81" s="23"/>
      <c r="B81"/>
      <c r="C81"/>
      <c r="D81"/>
      <c r="E81"/>
      <c r="F81"/>
      <c r="G81"/>
      <c r="H81"/>
      <c r="I81"/>
      <c r="J81"/>
      <c r="K81" s="205"/>
      <c r="M81" s="373"/>
      <c r="N81" s="204"/>
      <c r="O81" s="204"/>
      <c r="P81" s="204"/>
      <c r="Q81" s="204"/>
      <c r="R81" s="204"/>
      <c r="S81" s="204"/>
      <c r="T81" s="204"/>
      <c r="U81" s="204"/>
      <c r="V81" s="204"/>
      <c r="W81" s="326"/>
      <c r="Z81" s="23"/>
    </row>
    <row r="82" spans="1:26" ht="15" customHeight="1" x14ac:dyDescent="0.25">
      <c r="A82" s="23"/>
      <c r="B82"/>
      <c r="C82"/>
      <c r="D82"/>
      <c r="E82"/>
      <c r="F82"/>
      <c r="G82"/>
      <c r="H82"/>
      <c r="I82"/>
      <c r="J82"/>
      <c r="K82" s="205"/>
      <c r="M82" s="373"/>
      <c r="N82" s="204"/>
      <c r="O82" s="204"/>
      <c r="P82" s="204"/>
      <c r="Q82" s="204"/>
      <c r="R82" s="204"/>
      <c r="S82" s="204"/>
      <c r="T82" s="204"/>
      <c r="U82" s="204"/>
      <c r="V82" s="204"/>
      <c r="W82" s="326"/>
      <c r="Z82" s="23"/>
    </row>
    <row r="83" spans="1:26" ht="15" customHeight="1" x14ac:dyDescent="0.25">
      <c r="A83" s="23"/>
      <c r="B83"/>
      <c r="C83"/>
      <c r="D83"/>
      <c r="E83"/>
      <c r="F83"/>
      <c r="G83"/>
      <c r="H83"/>
      <c r="I83"/>
      <c r="J83"/>
      <c r="K83" s="205"/>
      <c r="M83" s="373"/>
      <c r="N83" s="204"/>
      <c r="O83" s="204"/>
      <c r="P83" s="204"/>
      <c r="Q83" s="204"/>
      <c r="R83" s="204"/>
      <c r="S83" s="204"/>
      <c r="T83" s="204"/>
      <c r="U83" s="204"/>
      <c r="V83" s="204"/>
      <c r="W83" s="326"/>
      <c r="Z83" s="23"/>
    </row>
    <row r="84" spans="1:26" ht="15" customHeight="1" x14ac:dyDescent="0.25">
      <c r="A84" s="23"/>
      <c r="B84"/>
      <c r="C84"/>
      <c r="D84"/>
      <c r="E84"/>
      <c r="F84"/>
      <c r="G84"/>
      <c r="H84"/>
      <c r="I84"/>
      <c r="J84"/>
      <c r="K84" s="205"/>
      <c r="M84" s="373"/>
      <c r="N84" s="204"/>
      <c r="O84" s="204"/>
      <c r="P84" s="204"/>
      <c r="Q84" s="204"/>
      <c r="R84" s="204"/>
      <c r="S84" s="204"/>
      <c r="T84" s="204"/>
      <c r="U84" s="204"/>
      <c r="V84" s="204"/>
      <c r="W84" s="326"/>
      <c r="Z84" s="23"/>
    </row>
    <row r="85" spans="1:26" ht="15" customHeight="1" x14ac:dyDescent="0.25">
      <c r="A85" s="23"/>
      <c r="B85"/>
      <c r="C85"/>
      <c r="D85"/>
      <c r="E85"/>
      <c r="F85"/>
      <c r="G85"/>
      <c r="H85"/>
      <c r="I85"/>
      <c r="J85"/>
      <c r="K85" s="205"/>
      <c r="M85" s="373"/>
      <c r="N85" s="204"/>
      <c r="O85" s="204"/>
      <c r="P85" s="204"/>
      <c r="Q85" s="204"/>
      <c r="R85" s="204"/>
      <c r="S85" s="204"/>
      <c r="T85" s="204"/>
      <c r="U85" s="204"/>
      <c r="V85" s="204"/>
      <c r="W85" s="326"/>
      <c r="Z85" s="23"/>
    </row>
    <row r="86" spans="1:26" ht="15" customHeight="1" x14ac:dyDescent="0.25">
      <c r="A86" s="23"/>
      <c r="B86"/>
      <c r="C86"/>
      <c r="D86"/>
      <c r="E86"/>
      <c r="F86"/>
      <c r="G86"/>
      <c r="H86"/>
      <c r="I86"/>
      <c r="J86"/>
      <c r="K86" s="205"/>
      <c r="M86" s="373"/>
      <c r="N86" s="204"/>
      <c r="O86" s="204"/>
      <c r="P86" s="204"/>
      <c r="Q86" s="204"/>
      <c r="R86" s="204"/>
      <c r="S86" s="204"/>
      <c r="T86" s="204"/>
      <c r="U86" s="204"/>
      <c r="V86" s="204"/>
      <c r="W86" s="326"/>
      <c r="Z86" s="23"/>
    </row>
    <row r="87" spans="1:26" ht="15" customHeight="1" x14ac:dyDescent="0.25">
      <c r="A87" s="23"/>
      <c r="B87"/>
      <c r="C87"/>
      <c r="D87"/>
      <c r="E87"/>
      <c r="F87"/>
      <c r="G87"/>
      <c r="H87"/>
      <c r="I87"/>
      <c r="J87"/>
      <c r="K87" s="205"/>
      <c r="M87" s="373"/>
      <c r="N87" s="204"/>
      <c r="O87" s="204"/>
      <c r="P87" s="204"/>
      <c r="Q87" s="204"/>
      <c r="R87" s="204"/>
      <c r="S87" s="204"/>
      <c r="T87" s="204"/>
      <c r="U87" s="204"/>
      <c r="V87" s="204"/>
      <c r="W87" s="326"/>
      <c r="Z87" s="23"/>
    </row>
    <row r="88" spans="1:26" ht="15" customHeight="1" x14ac:dyDescent="0.25">
      <c r="A88" s="23"/>
      <c r="B88"/>
      <c r="C88"/>
      <c r="D88"/>
      <c r="E88"/>
      <c r="F88"/>
      <c r="G88"/>
      <c r="H88"/>
      <c r="I88"/>
      <c r="J88"/>
      <c r="K88" s="205"/>
      <c r="M88" s="373"/>
      <c r="N88" s="204"/>
      <c r="O88" s="204"/>
      <c r="P88" s="204"/>
      <c r="Q88" s="204"/>
      <c r="R88" s="204"/>
      <c r="S88" s="204"/>
      <c r="T88" s="204"/>
      <c r="U88" s="204"/>
      <c r="V88" s="204"/>
      <c r="W88" s="326"/>
      <c r="Z88" s="23"/>
    </row>
    <row r="89" spans="1:26" ht="15" customHeight="1" x14ac:dyDescent="0.25">
      <c r="A89" s="23"/>
      <c r="B89"/>
      <c r="C89"/>
      <c r="D89"/>
      <c r="E89"/>
      <c r="F89"/>
      <c r="G89"/>
      <c r="H89"/>
      <c r="I89"/>
      <c r="J89"/>
      <c r="K89" s="205"/>
      <c r="M89" s="373"/>
      <c r="N89" s="204"/>
      <c r="O89" s="204"/>
      <c r="P89" s="204"/>
      <c r="Q89" s="204"/>
      <c r="R89" s="204"/>
      <c r="S89" s="204"/>
      <c r="T89" s="204"/>
      <c r="U89" s="204"/>
      <c r="V89" s="204"/>
      <c r="W89" s="326"/>
      <c r="Z89" s="23"/>
    </row>
    <row r="90" spans="1:26" ht="15" customHeight="1" x14ac:dyDescent="0.25">
      <c r="A90" s="23"/>
      <c r="B90"/>
      <c r="C90"/>
      <c r="D90"/>
      <c r="E90"/>
      <c r="F90"/>
      <c r="G90"/>
      <c r="H90"/>
      <c r="I90"/>
      <c r="J90"/>
      <c r="K90" s="205"/>
      <c r="M90" s="373"/>
      <c r="N90" s="204"/>
      <c r="O90" s="204"/>
      <c r="P90" s="204"/>
      <c r="Q90" s="204"/>
      <c r="R90" s="204"/>
      <c r="S90" s="204"/>
      <c r="T90" s="204"/>
      <c r="U90" s="204"/>
      <c r="V90" s="204"/>
      <c r="W90" s="326"/>
      <c r="Z90" s="23"/>
    </row>
    <row r="91" spans="1:26" ht="15" customHeight="1" x14ac:dyDescent="0.25">
      <c r="A91" s="23"/>
      <c r="B91"/>
      <c r="C91"/>
      <c r="D91"/>
      <c r="E91"/>
      <c r="F91"/>
      <c r="G91"/>
      <c r="H91"/>
      <c r="I91"/>
      <c r="J91"/>
      <c r="K91" s="205"/>
      <c r="M91" s="373"/>
      <c r="N91" s="204"/>
      <c r="O91" s="204"/>
      <c r="P91" s="204"/>
      <c r="Q91" s="204"/>
      <c r="R91" s="204"/>
      <c r="S91" s="204"/>
      <c r="T91" s="204"/>
      <c r="U91" s="204"/>
      <c r="V91" s="204"/>
      <c r="W91" s="326"/>
      <c r="Z91" s="23"/>
    </row>
    <row r="92" spans="1:26" ht="15" customHeight="1" x14ac:dyDescent="0.25">
      <c r="A92" s="23"/>
      <c r="B92"/>
      <c r="C92"/>
      <c r="D92"/>
      <c r="E92"/>
      <c r="F92"/>
      <c r="G92"/>
      <c r="H92"/>
      <c r="I92"/>
      <c r="J92"/>
      <c r="K92" s="205"/>
      <c r="M92" s="373"/>
      <c r="N92" s="204"/>
      <c r="O92" s="204"/>
      <c r="P92" s="204"/>
      <c r="Q92" s="204"/>
      <c r="R92" s="204"/>
      <c r="S92" s="204"/>
      <c r="T92" s="204"/>
      <c r="U92" s="204"/>
      <c r="V92" s="204"/>
      <c r="W92" s="326"/>
      <c r="Z92" s="23"/>
    </row>
    <row r="93" spans="1:26" ht="15" customHeight="1" x14ac:dyDescent="0.25">
      <c r="A93" s="23"/>
      <c r="B93"/>
      <c r="C93"/>
      <c r="D93"/>
      <c r="E93"/>
      <c r="F93"/>
      <c r="G93"/>
      <c r="H93"/>
      <c r="I93"/>
      <c r="J93"/>
      <c r="K93" s="205"/>
      <c r="M93" s="373"/>
      <c r="N93" s="204"/>
      <c r="O93" s="204"/>
      <c r="P93" s="204"/>
      <c r="Q93" s="204"/>
      <c r="R93" s="204"/>
      <c r="S93" s="204"/>
      <c r="T93" s="204"/>
      <c r="U93" s="204"/>
      <c r="V93" s="204"/>
      <c r="W93" s="326"/>
      <c r="Z93" s="23"/>
    </row>
    <row r="94" spans="1:26" ht="15" customHeight="1" x14ac:dyDescent="0.25">
      <c r="A94" s="23"/>
      <c r="B94"/>
      <c r="C94"/>
      <c r="D94"/>
      <c r="E94"/>
      <c r="F94"/>
      <c r="G94"/>
      <c r="H94"/>
      <c r="I94"/>
      <c r="J94"/>
      <c r="K94" s="205"/>
      <c r="M94" s="373"/>
      <c r="N94" s="204"/>
      <c r="O94" s="204"/>
      <c r="P94" s="204"/>
      <c r="Q94" s="204"/>
      <c r="R94" s="204"/>
      <c r="S94" s="204"/>
      <c r="T94" s="204"/>
      <c r="U94" s="204"/>
      <c r="V94" s="204"/>
      <c r="W94" s="326"/>
      <c r="Z94" s="23"/>
    </row>
    <row r="95" spans="1:26" ht="15" customHeight="1" x14ac:dyDescent="0.25">
      <c r="A95" s="23"/>
      <c r="B95"/>
      <c r="C95"/>
      <c r="D95"/>
      <c r="E95"/>
      <c r="F95"/>
      <c r="G95"/>
      <c r="H95"/>
      <c r="I95"/>
      <c r="J95"/>
      <c r="K95" s="205"/>
      <c r="M95" s="373"/>
      <c r="N95" s="204"/>
      <c r="O95" s="204"/>
      <c r="P95" s="204"/>
      <c r="Q95" s="204"/>
      <c r="R95" s="204"/>
      <c r="S95" s="204"/>
      <c r="T95" s="204"/>
      <c r="U95" s="204"/>
      <c r="V95" s="204"/>
      <c r="W95" s="326"/>
      <c r="Z95" s="23"/>
    </row>
    <row r="96" spans="1:26" ht="15" customHeight="1" x14ac:dyDescent="0.25">
      <c r="A96" s="23"/>
      <c r="B96"/>
      <c r="C96"/>
      <c r="D96"/>
      <c r="E96"/>
      <c r="F96"/>
      <c r="G96"/>
      <c r="H96"/>
      <c r="I96"/>
      <c r="J96"/>
      <c r="K96" s="205"/>
      <c r="M96" s="373"/>
      <c r="N96" s="204"/>
      <c r="O96" s="204"/>
      <c r="P96" s="204"/>
      <c r="Q96" s="204"/>
      <c r="R96" s="204"/>
      <c r="S96" s="204"/>
      <c r="T96" s="204"/>
      <c r="U96" s="204"/>
      <c r="V96" s="204"/>
      <c r="W96" s="326"/>
      <c r="Z96" s="23"/>
    </row>
    <row r="97" spans="1:26" ht="15" customHeight="1" x14ac:dyDescent="0.25">
      <c r="A97" s="23"/>
      <c r="B97"/>
      <c r="C97"/>
      <c r="D97"/>
      <c r="E97"/>
      <c r="F97"/>
      <c r="G97"/>
      <c r="H97"/>
      <c r="I97"/>
      <c r="J97"/>
      <c r="K97" s="205"/>
      <c r="M97" s="373"/>
      <c r="N97" s="204"/>
      <c r="O97" s="204"/>
      <c r="P97" s="204"/>
      <c r="Q97" s="204"/>
      <c r="R97" s="204"/>
      <c r="S97" s="204"/>
      <c r="T97" s="204"/>
      <c r="U97" s="204"/>
      <c r="V97" s="204"/>
      <c r="W97" s="326"/>
      <c r="Z97" s="23"/>
    </row>
    <row r="98" spans="1:26" ht="15" customHeight="1" x14ac:dyDescent="0.25">
      <c r="A98" s="23"/>
      <c r="B98"/>
      <c r="C98"/>
      <c r="D98"/>
      <c r="E98"/>
      <c r="F98"/>
      <c r="G98"/>
      <c r="H98"/>
      <c r="I98"/>
      <c r="J98"/>
      <c r="K98" s="205"/>
      <c r="M98" s="373"/>
      <c r="N98" s="204"/>
      <c r="O98" s="204"/>
      <c r="P98" s="204"/>
      <c r="Q98" s="204"/>
      <c r="R98" s="204"/>
      <c r="S98" s="204"/>
      <c r="T98" s="204"/>
      <c r="U98" s="204"/>
      <c r="V98" s="204"/>
      <c r="W98" s="326"/>
      <c r="Z98" s="23"/>
    </row>
    <row r="99" spans="1:26" ht="15" customHeight="1" x14ac:dyDescent="0.25">
      <c r="A99" s="23"/>
      <c r="B99"/>
      <c r="C99"/>
      <c r="D99"/>
      <c r="E99"/>
      <c r="F99"/>
      <c r="G99"/>
      <c r="H99"/>
      <c r="I99"/>
      <c r="J99"/>
      <c r="K99" s="205"/>
      <c r="M99" s="373"/>
      <c r="N99" s="204"/>
      <c r="O99" s="204"/>
      <c r="P99" s="204"/>
      <c r="Q99" s="204"/>
      <c r="R99" s="204"/>
      <c r="S99" s="204"/>
      <c r="T99" s="204"/>
      <c r="U99" s="204"/>
      <c r="V99" s="204"/>
      <c r="W99" s="326"/>
      <c r="Z99" s="23"/>
    </row>
    <row r="100" spans="1:26" ht="15" customHeight="1" x14ac:dyDescent="0.25">
      <c r="A100" s="375"/>
      <c r="B100" s="375"/>
      <c r="C100" s="375"/>
      <c r="D100" s="375"/>
      <c r="E100" s="375"/>
      <c r="F100" s="375"/>
      <c r="G100" s="375"/>
      <c r="H100" s="375"/>
      <c r="I100" s="375"/>
      <c r="J100" s="375"/>
      <c r="K100" s="375"/>
      <c r="L100" s="375"/>
      <c r="M100" s="375"/>
      <c r="N100" s="375"/>
      <c r="O100" s="375"/>
      <c r="P100" s="375"/>
      <c r="Q100" s="375"/>
      <c r="R100" s="375"/>
      <c r="S100" s="375"/>
      <c r="T100" s="375"/>
      <c r="U100" s="375"/>
      <c r="V100" s="375"/>
      <c r="W100" s="375"/>
      <c r="Z100" s="23"/>
    </row>
    <row r="101" spans="1:26" ht="15" customHeight="1" x14ac:dyDescent="0.25">
      <c r="A101" s="23"/>
      <c r="B101"/>
      <c r="C101"/>
      <c r="D101"/>
      <c r="E101"/>
      <c r="F101"/>
      <c r="G101"/>
      <c r="H101"/>
      <c r="I101"/>
      <c r="J101"/>
      <c r="K101" s="205"/>
      <c r="Z101" s="23"/>
    </row>
    <row r="102" spans="1:26" ht="15" customHeight="1" x14ac:dyDescent="0.25">
      <c r="A102" s="23"/>
      <c r="B102"/>
      <c r="C102"/>
      <c r="D102"/>
      <c r="E102"/>
      <c r="F102"/>
      <c r="G102"/>
      <c r="H102"/>
      <c r="I102"/>
      <c r="J102"/>
      <c r="K102" s="205"/>
      <c r="M102" s="92" t="s">
        <v>90</v>
      </c>
      <c r="N102" s="43">
        <f>MAX(tab_transfert200[Connecteur 1])+N$2+N$3</f>
        <v>0</v>
      </c>
      <c r="O102" s="43">
        <f>MAX(tab_transfert200[Connecteur 2])+O$2+O$3</f>
        <v>0</v>
      </c>
      <c r="P102" s="43">
        <f>MAX(tab_transfert200[Connecteur 3])+P$2+P$3</f>
        <v>0</v>
      </c>
      <c r="Q102" s="43">
        <f>MAX(tab_transfert200[Connecteur 4])+Q$2+Q$3</f>
        <v>0</v>
      </c>
      <c r="R102" s="43">
        <f>MAX(tab_transfert200[Connecteur 5])+R$2+R$3</f>
        <v>0</v>
      </c>
      <c r="S102" s="43">
        <f>MAX(tab_transfert200[Connecteur 6])+S$2+S$3</f>
        <v>0</v>
      </c>
      <c r="T102" s="43">
        <f>MAX(tab_transfert200[Connecteur 7])+T$2+T$3</f>
        <v>0</v>
      </c>
      <c r="U102" s="43">
        <f>MAX(tab_transfert200[Connecteur 8])+U$2+U$3</f>
        <v>0</v>
      </c>
      <c r="V102" s="43">
        <f>MAX(tab_transfert200[Connecteur 9])+V$2+V$3</f>
        <v>0</v>
      </c>
      <c r="W102" s="201">
        <f>MAX(N102:V102)</f>
        <v>0</v>
      </c>
      <c r="Z102" s="23"/>
    </row>
    <row r="103" spans="1:26" ht="15" customHeight="1" x14ac:dyDescent="0.25">
      <c r="A103" s="23"/>
      <c r="B103"/>
      <c r="C103"/>
      <c r="D103"/>
      <c r="E103"/>
      <c r="F103"/>
      <c r="G103"/>
      <c r="H103"/>
      <c r="I103"/>
      <c r="J103"/>
      <c r="K103" s="205"/>
      <c r="M103" s="200" t="s">
        <v>91</v>
      </c>
      <c r="N103" s="199" t="e">
        <f ca="1">MAX(OFFSET(INDEX(tab_transfert200[Connecteur 1],1),COUNT(tab_transfert200[Connecteur 1])-30,0,30))+N$2+N$3</f>
        <v>#REF!</v>
      </c>
      <c r="O103" s="199" t="e">
        <f ca="1">MAX(OFFSET(INDEX(tab_transfert200[Connecteur 2],1),COUNT(tab_transfert200[Connecteur 2])-30,0,30))+O$2+O$3</f>
        <v>#REF!</v>
      </c>
      <c r="P103" s="199" t="e">
        <f ca="1">MAX(OFFSET(INDEX(tab_transfert200[Connecteur 3],1),COUNT(tab_transfert200[Connecteur 3])-30,0,30))+P$2+P$3</f>
        <v>#REF!</v>
      </c>
      <c r="Q103" s="199" t="e">
        <f ca="1">MAX(OFFSET(INDEX(tab_transfert200[Connecteur 4],1),COUNT(tab_transfert200[Connecteur 4])-30,0,30))+Q$2+Q$3</f>
        <v>#REF!</v>
      </c>
      <c r="R103" s="199" t="e">
        <f ca="1">MAX(OFFSET(INDEX(tab_transfert200[Connecteur 5],1),COUNT(tab_transfert200[Connecteur 5])-30,0,30))+R$2+R$3</f>
        <v>#REF!</v>
      </c>
      <c r="S103" s="199" t="e">
        <f ca="1">MAX(OFFSET(INDEX(tab_transfert200[Connecteur 6],1),COUNT(tab_transfert200[Connecteur 6])-30,0,30))+S$2+S$3</f>
        <v>#REF!</v>
      </c>
      <c r="T103" s="199" t="e">
        <f ca="1">MAX(OFFSET(INDEX(tab_transfert200[Connecteur 7],1),COUNT(tab_transfert200[Connecteur 7])-30,0,30))+T$2+T$3</f>
        <v>#REF!</v>
      </c>
      <c r="U103" s="199" t="e">
        <f ca="1">MAX(OFFSET(INDEX(tab_transfert200[Connecteur 8],1),COUNT(tab_transfert200[Connecteur 8])-30,0,30))+U$2+U$3</f>
        <v>#REF!</v>
      </c>
      <c r="V103" s="199" t="e">
        <f ca="1">MAX(OFFSET(INDEX(tab_transfert200[Connecteur 9],1),COUNT(tab_transfert200[Connecteur 9])-30,0,30))+V$2+V$3</f>
        <v>#REF!</v>
      </c>
      <c r="W103" s="201" t="e">
        <f ca="1">MAX(N103:V103)</f>
        <v>#REF!</v>
      </c>
      <c r="Z103" s="23"/>
    </row>
    <row r="104" spans="1:26" ht="15" customHeight="1" x14ac:dyDescent="0.25">
      <c r="A104" s="23"/>
      <c r="B104"/>
      <c r="C104"/>
      <c r="D104"/>
      <c r="E104"/>
      <c r="F104"/>
      <c r="G104"/>
      <c r="H104"/>
      <c r="I104"/>
      <c r="J104"/>
      <c r="K104" s="205"/>
      <c r="M104" s="200" t="s">
        <v>93</v>
      </c>
      <c r="N104" s="199" t="e">
        <f ca="1">MIN(OFFSET(INDEX(tab_transfert200[Connecteur 1],1),COUNT(tab_transfert200[Connecteur 1])-30,0,30))+N$2+N$3</f>
        <v>#REF!</v>
      </c>
      <c r="O104" s="199" t="e">
        <f ca="1">MIN(OFFSET(INDEX(tab_transfert200[Connecteur 2],1),COUNT(tab_transfert200[Connecteur 2])-30,0,30))+O$2+O$3</f>
        <v>#REF!</v>
      </c>
      <c r="P104" s="199" t="e">
        <f ca="1">MIN(OFFSET(INDEX(tab_transfert200[Connecteur 3],1),COUNT(tab_transfert200[Connecteur 3])-30,0,30))+P$2+P$3</f>
        <v>#REF!</v>
      </c>
      <c r="Q104" s="199" t="e">
        <f ca="1">MIN(OFFSET(INDEX(tab_transfert200[Connecteur 4],1),COUNT(tab_transfert200[Connecteur 4])-30,0,30))+Q$2+Q$3</f>
        <v>#REF!</v>
      </c>
      <c r="R104" s="199" t="e">
        <f ca="1">MIN(OFFSET(INDEX(tab_transfert200[Connecteur 5],1),COUNT(tab_transfert200[Connecteur 5])-30,0,30))+R$2+R$3</f>
        <v>#REF!</v>
      </c>
      <c r="S104" s="199" t="e">
        <f ca="1">MIN(OFFSET(INDEX(tab_transfert200[Connecteur 6],1),COUNT(tab_transfert200[Connecteur 6])-30,0,30))+S$2+S$3</f>
        <v>#REF!</v>
      </c>
      <c r="T104" s="199" t="e">
        <f ca="1">MIN(OFFSET(INDEX(tab_transfert200[Connecteur 7],1),COUNT(tab_transfert200[Connecteur 7])-30,0,30))+T$2+T$3</f>
        <v>#REF!</v>
      </c>
      <c r="U104" s="199" t="e">
        <f ca="1">MIN(OFFSET(INDEX(tab_transfert200[Connecteur 8],1),COUNT(tab_transfert200[Connecteur 8])-30,0,30))+U$2+U$3</f>
        <v>#REF!</v>
      </c>
      <c r="V104" s="199" t="e">
        <f ca="1">MIN(OFFSET(INDEX(tab_transfert200[Connecteur 9],1),COUNT(tab_transfert200[Connecteur 9])-30,0,30))+V$2+V$3</f>
        <v>#REF!</v>
      </c>
      <c r="W104" s="201" t="e">
        <f ca="1">MIN(N104:V104)</f>
        <v>#REF!</v>
      </c>
      <c r="Z104" s="23"/>
    </row>
    <row r="105" spans="1:26" ht="15" customHeight="1" x14ac:dyDescent="0.25">
      <c r="A105" s="23"/>
      <c r="B105"/>
      <c r="C105"/>
      <c r="D105"/>
      <c r="E105"/>
      <c r="F105"/>
      <c r="G105"/>
      <c r="H105"/>
      <c r="I105"/>
      <c r="J105"/>
      <c r="K105" s="205"/>
      <c r="M105" s="200" t="s">
        <v>95</v>
      </c>
      <c r="N105" s="199" t="e">
        <f ca="1">AVERAGE(OFFSET(INDEX(tab_transfert200[Connecteur 1],1),COUNT(tab_transfert200[Connecteur 1])-30,0,30))+N$2+N$3</f>
        <v>#REF!</v>
      </c>
      <c r="O105" s="199" t="e">
        <f ca="1">AVERAGE(OFFSET(INDEX(tab_transfert200[Connecteur 2],1),COUNT(tab_transfert200[Connecteur 2])-30,0,30))+O$2+O$3</f>
        <v>#REF!</v>
      </c>
      <c r="P105" s="199" t="e">
        <f ca="1">AVERAGE(OFFSET(INDEX(tab_transfert200[Connecteur 3],1),COUNT(tab_transfert200[Connecteur 3])-30,0,30))+P$2+P$3</f>
        <v>#REF!</v>
      </c>
      <c r="Q105" s="199" t="e">
        <f ca="1">AVERAGE(OFFSET(INDEX(tab_transfert200[Connecteur 4],1),COUNT(tab_transfert200[Connecteur 4])-30,0,30))+Q$2+Q$3</f>
        <v>#REF!</v>
      </c>
      <c r="R105" s="199" t="e">
        <f ca="1">AVERAGE(OFFSET(INDEX(tab_transfert200[Connecteur 5],1),COUNT(tab_transfert200[Connecteur 5])-30,0,30))+R$2+R$3</f>
        <v>#REF!</v>
      </c>
      <c r="S105" s="199" t="e">
        <f ca="1">AVERAGE(OFFSET(INDEX(tab_transfert200[Connecteur 6],1),COUNT(tab_transfert200[Connecteur 6])-30,0,30))+S$2+S$3</f>
        <v>#REF!</v>
      </c>
      <c r="T105" s="199" t="e">
        <f ca="1">AVERAGE(OFFSET(INDEX(tab_transfert200[Connecteur 7],1),COUNT(tab_transfert200[Connecteur 7])-30,0,30))+T$2+T$3</f>
        <v>#REF!</v>
      </c>
      <c r="U105" s="199" t="e">
        <f ca="1">AVERAGE(OFFSET(INDEX(tab_transfert200[Connecteur 8],1),COUNT(tab_transfert200[Connecteur 8])-30,0,30))+U$2+U$3</f>
        <v>#REF!</v>
      </c>
      <c r="V105" s="199" t="e">
        <f ca="1">AVERAGE(OFFSET(INDEX(tab_transfert200[Connecteur 9],1),COUNT(tab_transfert200[Connecteur 9])-30,0,30))+V$2+V$3</f>
        <v>#REF!</v>
      </c>
      <c r="W105" s="27"/>
      <c r="Z105" s="23"/>
    </row>
    <row r="106" spans="1:26" ht="15" customHeight="1" x14ac:dyDescent="0.25">
      <c r="A106" s="23"/>
      <c r="B106"/>
      <c r="C106"/>
      <c r="D106"/>
      <c r="E106"/>
      <c r="F106"/>
      <c r="G106"/>
      <c r="H106"/>
      <c r="I106"/>
      <c r="J106"/>
      <c r="K106" s="205"/>
      <c r="M106" s="92" t="s">
        <v>96</v>
      </c>
      <c r="N106" s="43" t="e">
        <f ca="1">N103-N104</f>
        <v>#REF!</v>
      </c>
      <c r="O106" s="43" t="e">
        <f t="shared" ref="O106:V106" ca="1" si="0">O103-O104</f>
        <v>#REF!</v>
      </c>
      <c r="P106" s="43" t="e">
        <f t="shared" ca="1" si="0"/>
        <v>#REF!</v>
      </c>
      <c r="Q106" s="43" t="e">
        <f t="shared" ca="1" si="0"/>
        <v>#REF!</v>
      </c>
      <c r="R106" s="43" t="e">
        <f t="shared" ca="1" si="0"/>
        <v>#REF!</v>
      </c>
      <c r="S106" s="43" t="e">
        <f t="shared" ca="1" si="0"/>
        <v>#REF!</v>
      </c>
      <c r="T106" s="43" t="e">
        <f t="shared" ca="1" si="0"/>
        <v>#REF!</v>
      </c>
      <c r="U106" s="43" t="e">
        <f t="shared" ca="1" si="0"/>
        <v>#REF!</v>
      </c>
      <c r="V106" s="43" t="e">
        <f t="shared" ca="1" si="0"/>
        <v>#REF!</v>
      </c>
      <c r="W106" s="27"/>
      <c r="Z106" s="23"/>
    </row>
    <row r="107" spans="1:26" ht="15" customHeight="1" x14ac:dyDescent="0.25">
      <c r="A107" s="23"/>
      <c r="B107"/>
      <c r="C107"/>
      <c r="D107"/>
      <c r="E107"/>
      <c r="F107"/>
      <c r="G107"/>
      <c r="H107"/>
      <c r="I107"/>
      <c r="J107"/>
      <c r="K107" s="205"/>
      <c r="M107" s="92" t="s">
        <v>97</v>
      </c>
      <c r="N107" s="372" t="e">
        <f ca="1">ABS(MAX(N103:V103) - MIN(N104:V104))</f>
        <v>#REF!</v>
      </c>
      <c r="O107" s="372"/>
      <c r="P107" s="372"/>
      <c r="Q107" s="372"/>
      <c r="R107" s="372"/>
      <c r="S107" s="372"/>
      <c r="T107" s="372"/>
      <c r="U107" s="372"/>
      <c r="V107" s="372"/>
      <c r="W107" s="44" t="e">
        <f ca="1">N107</f>
        <v>#REF!</v>
      </c>
      <c r="Z107" s="23"/>
    </row>
    <row r="108" spans="1:26" ht="15" customHeight="1" x14ac:dyDescent="0.25">
      <c r="A108" s="23"/>
      <c r="B108"/>
      <c r="C108"/>
      <c r="D108"/>
      <c r="E108"/>
      <c r="F108"/>
      <c r="G108"/>
      <c r="H108"/>
      <c r="I108"/>
      <c r="J108"/>
      <c r="K108" s="205"/>
      <c r="M108" s="92" t="s">
        <v>98</v>
      </c>
      <c r="N108" s="372" t="e">
        <f ca="1">AVERAGE(N105:V105)</f>
        <v>#REF!</v>
      </c>
      <c r="O108" s="372"/>
      <c r="P108" s="372"/>
      <c r="Q108" s="372"/>
      <c r="R108" s="372"/>
      <c r="S108" s="372"/>
      <c r="T108" s="372"/>
      <c r="U108" s="372"/>
      <c r="V108" s="372"/>
      <c r="W108" s="44" t="e">
        <f ca="1">N108</f>
        <v>#REF!</v>
      </c>
      <c r="Z108" s="23"/>
    </row>
    <row r="109" spans="1:26" ht="15" customHeight="1" x14ac:dyDescent="0.25">
      <c r="A109" s="23"/>
      <c r="B109"/>
      <c r="C109"/>
      <c r="D109"/>
      <c r="E109"/>
      <c r="F109"/>
      <c r="G109"/>
      <c r="H109"/>
      <c r="I109"/>
      <c r="J109"/>
      <c r="K109" s="205"/>
      <c r="M109" s="197" t="s">
        <v>340</v>
      </c>
      <c r="N109" s="35" t="str" cm="1">
        <f t="array" ref="N109:V109">tab_transfert200[[#Headers],[Connecteur 1]:[Connecteur 9]]</f>
        <v>Connecteur 1</v>
      </c>
      <c r="O109" s="35" t="str">
        <v>Connecteur 2</v>
      </c>
      <c r="P109" s="35" t="str">
        <v>Connecteur 3</v>
      </c>
      <c r="Q109" s="35" t="str">
        <v>Connecteur 4</v>
      </c>
      <c r="R109" s="35" t="str">
        <v>Connecteur 5</v>
      </c>
      <c r="S109" s="35" t="str">
        <v>Connecteur 6</v>
      </c>
      <c r="T109" s="35" t="str">
        <v>Connecteur 7</v>
      </c>
      <c r="U109" s="35" t="str">
        <v>Connecteur 8</v>
      </c>
      <c r="V109" s="35" t="str">
        <v>Connecteur 9</v>
      </c>
      <c r="W109" s="27"/>
      <c r="Z109" s="23"/>
    </row>
    <row r="110" spans="1:26" ht="15" customHeight="1" x14ac:dyDescent="0.25">
      <c r="A110" s="23"/>
      <c r="B110"/>
      <c r="C110"/>
      <c r="D110"/>
      <c r="E110"/>
      <c r="F110"/>
      <c r="G110"/>
      <c r="H110"/>
      <c r="I110"/>
      <c r="J110"/>
      <c r="K110" s="205"/>
      <c r="M110" s="194" t="s">
        <v>339</v>
      </c>
      <c r="N110" s="196" t="e">
        <f ca="1">_xlfn.STDEV.S(OFFSET(INDEX(tab_transfert200[Connecteur 1],1),COUNT(tab_transfert200[Connecteur 1])-30,0,30))</f>
        <v>#REF!</v>
      </c>
      <c r="O110" s="196" t="e">
        <f ca="1">_xlfn.STDEV.S(OFFSET(INDEX(tab_transfert200[Connecteur 2],1),COUNT(tab_transfert200[Connecteur 2])-30,0,30))</f>
        <v>#REF!</v>
      </c>
      <c r="P110" s="196" t="e">
        <f ca="1">_xlfn.STDEV.S(OFFSET(INDEX(tab_transfert200[Connecteur 3],1),COUNT(tab_transfert200[Connecteur 3])-30,0,30))</f>
        <v>#REF!</v>
      </c>
      <c r="Q110" s="196" t="e">
        <f ca="1">_xlfn.STDEV.S(OFFSET(INDEX(tab_transfert200[Connecteur 4],1),COUNT(tab_transfert200[Connecteur 4])-30,0,30))</f>
        <v>#REF!</v>
      </c>
      <c r="R110" s="196" t="e">
        <f ca="1">_xlfn.STDEV.S(OFFSET(INDEX(tab_transfert200[Connecteur 5],1),COUNT(tab_transfert200[Connecteur 5])-30,0,30))</f>
        <v>#REF!</v>
      </c>
      <c r="S110" s="196" t="e">
        <f ca="1">_xlfn.STDEV.S(OFFSET(INDEX(tab_transfert200[Connecteur 6],1),COUNT(tab_transfert200[Connecteur 6])-30,0,30))</f>
        <v>#REF!</v>
      </c>
      <c r="T110" s="196" t="e">
        <f ca="1">_xlfn.STDEV.S(OFFSET(INDEX(tab_transfert200[Connecteur 7],1),COUNT(tab_transfert200[Connecteur 7])-30,0,30))</f>
        <v>#REF!</v>
      </c>
      <c r="U110" s="196" t="e">
        <f ca="1">_xlfn.STDEV.S(OFFSET(INDEX(tab_transfert200[Connecteur 8],1),COUNT(tab_transfert200[Connecteur 8])-30,0,30))</f>
        <v>#REF!</v>
      </c>
      <c r="V110" s="196" t="e">
        <f ca="1">_xlfn.STDEV.S(OFFSET(INDEX(tab_transfert200[Connecteur 9],1),COUNT(tab_transfert200[Connecteur 9])-30,0,30))</f>
        <v>#REF!</v>
      </c>
      <c r="W110" s="195" t="e">
        <f ca="1">MAX(N110:V110)</f>
        <v>#REF!</v>
      </c>
      <c r="Z110" s="23"/>
    </row>
    <row r="111" spans="1:26" ht="15" customHeight="1" x14ac:dyDescent="0.25">
      <c r="A111" s="23"/>
      <c r="B111"/>
      <c r="C111"/>
      <c r="D111"/>
      <c r="E111"/>
      <c r="F111"/>
      <c r="G111"/>
      <c r="H111"/>
      <c r="I111"/>
      <c r="J111"/>
      <c r="K111" s="205"/>
      <c r="N111" s="27"/>
      <c r="O111" s="27"/>
      <c r="P111" s="27"/>
      <c r="Q111" s="27"/>
      <c r="R111" s="27"/>
      <c r="S111" s="27"/>
      <c r="T111" s="27"/>
      <c r="U111" s="27"/>
      <c r="V111" s="27"/>
      <c r="W111" s="27"/>
      <c r="Z111" s="23"/>
    </row>
    <row r="112" spans="1:26" ht="15" customHeight="1" x14ac:dyDescent="0.25">
      <c r="A112" s="23"/>
      <c r="B112"/>
      <c r="C112"/>
      <c r="D112"/>
      <c r="E112"/>
      <c r="F112"/>
      <c r="G112"/>
      <c r="H112"/>
      <c r="I112"/>
      <c r="J112"/>
      <c r="K112" s="205"/>
      <c r="M112" s="194" t="s">
        <v>338</v>
      </c>
      <c r="N112" s="193" t="e">
        <f ca="1">W103-(OFFSET(INDEX(tab_four200[Consigne T°],1),COUNT(tab_four200[Consigne T°])-30,0,1))</f>
        <v>#REF!</v>
      </c>
      <c r="O112" s="27"/>
      <c r="P112" s="27"/>
      <c r="Q112" s="27"/>
      <c r="R112" s="27"/>
      <c r="S112" s="27"/>
      <c r="T112" s="27"/>
      <c r="U112" s="27"/>
      <c r="V112" s="27"/>
      <c r="W112" s="27"/>
      <c r="Z112" s="23"/>
    </row>
    <row r="113" spans="1:26" ht="15" customHeight="1" x14ac:dyDescent="0.25">
      <c r="A113" s="23"/>
      <c r="B113"/>
      <c r="C113"/>
      <c r="D113"/>
      <c r="E113"/>
      <c r="F113"/>
      <c r="G113"/>
      <c r="H113"/>
      <c r="I113"/>
      <c r="J113"/>
      <c r="K113" s="205"/>
      <c r="M113" s="194" t="s">
        <v>337</v>
      </c>
      <c r="N113" s="193" t="e">
        <f ca="1">W104-(OFFSET(INDEX(tab_four200[Consigne T°],1),COUNT(tab_four200[Consigne T°])-30,0,1))</f>
        <v>#REF!</v>
      </c>
      <c r="O113" s="27"/>
      <c r="P113" s="27"/>
      <c r="Q113" s="27"/>
      <c r="R113" s="27"/>
      <c r="S113" s="27"/>
      <c r="T113" s="27"/>
      <c r="U113" s="27"/>
      <c r="V113" s="27"/>
      <c r="W113" s="27"/>
      <c r="Z113" s="23"/>
    </row>
    <row r="114" spans="1:26" ht="15" customHeight="1" x14ac:dyDescent="0.25">
      <c r="A114" s="23"/>
      <c r="B114"/>
      <c r="C114"/>
      <c r="D114"/>
      <c r="E114"/>
      <c r="F114"/>
      <c r="G114"/>
      <c r="H114"/>
      <c r="I114"/>
      <c r="J114"/>
      <c r="K114" s="205"/>
      <c r="N114" s="27"/>
      <c r="O114" s="27"/>
      <c r="P114" s="27"/>
      <c r="Q114" s="27"/>
      <c r="R114" s="27"/>
      <c r="S114" s="27"/>
      <c r="T114" s="27"/>
      <c r="U114" s="27"/>
      <c r="V114" s="27"/>
      <c r="W114" s="27"/>
      <c r="Z114" s="23"/>
    </row>
    <row r="115" spans="1:26" ht="15" customHeight="1" x14ac:dyDescent="0.25">
      <c r="A115" s="23"/>
      <c r="B115"/>
      <c r="C115"/>
      <c r="D115"/>
      <c r="E115"/>
      <c r="F115"/>
      <c r="G115"/>
      <c r="H115"/>
      <c r="I115"/>
      <c r="J115"/>
      <c r="K115" s="205"/>
      <c r="Z115" s="23"/>
    </row>
    <row r="116" spans="1:26" ht="15" customHeight="1" x14ac:dyDescent="0.25">
      <c r="A116" s="23"/>
      <c r="B116"/>
      <c r="C116"/>
      <c r="D116"/>
      <c r="E116"/>
      <c r="F116"/>
      <c r="G116"/>
      <c r="H116"/>
      <c r="I116"/>
      <c r="J116"/>
      <c r="K116" s="205"/>
      <c r="Z116" s="23"/>
    </row>
    <row r="117" spans="1:26" ht="15" customHeight="1" x14ac:dyDescent="0.25">
      <c r="A117" s="23"/>
      <c r="B117"/>
      <c r="C117"/>
      <c r="D117"/>
      <c r="E117"/>
      <c r="F117"/>
      <c r="G117"/>
      <c r="H117"/>
      <c r="I117"/>
      <c r="J117"/>
      <c r="K117" s="205"/>
      <c r="Z117" s="23"/>
    </row>
    <row r="118" spans="1:26" ht="15" customHeight="1" x14ac:dyDescent="0.25">
      <c r="A118" s="23"/>
      <c r="B118"/>
      <c r="C118"/>
      <c r="D118"/>
      <c r="E118"/>
      <c r="F118"/>
      <c r="G118"/>
      <c r="H118"/>
      <c r="I118"/>
      <c r="J118"/>
      <c r="K118" s="205"/>
      <c r="Z118" s="23"/>
    </row>
    <row r="119" spans="1:26" ht="15" customHeight="1" x14ac:dyDescent="0.25">
      <c r="A119" s="23"/>
      <c r="B119"/>
      <c r="C119"/>
      <c r="D119"/>
      <c r="E119"/>
      <c r="F119"/>
      <c r="G119"/>
      <c r="H119"/>
      <c r="I119"/>
      <c r="J119"/>
      <c r="K119" s="205"/>
      <c r="Z119" s="23"/>
    </row>
    <row r="120" spans="1:26" ht="15" customHeight="1" x14ac:dyDescent="0.25">
      <c r="A120" s="23"/>
      <c r="B120"/>
      <c r="C120"/>
      <c r="D120"/>
      <c r="E120"/>
      <c r="F120"/>
      <c r="G120"/>
      <c r="H120"/>
      <c r="I120"/>
      <c r="J120"/>
      <c r="K120" s="205"/>
      <c r="Z120" s="23"/>
    </row>
    <row r="121" spans="1:26" ht="15" customHeight="1" x14ac:dyDescent="0.25">
      <c r="A121" s="23"/>
      <c r="B121"/>
      <c r="C121"/>
      <c r="D121"/>
      <c r="E121"/>
      <c r="F121"/>
      <c r="G121"/>
      <c r="H121"/>
      <c r="I121"/>
      <c r="J121"/>
      <c r="K121" s="205"/>
      <c r="Z121" s="23"/>
    </row>
    <row r="122" spans="1:26" ht="15" customHeight="1" x14ac:dyDescent="0.25">
      <c r="A122" s="23"/>
      <c r="B122"/>
      <c r="C122"/>
      <c r="D122"/>
      <c r="E122"/>
      <c r="F122"/>
      <c r="G122"/>
      <c r="H122"/>
      <c r="I122"/>
      <c r="J122"/>
      <c r="K122" s="205"/>
      <c r="Z122" s="23"/>
    </row>
    <row r="123" spans="1:26" ht="15" customHeight="1" x14ac:dyDescent="0.25">
      <c r="A123" s="23"/>
      <c r="B123"/>
      <c r="C123"/>
      <c r="D123"/>
      <c r="E123"/>
      <c r="F123"/>
      <c r="G123"/>
      <c r="H123"/>
      <c r="I123"/>
      <c r="J123"/>
      <c r="K123" s="205"/>
      <c r="Z123" s="23"/>
    </row>
    <row r="124" spans="1:26" ht="15" customHeight="1" x14ac:dyDescent="0.25">
      <c r="A124" s="23"/>
      <c r="B124"/>
      <c r="C124"/>
      <c r="D124"/>
      <c r="E124"/>
      <c r="F124"/>
      <c r="G124"/>
      <c r="H124"/>
      <c r="I124"/>
      <c r="J124"/>
      <c r="K124" s="205"/>
      <c r="Z124" s="23"/>
    </row>
    <row r="125" spans="1:26" ht="15" customHeight="1" x14ac:dyDescent="0.25">
      <c r="A125" s="23"/>
      <c r="B125"/>
      <c r="C125"/>
      <c r="D125"/>
      <c r="E125"/>
      <c r="F125"/>
      <c r="G125"/>
      <c r="H125"/>
      <c r="I125"/>
      <c r="J125"/>
      <c r="K125" s="205"/>
      <c r="Z125" s="23"/>
    </row>
    <row r="126" spans="1:26" ht="15" customHeight="1" x14ac:dyDescent="0.25">
      <c r="A126" s="23"/>
      <c r="B126"/>
      <c r="C126"/>
      <c r="D126"/>
      <c r="E126"/>
      <c r="F126"/>
      <c r="G126"/>
      <c r="H126"/>
      <c r="I126"/>
      <c r="J126"/>
      <c r="K126" s="205"/>
      <c r="Z126" s="23"/>
    </row>
    <row r="127" spans="1:26" ht="15" customHeight="1" x14ac:dyDescent="0.25">
      <c r="A127" s="23"/>
      <c r="B127"/>
      <c r="C127"/>
      <c r="D127"/>
      <c r="E127"/>
      <c r="F127"/>
      <c r="G127"/>
      <c r="H127"/>
      <c r="I127"/>
      <c r="J127"/>
      <c r="K127" s="205"/>
      <c r="Z127" s="23"/>
    </row>
    <row r="128" spans="1:26" ht="15" customHeight="1" x14ac:dyDescent="0.25">
      <c r="A128" s="23"/>
      <c r="B128"/>
      <c r="C128"/>
      <c r="D128"/>
      <c r="E128"/>
      <c r="F128"/>
      <c r="G128"/>
      <c r="H128"/>
      <c r="I128"/>
      <c r="J128"/>
      <c r="K128" s="205"/>
      <c r="Z128" s="23"/>
    </row>
    <row r="129" spans="1:26" ht="15" customHeight="1" x14ac:dyDescent="0.25">
      <c r="A129" s="23"/>
      <c r="B129"/>
      <c r="C129"/>
      <c r="D129"/>
      <c r="E129"/>
      <c r="F129"/>
      <c r="G129"/>
      <c r="H129"/>
      <c r="I129"/>
      <c r="J129"/>
      <c r="K129" s="205"/>
      <c r="Z129" s="23"/>
    </row>
    <row r="130" spans="1:26" ht="15" customHeight="1" x14ac:dyDescent="0.25">
      <c r="A130" s="23"/>
      <c r="B130"/>
      <c r="C130"/>
      <c r="D130"/>
      <c r="E130"/>
      <c r="F130"/>
      <c r="G130"/>
      <c r="H130"/>
      <c r="I130"/>
      <c r="J130"/>
      <c r="K130" s="205"/>
      <c r="Z130" s="23"/>
    </row>
    <row r="131" spans="1:26" ht="15" customHeight="1" x14ac:dyDescent="0.25">
      <c r="A131" s="23"/>
      <c r="B131"/>
      <c r="C131"/>
      <c r="D131"/>
      <c r="E131"/>
      <c r="F131"/>
      <c r="G131"/>
      <c r="H131"/>
      <c r="I131"/>
      <c r="J131"/>
      <c r="K131" s="205"/>
      <c r="Z131" s="23"/>
    </row>
    <row r="132" spans="1:26" ht="15" customHeight="1" x14ac:dyDescent="0.25">
      <c r="A132" s="23"/>
      <c r="B132"/>
      <c r="C132"/>
      <c r="D132"/>
      <c r="E132"/>
      <c r="F132"/>
      <c r="G132"/>
      <c r="H132"/>
      <c r="I132"/>
      <c r="J132"/>
      <c r="K132" s="205"/>
      <c r="Z132" s="23"/>
    </row>
    <row r="133" spans="1:26" ht="15" customHeight="1" x14ac:dyDescent="0.25">
      <c r="A133" s="23"/>
      <c r="B133"/>
      <c r="C133"/>
      <c r="D133"/>
      <c r="E133"/>
      <c r="F133"/>
      <c r="G133"/>
      <c r="H133"/>
      <c r="I133"/>
      <c r="J133"/>
      <c r="K133" s="205"/>
      <c r="Z133" s="23"/>
    </row>
    <row r="134" spans="1:26" ht="15" customHeight="1" x14ac:dyDescent="0.25">
      <c r="A134" s="23"/>
      <c r="B134"/>
      <c r="C134"/>
      <c r="D134"/>
      <c r="E134"/>
      <c r="F134"/>
      <c r="G134"/>
      <c r="H134"/>
      <c r="I134"/>
      <c r="J134"/>
      <c r="K134" s="205"/>
      <c r="Z134" s="23"/>
    </row>
    <row r="135" spans="1:26" ht="15" customHeight="1" x14ac:dyDescent="0.25">
      <c r="A135" s="23"/>
      <c r="B135"/>
      <c r="C135"/>
      <c r="D135"/>
      <c r="E135"/>
      <c r="F135"/>
      <c r="G135"/>
      <c r="H135"/>
      <c r="I135"/>
      <c r="J135"/>
      <c r="K135" s="205"/>
      <c r="Z135" s="23"/>
    </row>
    <row r="136" spans="1:26" ht="15" customHeight="1" x14ac:dyDescent="0.25">
      <c r="A136" s="23"/>
      <c r="B136"/>
      <c r="C136"/>
      <c r="D136"/>
      <c r="E136"/>
      <c r="F136"/>
      <c r="G136"/>
      <c r="H136"/>
      <c r="I136"/>
      <c r="J136"/>
      <c r="K136" s="205"/>
      <c r="Z136" s="23"/>
    </row>
    <row r="137" spans="1:26" ht="15" customHeight="1" x14ac:dyDescent="0.25">
      <c r="A137" s="23"/>
      <c r="B137"/>
      <c r="C137"/>
      <c r="D137"/>
      <c r="E137"/>
      <c r="F137"/>
      <c r="G137"/>
      <c r="H137"/>
      <c r="I137"/>
      <c r="J137"/>
      <c r="K137" s="205"/>
      <c r="Z137" s="23"/>
    </row>
    <row r="138" spans="1:26" ht="15" customHeight="1" x14ac:dyDescent="0.25">
      <c r="A138" s="23"/>
      <c r="B138"/>
      <c r="C138"/>
      <c r="D138"/>
      <c r="E138"/>
      <c r="F138"/>
      <c r="G138"/>
      <c r="H138"/>
      <c r="I138"/>
      <c r="J138"/>
      <c r="K138" s="205"/>
      <c r="Z138" s="23"/>
    </row>
    <row r="139" spans="1:26" ht="15" customHeight="1" x14ac:dyDescent="0.25">
      <c r="A139" s="23"/>
      <c r="B139"/>
      <c r="C139"/>
      <c r="D139"/>
      <c r="E139"/>
      <c r="F139"/>
      <c r="G139"/>
      <c r="H139"/>
      <c r="I139"/>
      <c r="J139"/>
      <c r="K139" s="205"/>
      <c r="Z139" s="23"/>
    </row>
    <row r="140" spans="1:26" ht="15" customHeight="1" x14ac:dyDescent="0.25">
      <c r="A140" s="23"/>
      <c r="B140"/>
      <c r="C140"/>
      <c r="D140"/>
      <c r="E140"/>
      <c r="F140"/>
      <c r="G140"/>
      <c r="H140"/>
      <c r="I140"/>
      <c r="J140"/>
      <c r="K140" s="205"/>
      <c r="Z140" s="23"/>
    </row>
    <row r="141" spans="1:26" ht="15" customHeight="1" x14ac:dyDescent="0.25">
      <c r="A141" s="23"/>
      <c r="B141"/>
      <c r="C141"/>
      <c r="D141"/>
      <c r="E141"/>
      <c r="F141"/>
      <c r="G141"/>
      <c r="H141"/>
      <c r="I141"/>
      <c r="J141"/>
      <c r="K141" s="205"/>
      <c r="Z141" s="23"/>
    </row>
    <row r="142" spans="1:26" ht="15" customHeight="1" x14ac:dyDescent="0.25">
      <c r="A142" s="23"/>
      <c r="B142"/>
      <c r="C142"/>
      <c r="D142"/>
      <c r="E142"/>
      <c r="F142"/>
      <c r="G142"/>
      <c r="H142"/>
      <c r="I142"/>
      <c r="J142"/>
      <c r="K142" s="205"/>
      <c r="Z142" s="23"/>
    </row>
    <row r="143" spans="1:26" ht="15" customHeight="1" x14ac:dyDescent="0.25">
      <c r="A143" s="23"/>
      <c r="B143"/>
      <c r="C143"/>
      <c r="D143"/>
      <c r="E143"/>
      <c r="F143"/>
      <c r="G143"/>
      <c r="H143"/>
      <c r="I143"/>
      <c r="J143"/>
      <c r="K143" s="205"/>
      <c r="Z143" s="23"/>
    </row>
    <row r="144" spans="1:26" ht="15" customHeight="1" x14ac:dyDescent="0.25">
      <c r="A144" s="23"/>
      <c r="B144"/>
      <c r="C144"/>
      <c r="D144"/>
      <c r="E144"/>
      <c r="F144"/>
      <c r="G144"/>
      <c r="H144"/>
      <c r="I144"/>
      <c r="J144"/>
      <c r="K144" s="205"/>
      <c r="Z144" s="23"/>
    </row>
    <row r="145" spans="1:26" ht="15" customHeight="1" x14ac:dyDescent="0.25">
      <c r="A145" s="23"/>
      <c r="B145"/>
      <c r="C145"/>
      <c r="D145"/>
      <c r="E145"/>
      <c r="F145"/>
      <c r="G145"/>
      <c r="H145"/>
      <c r="I145"/>
      <c r="J145"/>
      <c r="K145" s="205"/>
      <c r="Z145" s="23"/>
    </row>
    <row r="146" spans="1:26" ht="15" customHeight="1" x14ac:dyDescent="0.25">
      <c r="A146" s="23"/>
      <c r="B146"/>
      <c r="C146"/>
      <c r="D146"/>
      <c r="E146"/>
      <c r="F146"/>
      <c r="G146"/>
      <c r="H146"/>
      <c r="I146"/>
      <c r="J146"/>
      <c r="K146" s="205"/>
      <c r="Z146" s="23"/>
    </row>
    <row r="147" spans="1:26" ht="15" customHeight="1" x14ac:dyDescent="0.25">
      <c r="A147" s="23"/>
      <c r="B147"/>
      <c r="C147"/>
      <c r="D147"/>
      <c r="E147"/>
      <c r="F147"/>
      <c r="G147"/>
      <c r="H147"/>
      <c r="I147"/>
      <c r="J147"/>
      <c r="K147" s="205"/>
      <c r="Z147" s="23"/>
    </row>
    <row r="148" spans="1:26" ht="15" customHeight="1" x14ac:dyDescent="0.25">
      <c r="A148" s="23"/>
      <c r="B148"/>
      <c r="C148"/>
      <c r="D148"/>
      <c r="E148"/>
      <c r="F148"/>
      <c r="G148"/>
      <c r="H148"/>
      <c r="I148"/>
      <c r="J148"/>
      <c r="K148" s="205"/>
      <c r="Z148" s="23"/>
    </row>
    <row r="149" spans="1:26" ht="15" customHeight="1" x14ac:dyDescent="0.25">
      <c r="A149" s="23"/>
      <c r="B149"/>
      <c r="C149"/>
      <c r="D149"/>
      <c r="E149"/>
      <c r="F149"/>
      <c r="G149"/>
      <c r="H149"/>
      <c r="I149"/>
      <c r="J149"/>
      <c r="K149" s="205"/>
      <c r="Z149" s="23"/>
    </row>
    <row r="150" spans="1:26" ht="15" customHeight="1" x14ac:dyDescent="0.25">
      <c r="A150" s="23"/>
      <c r="B150"/>
      <c r="C150"/>
      <c r="D150"/>
      <c r="E150"/>
      <c r="F150"/>
      <c r="G150"/>
      <c r="H150"/>
      <c r="I150"/>
      <c r="J150"/>
      <c r="K150" s="205"/>
      <c r="Z150" s="23"/>
    </row>
    <row r="151" spans="1:26" ht="15" customHeight="1" x14ac:dyDescent="0.25">
      <c r="A151" s="23"/>
      <c r="B151"/>
      <c r="C151"/>
      <c r="D151"/>
      <c r="E151"/>
      <c r="F151"/>
      <c r="G151"/>
      <c r="H151"/>
      <c r="I151"/>
      <c r="J151"/>
      <c r="K151" s="205"/>
      <c r="Z151" s="23"/>
    </row>
    <row r="152" spans="1:26" ht="15" customHeight="1" x14ac:dyDescent="0.25">
      <c r="A152" s="23"/>
      <c r="B152"/>
      <c r="C152"/>
      <c r="D152"/>
      <c r="E152"/>
      <c r="F152"/>
      <c r="G152"/>
      <c r="H152"/>
      <c r="I152"/>
      <c r="J152"/>
      <c r="K152" s="205"/>
      <c r="Z152" s="23"/>
    </row>
    <row r="153" spans="1:26" ht="15" customHeight="1" x14ac:dyDescent="0.25">
      <c r="A153" s="23"/>
      <c r="B153"/>
      <c r="C153"/>
      <c r="D153"/>
      <c r="E153"/>
      <c r="F153"/>
      <c r="G153"/>
      <c r="H153"/>
      <c r="I153"/>
      <c r="J153"/>
      <c r="K153" s="205"/>
      <c r="Z153" s="23"/>
    </row>
    <row r="154" spans="1:26" ht="15" customHeight="1" x14ac:dyDescent="0.25">
      <c r="A154" s="23"/>
      <c r="B154"/>
      <c r="C154"/>
      <c r="D154"/>
      <c r="E154"/>
      <c r="F154"/>
      <c r="G154"/>
      <c r="H154"/>
      <c r="I154"/>
      <c r="J154"/>
      <c r="K154" s="205"/>
      <c r="Z154" s="23"/>
    </row>
    <row r="155" spans="1:26" ht="15" customHeight="1" x14ac:dyDescent="0.25">
      <c r="A155" s="23"/>
      <c r="B155"/>
      <c r="C155"/>
      <c r="D155"/>
      <c r="E155"/>
      <c r="F155"/>
      <c r="G155"/>
      <c r="H155"/>
      <c r="I155"/>
      <c r="J155"/>
      <c r="K155" s="205"/>
      <c r="Z155" s="23"/>
    </row>
    <row r="156" spans="1:26" ht="15" customHeight="1" x14ac:dyDescent="0.25">
      <c r="A156" s="23"/>
      <c r="B156"/>
      <c r="C156"/>
      <c r="D156"/>
      <c r="E156"/>
      <c r="F156"/>
      <c r="G156"/>
      <c r="H156"/>
      <c r="I156"/>
      <c r="J156"/>
      <c r="K156" s="205"/>
      <c r="Z156" s="23"/>
    </row>
    <row r="157" spans="1:26" ht="15" customHeight="1" x14ac:dyDescent="0.25">
      <c r="A157" s="23"/>
      <c r="B157"/>
      <c r="C157"/>
      <c r="D157"/>
      <c r="E157"/>
      <c r="F157"/>
      <c r="G157"/>
      <c r="H157"/>
      <c r="I157"/>
      <c r="J157"/>
      <c r="K157" s="205"/>
      <c r="Z157" s="23"/>
    </row>
    <row r="158" spans="1:26" ht="15" customHeight="1" x14ac:dyDescent="0.25">
      <c r="A158" s="23"/>
      <c r="B158"/>
      <c r="C158"/>
      <c r="D158"/>
      <c r="E158"/>
      <c r="F158"/>
      <c r="G158"/>
      <c r="H158"/>
      <c r="I158"/>
      <c r="J158"/>
      <c r="K158" s="205"/>
      <c r="Z158" s="23"/>
    </row>
    <row r="159" spans="1:26" ht="15" customHeight="1" x14ac:dyDescent="0.25">
      <c r="A159" s="23"/>
      <c r="B159"/>
      <c r="C159"/>
      <c r="D159"/>
      <c r="E159"/>
      <c r="F159"/>
      <c r="G159"/>
      <c r="H159"/>
      <c r="I159"/>
      <c r="J159"/>
      <c r="K159" s="205"/>
      <c r="Z159" s="23"/>
    </row>
    <row r="160" spans="1:26" ht="15" customHeight="1" x14ac:dyDescent="0.25">
      <c r="A160" s="23"/>
      <c r="B160"/>
      <c r="C160"/>
      <c r="D160"/>
      <c r="E160"/>
      <c r="F160"/>
      <c r="G160"/>
      <c r="H160"/>
      <c r="I160"/>
      <c r="J160"/>
      <c r="K160" s="205"/>
      <c r="Z160" s="23"/>
    </row>
    <row r="161" spans="1:26" ht="15" customHeight="1" x14ac:dyDescent="0.25">
      <c r="A161" s="23"/>
      <c r="B161"/>
      <c r="C161"/>
      <c r="D161"/>
      <c r="E161"/>
      <c r="F161"/>
      <c r="G161"/>
      <c r="H161"/>
      <c r="I161"/>
      <c r="J161"/>
      <c r="K161" s="205"/>
      <c r="Z161" s="23"/>
    </row>
    <row r="162" spans="1:26" ht="15" customHeight="1" x14ac:dyDescent="0.25">
      <c r="A162" s="23"/>
      <c r="B162"/>
      <c r="C162"/>
      <c r="D162"/>
      <c r="E162"/>
      <c r="F162"/>
      <c r="G162"/>
      <c r="H162"/>
      <c r="I162"/>
      <c r="J162"/>
      <c r="K162" s="205"/>
      <c r="Z162" s="23"/>
    </row>
    <row r="163" spans="1:26" ht="15" customHeight="1" x14ac:dyDescent="0.25">
      <c r="A163" s="23"/>
      <c r="B163"/>
      <c r="C163"/>
      <c r="D163"/>
      <c r="E163"/>
      <c r="F163"/>
      <c r="G163"/>
      <c r="H163"/>
      <c r="I163"/>
      <c r="J163"/>
      <c r="K163" s="205"/>
      <c r="Z163" s="23"/>
    </row>
    <row r="164" spans="1:26" ht="15" customHeight="1" x14ac:dyDescent="0.25">
      <c r="A164" s="23"/>
      <c r="B164"/>
      <c r="C164"/>
      <c r="D164"/>
      <c r="E164"/>
      <c r="F164"/>
      <c r="G164"/>
      <c r="H164"/>
      <c r="I164"/>
      <c r="J164"/>
      <c r="K164" s="205"/>
      <c r="Z164" s="23"/>
    </row>
    <row r="165" spans="1:26" ht="15" customHeight="1" x14ac:dyDescent="0.25">
      <c r="A165" s="23"/>
      <c r="B165"/>
      <c r="C165"/>
      <c r="D165"/>
      <c r="E165"/>
      <c r="F165"/>
      <c r="G165"/>
      <c r="H165"/>
      <c r="I165"/>
      <c r="J165"/>
      <c r="K165" s="205"/>
      <c r="Z165" s="23"/>
    </row>
    <row r="166" spans="1:26" ht="15" customHeight="1" x14ac:dyDescent="0.25">
      <c r="A166" s="23"/>
      <c r="B166"/>
      <c r="C166"/>
      <c r="D166"/>
      <c r="E166"/>
      <c r="F166"/>
      <c r="G166"/>
      <c r="H166"/>
      <c r="I166"/>
      <c r="J166"/>
      <c r="K166" s="205"/>
      <c r="Z166" s="23"/>
    </row>
    <row r="167" spans="1:26" ht="15" customHeight="1" x14ac:dyDescent="0.25">
      <c r="A167" s="23"/>
      <c r="B167"/>
      <c r="C167"/>
      <c r="D167"/>
      <c r="E167"/>
      <c r="F167"/>
      <c r="G167"/>
      <c r="H167"/>
      <c r="I167"/>
      <c r="J167"/>
      <c r="K167" s="205"/>
      <c r="Z167" s="23"/>
    </row>
    <row r="168" spans="1:26" ht="15" customHeight="1" x14ac:dyDescent="0.25">
      <c r="A168" s="23"/>
      <c r="B168"/>
      <c r="C168"/>
      <c r="D168"/>
      <c r="E168"/>
      <c r="F168"/>
      <c r="G168"/>
      <c r="H168"/>
      <c r="I168"/>
      <c r="J168"/>
      <c r="K168" s="205"/>
      <c r="Z168" s="23"/>
    </row>
    <row r="169" spans="1:26" ht="15" customHeight="1" x14ac:dyDescent="0.25">
      <c r="A169" s="23"/>
      <c r="B169"/>
      <c r="C169"/>
      <c r="D169"/>
      <c r="E169"/>
      <c r="F169"/>
      <c r="G169"/>
      <c r="H169"/>
      <c r="I169"/>
      <c r="J169"/>
      <c r="K169" s="205"/>
      <c r="Z169" s="23"/>
    </row>
    <row r="170" spans="1:26" ht="15" customHeight="1" x14ac:dyDescent="0.25">
      <c r="A170" s="23"/>
      <c r="B170"/>
      <c r="C170"/>
      <c r="D170"/>
      <c r="E170"/>
      <c r="F170"/>
      <c r="G170"/>
      <c r="H170"/>
      <c r="I170"/>
      <c r="J170"/>
      <c r="K170" s="205"/>
      <c r="Z170" s="23"/>
    </row>
    <row r="171" spans="1:26" ht="15" customHeight="1" x14ac:dyDescent="0.25">
      <c r="A171" s="23"/>
      <c r="B171"/>
      <c r="C171"/>
      <c r="D171"/>
      <c r="E171"/>
      <c r="F171"/>
      <c r="G171"/>
      <c r="H171"/>
      <c r="I171"/>
      <c r="J171"/>
      <c r="K171" s="205"/>
      <c r="Z171" s="23"/>
    </row>
    <row r="172" spans="1:26" ht="15" customHeight="1" x14ac:dyDescent="0.25">
      <c r="A172" s="23"/>
      <c r="B172"/>
      <c r="C172"/>
      <c r="D172"/>
      <c r="E172"/>
      <c r="F172"/>
      <c r="G172"/>
      <c r="H172"/>
      <c r="I172"/>
      <c r="J172"/>
      <c r="K172" s="205"/>
      <c r="Z172" s="23"/>
    </row>
    <row r="173" spans="1:26" ht="15" customHeight="1" x14ac:dyDescent="0.25">
      <c r="A173" s="23"/>
      <c r="B173"/>
      <c r="C173"/>
      <c r="D173"/>
      <c r="E173"/>
      <c r="F173"/>
      <c r="G173"/>
      <c r="H173"/>
      <c r="I173"/>
      <c r="J173"/>
      <c r="K173" s="205"/>
      <c r="Z173" s="23"/>
    </row>
    <row r="174" spans="1:26" ht="15" customHeight="1" x14ac:dyDescent="0.25">
      <c r="A174" s="23"/>
      <c r="B174"/>
      <c r="C174"/>
      <c r="D174"/>
      <c r="E174"/>
      <c r="F174"/>
      <c r="G174"/>
      <c r="H174"/>
      <c r="I174"/>
      <c r="J174"/>
      <c r="K174" s="205"/>
      <c r="Z174" s="23"/>
    </row>
    <row r="175" spans="1:26" ht="15" customHeight="1" x14ac:dyDescent="0.25">
      <c r="A175" s="23"/>
      <c r="B175"/>
      <c r="C175"/>
      <c r="D175"/>
      <c r="E175"/>
      <c r="F175"/>
      <c r="G175"/>
      <c r="H175"/>
      <c r="I175"/>
      <c r="J175"/>
      <c r="K175" s="205"/>
      <c r="Z175" s="23"/>
    </row>
    <row r="176" spans="1:26" ht="15" customHeight="1" x14ac:dyDescent="0.25">
      <c r="A176" s="23"/>
      <c r="B176"/>
      <c r="C176"/>
      <c r="D176"/>
      <c r="E176"/>
      <c r="F176"/>
      <c r="G176"/>
      <c r="H176"/>
      <c r="I176"/>
      <c r="J176"/>
      <c r="K176" s="205"/>
      <c r="Z176" s="23"/>
    </row>
    <row r="177" spans="1:29" ht="15" customHeight="1" x14ac:dyDescent="0.25">
      <c r="A177" s="23"/>
      <c r="B177"/>
      <c r="C177"/>
      <c r="D177"/>
      <c r="E177"/>
      <c r="F177"/>
      <c r="G177"/>
      <c r="H177"/>
      <c r="I177"/>
      <c r="J177"/>
      <c r="K177" s="205"/>
      <c r="Z177" s="23"/>
    </row>
    <row r="178" spans="1:29" ht="15" customHeight="1" x14ac:dyDescent="0.25">
      <c r="A178" s="23"/>
      <c r="B178"/>
      <c r="C178"/>
      <c r="D178"/>
      <c r="E178"/>
      <c r="F178"/>
      <c r="G178"/>
      <c r="H178"/>
      <c r="I178"/>
      <c r="J178"/>
      <c r="K178" s="205"/>
      <c r="Z178" s="23"/>
    </row>
    <row r="179" spans="1:29" ht="15" customHeight="1" x14ac:dyDescent="0.25">
      <c r="A179" s="23"/>
      <c r="B179"/>
      <c r="C179"/>
      <c r="D179"/>
      <c r="E179"/>
      <c r="F179"/>
      <c r="G179"/>
      <c r="H179"/>
      <c r="I179"/>
      <c r="J179"/>
      <c r="K179" s="205"/>
      <c r="Z179" s="23"/>
    </row>
    <row r="180" spans="1:29" ht="15" customHeight="1" x14ac:dyDescent="0.25">
      <c r="A180" s="23"/>
      <c r="B180"/>
      <c r="C180"/>
      <c r="D180"/>
      <c r="E180"/>
      <c r="F180"/>
      <c r="G180"/>
      <c r="H180"/>
      <c r="I180"/>
      <c r="J180"/>
      <c r="K180" s="205"/>
      <c r="Z180" s="23"/>
    </row>
    <row r="181" spans="1:29" ht="15" customHeight="1" x14ac:dyDescent="0.25">
      <c r="A181" s="23"/>
      <c r="B181"/>
      <c r="C181"/>
      <c r="D181"/>
      <c r="E181"/>
      <c r="F181"/>
      <c r="G181"/>
      <c r="H181"/>
      <c r="I181"/>
      <c r="J181"/>
      <c r="K181" s="205"/>
      <c r="Z181" s="23"/>
    </row>
    <row r="182" spans="1:29" ht="15" customHeight="1" x14ac:dyDescent="0.25">
      <c r="A182" s="23"/>
      <c r="B182"/>
      <c r="C182"/>
      <c r="D182"/>
      <c r="E182"/>
      <c r="F182"/>
      <c r="G182"/>
      <c r="H182"/>
      <c r="I182"/>
      <c r="J182"/>
      <c r="K182" s="205"/>
      <c r="Z182" s="23"/>
    </row>
    <row r="183" spans="1:29" ht="15" customHeight="1" x14ac:dyDescent="0.25">
      <c r="A183" s="23"/>
      <c r="B183"/>
      <c r="C183"/>
      <c r="D183"/>
      <c r="E183"/>
      <c r="F183"/>
      <c r="G183"/>
      <c r="H183"/>
      <c r="I183"/>
      <c r="J183"/>
      <c r="K183" s="205"/>
      <c r="Z183" s="23"/>
    </row>
    <row r="184" spans="1:29" ht="15" customHeight="1" x14ac:dyDescent="0.25">
      <c r="A184" s="23"/>
      <c r="B184"/>
      <c r="C184"/>
      <c r="D184"/>
      <c r="E184"/>
      <c r="F184"/>
      <c r="G184"/>
      <c r="H184"/>
      <c r="I184"/>
      <c r="J184"/>
      <c r="K184" s="205"/>
      <c r="Z184" s="23"/>
    </row>
    <row r="185" spans="1:29" ht="15" customHeight="1" x14ac:dyDescent="0.25">
      <c r="A185" s="23"/>
      <c r="B185"/>
      <c r="C185"/>
      <c r="D185"/>
      <c r="E185"/>
      <c r="F185"/>
      <c r="G185"/>
      <c r="H185"/>
      <c r="I185"/>
      <c r="J185"/>
      <c r="K185" s="205"/>
      <c r="Z185" s="23"/>
    </row>
    <row r="186" spans="1:29" ht="15" customHeight="1" x14ac:dyDescent="0.25">
      <c r="A186" s="23"/>
      <c r="B186"/>
      <c r="C186"/>
      <c r="D186"/>
      <c r="E186"/>
      <c r="F186"/>
      <c r="G186"/>
      <c r="H186"/>
      <c r="I186"/>
      <c r="J186"/>
      <c r="K186" s="205"/>
      <c r="Z186" s="23"/>
    </row>
    <row r="187" spans="1:29" ht="15" customHeight="1" x14ac:dyDescent="0.25">
      <c r="A187" s="23"/>
      <c r="B187"/>
      <c r="C187"/>
      <c r="D187"/>
      <c r="E187"/>
      <c r="F187"/>
      <c r="G187"/>
      <c r="H187"/>
      <c r="I187"/>
      <c r="J187"/>
      <c r="K187" s="205"/>
      <c r="Z187" s="23"/>
    </row>
    <row r="188" spans="1:29" ht="15" customHeight="1" x14ac:dyDescent="0.25">
      <c r="A188" s="23"/>
      <c r="B188"/>
      <c r="C188"/>
      <c r="D188"/>
      <c r="E188"/>
      <c r="F188"/>
      <c r="G188"/>
      <c r="H188"/>
      <c r="I188"/>
      <c r="J188"/>
      <c r="K188" s="205"/>
      <c r="Z188" s="23"/>
    </row>
    <row r="189" spans="1:29" ht="15" customHeight="1" x14ac:dyDescent="0.25">
      <c r="A189" s="23"/>
      <c r="B189"/>
      <c r="C189"/>
      <c r="D189"/>
      <c r="E189"/>
      <c r="F189"/>
      <c r="G189"/>
      <c r="H189"/>
      <c r="I189"/>
      <c r="J189"/>
      <c r="K189" s="205"/>
      <c r="Z189" s="23"/>
    </row>
    <row r="190" spans="1:29" ht="14.45" customHeight="1" x14ac:dyDescent="0.25">
      <c r="A190" s="23"/>
      <c r="B190"/>
      <c r="C190"/>
      <c r="D190"/>
      <c r="E190"/>
      <c r="F190"/>
      <c r="G190"/>
      <c r="H190"/>
      <c r="I190"/>
      <c r="J190"/>
      <c r="K190" s="205"/>
      <c r="Z190" s="23"/>
    </row>
    <row r="191" spans="1:29" x14ac:dyDescent="0.25">
      <c r="A191" s="146"/>
      <c r="B191" s="146"/>
      <c r="C191" s="146"/>
      <c r="D191" s="146"/>
      <c r="E191" s="146"/>
      <c r="F191" s="146"/>
      <c r="G191" s="146"/>
      <c r="H191" s="146"/>
      <c r="I191" s="146"/>
      <c r="J191" s="146"/>
      <c r="K191" s="146"/>
      <c r="L191" s="146"/>
      <c r="X191" s="146"/>
      <c r="Y191" s="146"/>
      <c r="Z191" s="146"/>
      <c r="AA191" s="146"/>
      <c r="AB191" s="146"/>
      <c r="AC191" s="146"/>
    </row>
    <row r="192" spans="1:29" x14ac:dyDescent="0.25">
      <c r="A192" s="23"/>
      <c r="B192"/>
      <c r="C192"/>
      <c r="D192"/>
      <c r="E192"/>
      <c r="F192"/>
      <c r="G192"/>
      <c r="H192"/>
      <c r="I192"/>
      <c r="J192"/>
      <c r="X192" s="27"/>
      <c r="Z192" s="23"/>
      <c r="AA192" s="202" t="str" cm="1">
        <f t="array" ref="AA192:AC192">AA6:AC6</f>
        <v>Pt Froid</v>
      </c>
      <c r="AB192" s="202" t="str">
        <v>Regulation</v>
      </c>
      <c r="AC192" s="202" t="str">
        <v>Pt Chaud</v>
      </c>
    </row>
    <row r="193" spans="1:29" x14ac:dyDescent="0.25">
      <c r="A193" s="23"/>
      <c r="B193"/>
      <c r="C193"/>
      <c r="D193"/>
      <c r="E193"/>
      <c r="F193"/>
      <c r="G193"/>
      <c r="H193"/>
      <c r="I193"/>
      <c r="J193"/>
      <c r="X193" s="27"/>
      <c r="Z193" s="198" t="s">
        <v>90</v>
      </c>
      <c r="AA193" s="43">
        <f>MAX(tab_four200[Pt Froid])</f>
        <v>0</v>
      </c>
      <c r="AB193" s="43">
        <f>MAX(tab_four200[Regulation])</f>
        <v>0</v>
      </c>
      <c r="AC193" s="43">
        <f>MAX(tab_four200[Pt Chaud])</f>
        <v>0</v>
      </c>
    </row>
    <row r="194" spans="1:29" x14ac:dyDescent="0.25">
      <c r="A194" s="23"/>
      <c r="B194"/>
      <c r="C194"/>
      <c r="D194"/>
      <c r="E194"/>
      <c r="F194"/>
      <c r="G194"/>
      <c r="H194"/>
      <c r="I194"/>
      <c r="J194"/>
      <c r="X194" s="27"/>
      <c r="Z194" s="198" t="s">
        <v>91</v>
      </c>
      <c r="AA194" s="43" t="e">
        <f ca="1">MAX(OFFSET(INDEX(tab_four200[Pt Froid],1),COUNT(tab_four200[Pt Froid])-30,0,30))</f>
        <v>#REF!</v>
      </c>
      <c r="AB194" s="43" t="e">
        <f ca="1">MAX(OFFSET(INDEX(tab_four200[Regulation],1),COUNT(tab_four200[Regulation])-30,0,30))</f>
        <v>#REF!</v>
      </c>
      <c r="AC194" s="43" t="e">
        <f ca="1">MAX(OFFSET(INDEX(tab_four200[Pt Chaud],1),COUNT(tab_four200[Pt Chaud])-30,0,30))</f>
        <v>#REF!</v>
      </c>
    </row>
    <row r="195" spans="1:29" x14ac:dyDescent="0.25">
      <c r="A195" s="23"/>
      <c r="B195"/>
      <c r="C195"/>
      <c r="D195"/>
      <c r="E195"/>
      <c r="F195"/>
      <c r="G195"/>
      <c r="H195"/>
      <c r="I195"/>
      <c r="J195"/>
      <c r="X195" s="27"/>
      <c r="Z195" s="198" t="s">
        <v>93</v>
      </c>
      <c r="AA195" s="43" t="e">
        <f ca="1">MIN(OFFSET(INDEX(tab_four200[Pt Froid],1),COUNT(tab_four200[Pt Froid])-30,0,30))</f>
        <v>#REF!</v>
      </c>
      <c r="AB195" s="43" t="e">
        <f ca="1">MIN(OFFSET(INDEX(tab_four200[Regulation],1),COUNT(tab_four200[Regulation])-30,0,30))</f>
        <v>#REF!</v>
      </c>
      <c r="AC195" s="43" t="e">
        <f ca="1">MIN(OFFSET(INDEX(tab_four200[Pt Chaud],1),COUNT(tab_four200[Pt Chaud])-30,0,30))</f>
        <v>#REF!</v>
      </c>
    </row>
    <row r="196" spans="1:29" x14ac:dyDescent="0.25">
      <c r="A196" s="23"/>
      <c r="B196"/>
      <c r="C196"/>
      <c r="D196"/>
      <c r="E196"/>
      <c r="F196"/>
      <c r="G196"/>
      <c r="H196"/>
      <c r="I196"/>
      <c r="J196"/>
      <c r="X196" s="27"/>
      <c r="Z196" s="198" t="s">
        <v>95</v>
      </c>
      <c r="AA196" s="43" t="e">
        <f ca="1">AVERAGE(OFFSET(INDEX(tab_four200[Pt Froid],1),COUNT(tab_four200[Pt Froid])-30,0,30))</f>
        <v>#REF!</v>
      </c>
      <c r="AB196" s="43" t="e">
        <f ca="1">AVERAGE(OFFSET(INDEX(tab_four200[Regulation],1),COUNT(tab_four200[Regulation])-30,0,30))</f>
        <v>#REF!</v>
      </c>
      <c r="AC196" s="43" t="e">
        <f ca="1">AVERAGE(OFFSET(INDEX(tab_four200[Pt Chaud],1),COUNT(tab_four200[Pt Chaud])-30,0,30))</f>
        <v>#REF!</v>
      </c>
    </row>
    <row r="197" spans="1:29" x14ac:dyDescent="0.25">
      <c r="A197" s="23"/>
      <c r="B197"/>
      <c r="C197"/>
      <c r="D197"/>
      <c r="E197"/>
      <c r="F197"/>
      <c r="G197"/>
      <c r="H197"/>
      <c r="I197"/>
      <c r="J197"/>
      <c r="X197" s="27"/>
    </row>
    <row r="198" spans="1:29" x14ac:dyDescent="0.25">
      <c r="A198" s="23"/>
      <c r="B198"/>
      <c r="C198"/>
      <c r="D198"/>
      <c r="E198"/>
      <c r="F198"/>
      <c r="G198"/>
      <c r="H198"/>
      <c r="I198"/>
      <c r="J198"/>
      <c r="X198" s="27"/>
      <c r="Z198" s="23"/>
    </row>
    <row r="199" spans="1:29" x14ac:dyDescent="0.25">
      <c r="A199" s="23"/>
      <c r="B199"/>
      <c r="C199"/>
      <c r="D199"/>
      <c r="E199"/>
      <c r="F199"/>
      <c r="G199"/>
      <c r="H199"/>
      <c r="I199"/>
      <c r="J199"/>
      <c r="X199" s="27"/>
      <c r="Z199" s="23"/>
    </row>
    <row r="200" spans="1:29" x14ac:dyDescent="0.25">
      <c r="A200" s="23"/>
      <c r="B200"/>
      <c r="C200"/>
      <c r="D200"/>
      <c r="E200"/>
      <c r="F200"/>
      <c r="G200"/>
      <c r="H200"/>
      <c r="I200"/>
      <c r="J200"/>
      <c r="X200" s="27"/>
      <c r="Z200" s="23"/>
    </row>
    <row r="201" spans="1:29" x14ac:dyDescent="0.25">
      <c r="X201" s="27"/>
      <c r="Z201" s="23"/>
    </row>
    <row r="202" spans="1:29" x14ac:dyDescent="0.25">
      <c r="Z202" s="23"/>
    </row>
    <row r="210" spans="8:8" x14ac:dyDescent="0.25">
      <c r="H210"/>
    </row>
    <row r="212" spans="8:8" x14ac:dyDescent="0.25">
      <c r="H212"/>
    </row>
  </sheetData>
  <sheetProtection algorithmName="SHA-512" hashValue="sdW29Q9qQfyaiT/Bpy4ZTnNpqvHUsbLc/MKeAcGQgNbgQSaUq8IIbJKOLjIsGHmnIR+WhBs/7cq9urMbbBsjvw==" saltValue="OURAuEV8DED1Qc2MYWh+nw==" spinCount="100000" sheet="1" objects="1" scenarios="1"/>
  <mergeCells count="8">
    <mergeCell ref="A1:AC1"/>
    <mergeCell ref="A5:J5"/>
    <mergeCell ref="M5:V5"/>
    <mergeCell ref="N107:V107"/>
    <mergeCell ref="N108:V108"/>
    <mergeCell ref="A100:W100"/>
    <mergeCell ref="M69:M99"/>
    <mergeCell ref="M7:M68"/>
  </mergeCells>
  <conditionalFormatting sqref="N102:V102">
    <cfRule type="cellIs" dxfId="94" priority="6" operator="equal">
      <formula>$W$102</formula>
    </cfRule>
  </conditionalFormatting>
  <conditionalFormatting sqref="N103:V103">
    <cfRule type="cellIs" dxfId="93" priority="2" operator="equal">
      <formula>$W$103</formula>
    </cfRule>
    <cfRule type="cellIs" dxfId="92" priority="5" operator="equal">
      <formula>#REF!</formula>
    </cfRule>
  </conditionalFormatting>
  <conditionalFormatting sqref="N104:V104">
    <cfRule type="cellIs" dxfId="91" priority="1" operator="equal">
      <formula>$W$104</formula>
    </cfRule>
    <cfRule type="cellIs" dxfId="90" priority="3" operator="equal">
      <formula>#REF!</formula>
    </cfRule>
    <cfRule type="cellIs" dxfId="89"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243"/>
  <sheetViews>
    <sheetView zoomScaleNormal="100" workbookViewId="0">
      <selection activeCell="A6" sqref="A6:AC6"/>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69" t="str">
        <f>Mesures_Four!F27</f>
        <v>385°C</v>
      </c>
      <c r="B1" s="369"/>
      <c r="C1" s="369"/>
      <c r="D1" s="369"/>
      <c r="E1" s="369"/>
      <c r="F1" s="369"/>
      <c r="G1" s="369"/>
      <c r="H1" s="369"/>
      <c r="I1" s="369"/>
      <c r="J1" s="369"/>
      <c r="K1" s="369"/>
      <c r="L1" s="369"/>
      <c r="M1" s="369"/>
      <c r="N1" s="369"/>
      <c r="O1" s="369"/>
      <c r="P1" s="369"/>
      <c r="Q1" s="369"/>
      <c r="R1" s="369"/>
      <c r="S1" s="369"/>
      <c r="T1" s="369"/>
      <c r="U1" s="369"/>
      <c r="V1" s="369"/>
      <c r="W1" s="369"/>
      <c r="X1" s="369"/>
      <c r="Y1" s="369"/>
      <c r="Z1" s="369"/>
      <c r="AA1" s="369"/>
      <c r="AB1" s="369"/>
      <c r="AC1" s="369"/>
    </row>
    <row r="2" spans="1:29" x14ac:dyDescent="0.25">
      <c r="A2" s="192"/>
      <c r="B2" s="27"/>
      <c r="C2" s="27"/>
      <c r="D2" s="27"/>
      <c r="E2" s="27"/>
      <c r="F2" s="27"/>
      <c r="G2" s="27"/>
      <c r="H2" s="27"/>
      <c r="I2" s="27"/>
      <c r="J2" s="27"/>
      <c r="K2" s="27"/>
      <c r="M2" s="212" t="s">
        <v>87</v>
      </c>
      <c r="N2" s="44">
        <f>Mesures_Four!F40</f>
        <v>0</v>
      </c>
      <c r="O2" s="44">
        <f>Mesures_Four!F41</f>
        <v>0</v>
      </c>
      <c r="P2" s="44">
        <f>Mesures_Four!F42</f>
        <v>0</v>
      </c>
      <c r="Q2" s="44">
        <f>Mesures_Four!F43</f>
        <v>0</v>
      </c>
      <c r="R2" s="44">
        <f>Mesures_Four!F44</f>
        <v>0</v>
      </c>
      <c r="S2" s="44">
        <f>Mesures_Four!F45</f>
        <v>0</v>
      </c>
      <c r="T2" s="44">
        <f>Mesures_Four!F46</f>
        <v>0</v>
      </c>
      <c r="U2" s="44">
        <f>Mesures_Four!F47</f>
        <v>0</v>
      </c>
      <c r="V2" s="44">
        <f>Mesures_Four!F48</f>
        <v>0</v>
      </c>
      <c r="W2" s="159"/>
      <c r="X2" s="159"/>
      <c r="Y2" s="159"/>
    </row>
    <row r="3" spans="1:29" x14ac:dyDescent="0.25">
      <c r="A3" s="192"/>
      <c r="B3" s="27"/>
      <c r="C3" s="27"/>
      <c r="D3" s="27"/>
      <c r="E3" s="27"/>
      <c r="F3" s="27"/>
      <c r="G3" s="27"/>
      <c r="H3" s="27"/>
      <c r="I3" s="27"/>
      <c r="J3" s="27"/>
      <c r="K3" s="27"/>
      <c r="M3" s="212" t="s">
        <v>23</v>
      </c>
      <c r="N3" s="44">
        <f>Mesures_Four!F28</f>
        <v>0</v>
      </c>
      <c r="O3" s="44">
        <f>Mesures_Four!F29</f>
        <v>0</v>
      </c>
      <c r="P3" s="44">
        <f>Mesures_Four!F30</f>
        <v>0</v>
      </c>
      <c r="Q3" s="44">
        <f>Mesures_Four!F31</f>
        <v>0</v>
      </c>
      <c r="R3" s="44">
        <f>Mesures_Four!F32</f>
        <v>0</v>
      </c>
      <c r="S3" s="44">
        <f>Mesures_Four!F33</f>
        <v>0</v>
      </c>
      <c r="T3" s="44">
        <f>Mesures_Four!F34</f>
        <v>0</v>
      </c>
      <c r="U3" s="44">
        <f>Mesures_Four!F35</f>
        <v>0</v>
      </c>
      <c r="V3" s="44">
        <f>Mesures_Four!F36</f>
        <v>0</v>
      </c>
      <c r="W3" s="159"/>
      <c r="X3" s="159"/>
      <c r="Y3" s="159"/>
    </row>
    <row r="4" spans="1:29" x14ac:dyDescent="0.25">
      <c r="A4" s="192"/>
      <c r="B4" s="27"/>
      <c r="C4" s="27"/>
      <c r="D4" s="27"/>
      <c r="E4" s="27"/>
      <c r="F4" s="27"/>
      <c r="G4" s="27"/>
      <c r="H4" s="27"/>
      <c r="I4" s="27"/>
      <c r="J4" s="27"/>
      <c r="K4" s="27"/>
      <c r="M4" s="23"/>
      <c r="N4" s="211"/>
      <c r="O4" s="211"/>
      <c r="P4" s="211"/>
      <c r="Q4" s="211"/>
      <c r="R4" s="211"/>
      <c r="S4" s="211"/>
      <c r="T4" s="211"/>
      <c r="U4" s="211"/>
      <c r="V4" s="211"/>
      <c r="W4" s="159"/>
      <c r="X4" s="159"/>
      <c r="Y4" s="159"/>
    </row>
    <row r="5" spans="1:29" x14ac:dyDescent="0.25">
      <c r="A5" s="371" t="s">
        <v>344</v>
      </c>
      <c r="B5" s="371"/>
      <c r="C5" s="371"/>
      <c r="D5" s="371"/>
      <c r="E5" s="371"/>
      <c r="F5" s="371"/>
      <c r="G5" s="371"/>
      <c r="H5" s="371"/>
      <c r="I5" s="371"/>
      <c r="J5" s="371"/>
      <c r="K5" s="27"/>
      <c r="M5" s="371" t="s">
        <v>88</v>
      </c>
      <c r="N5" s="371"/>
      <c r="O5" s="371"/>
      <c r="P5" s="371"/>
      <c r="Q5" s="371"/>
      <c r="R5" s="371"/>
      <c r="S5" s="371"/>
      <c r="T5" s="371"/>
      <c r="U5" s="371"/>
      <c r="V5" s="371"/>
      <c r="Z5" s="210"/>
    </row>
    <row r="6" spans="1:29" x14ac:dyDescent="0.25">
      <c r="A6" s="209" t="str" cm="1">
        <f t="array" ref="A6:J7">tab_transfert385[#All]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343</v>
      </c>
      <c r="N6" s="207" t="str" cm="1">
        <f t="array" ref="N6:V6">tab_transfert385[[#Headers],[Connecteur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7">tab_four385[[#All],[Consigne T°]]</f>
        <v>Consigne T°</v>
      </c>
      <c r="Z6" s="202" t="str" cm="1">
        <f t="array" ref="Z6:AC7">tab_four385[[#All],[Date/Heure]:[Pt Chaud]]</f>
        <v>Date/Heure</v>
      </c>
      <c r="AA6" s="202" t="str">
        <v>Pt Froid</v>
      </c>
      <c r="AB6" s="202" t="str">
        <v>Regulation</v>
      </c>
      <c r="AC6" s="202" t="str">
        <v>Pt Chaud</v>
      </c>
    </row>
    <row r="7" spans="1:29" ht="14.45" customHeight="1" x14ac:dyDescent="0.25">
      <c r="A7" s="23">
        <v>0</v>
      </c>
      <c r="B7">
        <v>0</v>
      </c>
      <c r="C7">
        <v>0</v>
      </c>
      <c r="D7">
        <v>0</v>
      </c>
      <c r="E7">
        <v>0</v>
      </c>
      <c r="F7">
        <v>0</v>
      </c>
      <c r="G7">
        <v>0</v>
      </c>
      <c r="H7">
        <v>0</v>
      </c>
      <c r="I7">
        <v>0</v>
      </c>
      <c r="J7">
        <v>0</v>
      </c>
      <c r="K7" s="205"/>
      <c r="M7" s="374" t="s">
        <v>342</v>
      </c>
      <c r="N7" s="206" cm="1">
        <f t="array" ref="N7:V7">tab_transfert385[[Connecteur 1]:[Connecteur 9]]+N2:V2+N3:V3</f>
        <v>0</v>
      </c>
      <c r="O7" s="206">
        <v>0</v>
      </c>
      <c r="P7" s="206">
        <v>0</v>
      </c>
      <c r="Q7" s="206">
        <v>0</v>
      </c>
      <c r="R7" s="206">
        <v>0</v>
      </c>
      <c r="S7" s="206">
        <v>0</v>
      </c>
      <c r="T7" s="206">
        <v>0</v>
      </c>
      <c r="U7" s="206">
        <v>0</v>
      </c>
      <c r="V7" s="206">
        <v>0</v>
      </c>
      <c r="W7" s="203">
        <v>0</v>
      </c>
      <c r="Z7" s="23">
        <v>0</v>
      </c>
      <c r="AA7">
        <v>0</v>
      </c>
      <c r="AB7">
        <v>0</v>
      </c>
      <c r="AC7">
        <v>0</v>
      </c>
    </row>
    <row r="8" spans="1:29" ht="14.45" customHeight="1" x14ac:dyDescent="0.25">
      <c r="A8" s="23"/>
      <c r="K8" s="205"/>
      <c r="M8" s="374"/>
      <c r="N8" s="206"/>
      <c r="O8" s="206"/>
      <c r="P8" s="206"/>
      <c r="Q8" s="206"/>
      <c r="R8" s="206"/>
      <c r="S8" s="206"/>
      <c r="T8" s="206"/>
      <c r="U8" s="206"/>
      <c r="V8" s="206"/>
      <c r="W8" s="203"/>
      <c r="Z8" s="23"/>
    </row>
    <row r="9" spans="1:29" ht="14.45" customHeight="1" x14ac:dyDescent="0.25">
      <c r="A9" s="23"/>
      <c r="K9" s="205"/>
      <c r="M9" s="374"/>
      <c r="N9" s="206"/>
      <c r="O9" s="206"/>
      <c r="P9" s="206"/>
      <c r="Q9" s="206"/>
      <c r="R9" s="206"/>
      <c r="S9" s="206"/>
      <c r="T9" s="206"/>
      <c r="U9" s="206"/>
      <c r="V9" s="206"/>
      <c r="W9" s="203"/>
      <c r="Z9" s="23"/>
    </row>
    <row r="10" spans="1:29" ht="14.45" customHeight="1" x14ac:dyDescent="0.25">
      <c r="A10" s="23"/>
      <c r="K10" s="205"/>
      <c r="M10" s="374"/>
      <c r="N10" s="206"/>
      <c r="O10" s="206"/>
      <c r="P10" s="206"/>
      <c r="Q10" s="206"/>
      <c r="R10" s="206"/>
      <c r="S10" s="206"/>
      <c r="T10" s="206"/>
      <c r="U10" s="206"/>
      <c r="V10" s="206"/>
      <c r="W10" s="203"/>
      <c r="Z10" s="23"/>
    </row>
    <row r="11" spans="1:29" ht="14.45" customHeight="1" x14ac:dyDescent="0.25">
      <c r="A11" s="23"/>
      <c r="K11" s="205"/>
      <c r="M11" s="374"/>
      <c r="N11" s="206"/>
      <c r="O11" s="206"/>
      <c r="P11" s="206"/>
      <c r="Q11" s="206"/>
      <c r="R11" s="206"/>
      <c r="S11" s="206"/>
      <c r="T11" s="206"/>
      <c r="U11" s="206"/>
      <c r="V11" s="206"/>
      <c r="W11" s="203"/>
      <c r="Z11" s="23"/>
    </row>
    <row r="12" spans="1:29" ht="14.45" customHeight="1" x14ac:dyDescent="0.25">
      <c r="A12" s="23"/>
      <c r="K12" s="205"/>
      <c r="M12" s="374"/>
      <c r="N12" s="206"/>
      <c r="O12" s="206"/>
      <c r="P12" s="206"/>
      <c r="Q12" s="206"/>
      <c r="R12" s="206"/>
      <c r="S12" s="206"/>
      <c r="T12" s="206"/>
      <c r="U12" s="206"/>
      <c r="V12" s="206"/>
      <c r="W12" s="203"/>
      <c r="Z12" s="23"/>
    </row>
    <row r="13" spans="1:29" ht="14.45" customHeight="1" x14ac:dyDescent="0.25">
      <c r="A13" s="23"/>
      <c r="K13" s="205"/>
      <c r="M13" s="374"/>
      <c r="N13" s="206"/>
      <c r="O13" s="206"/>
      <c r="P13" s="206"/>
      <c r="Q13" s="206"/>
      <c r="R13" s="206"/>
      <c r="S13" s="206"/>
      <c r="T13" s="206"/>
      <c r="U13" s="206"/>
      <c r="V13" s="206"/>
      <c r="W13" s="203"/>
      <c r="Z13" s="23"/>
    </row>
    <row r="14" spans="1:29" ht="14.45" customHeight="1" x14ac:dyDescent="0.25">
      <c r="A14" s="23"/>
      <c r="K14" s="205"/>
      <c r="M14" s="374"/>
      <c r="N14" s="206"/>
      <c r="O14" s="206"/>
      <c r="P14" s="206"/>
      <c r="Q14" s="206"/>
      <c r="R14" s="206"/>
      <c r="S14" s="206"/>
      <c r="T14" s="206"/>
      <c r="U14" s="206"/>
      <c r="V14" s="206"/>
      <c r="W14" s="203"/>
      <c r="Z14" s="23"/>
    </row>
    <row r="15" spans="1:29" ht="14.45" customHeight="1" x14ac:dyDescent="0.25">
      <c r="A15" s="23"/>
      <c r="K15" s="205"/>
      <c r="M15" s="374"/>
      <c r="N15" s="206"/>
      <c r="O15" s="206"/>
      <c r="P15" s="206"/>
      <c r="Q15" s="206"/>
      <c r="R15" s="206"/>
      <c r="S15" s="206"/>
      <c r="T15" s="206"/>
      <c r="U15" s="206"/>
      <c r="V15" s="206"/>
      <c r="W15" s="203"/>
      <c r="Z15" s="23"/>
    </row>
    <row r="16" spans="1:29" ht="14.45" customHeight="1" x14ac:dyDescent="0.25">
      <c r="A16" s="23"/>
      <c r="K16" s="205"/>
      <c r="M16" s="374"/>
      <c r="N16" s="206"/>
      <c r="O16" s="206"/>
      <c r="P16" s="206"/>
      <c r="Q16" s="206"/>
      <c r="R16" s="206"/>
      <c r="S16" s="206"/>
      <c r="T16" s="206"/>
      <c r="U16" s="206"/>
      <c r="V16" s="206"/>
      <c r="W16" s="203"/>
      <c r="Z16" s="23"/>
    </row>
    <row r="17" spans="1:26" ht="14.45" customHeight="1" x14ac:dyDescent="0.25">
      <c r="A17" s="23"/>
      <c r="K17" s="205"/>
      <c r="M17" s="374"/>
      <c r="N17" s="206"/>
      <c r="O17" s="206"/>
      <c r="P17" s="206"/>
      <c r="Q17" s="206"/>
      <c r="R17" s="206"/>
      <c r="S17" s="206"/>
      <c r="T17" s="206"/>
      <c r="U17" s="206"/>
      <c r="V17" s="206"/>
      <c r="W17" s="203"/>
      <c r="Z17" s="23"/>
    </row>
    <row r="18" spans="1:26" ht="14.45" customHeight="1" x14ac:dyDescent="0.25">
      <c r="A18" s="23"/>
      <c r="K18" s="205"/>
      <c r="M18" s="374"/>
      <c r="N18" s="206"/>
      <c r="O18" s="206"/>
      <c r="P18" s="206"/>
      <c r="Q18" s="206"/>
      <c r="R18" s="206"/>
      <c r="S18" s="206"/>
      <c r="T18" s="206"/>
      <c r="U18" s="206"/>
      <c r="V18" s="206"/>
      <c r="W18" s="203"/>
      <c r="Z18" s="23"/>
    </row>
    <row r="19" spans="1:26" ht="14.45" customHeight="1" x14ac:dyDescent="0.25">
      <c r="A19" s="23"/>
      <c r="K19" s="205"/>
      <c r="M19" s="374"/>
      <c r="N19" s="206"/>
      <c r="O19" s="206"/>
      <c r="P19" s="206"/>
      <c r="Q19" s="206"/>
      <c r="R19" s="206"/>
      <c r="S19" s="206"/>
      <c r="T19" s="206"/>
      <c r="U19" s="206"/>
      <c r="V19" s="206"/>
      <c r="W19" s="203"/>
      <c r="Z19" s="23"/>
    </row>
    <row r="20" spans="1:26" ht="14.45" customHeight="1" x14ac:dyDescent="0.25">
      <c r="A20" s="23"/>
      <c r="K20" s="205"/>
      <c r="M20" s="374"/>
      <c r="N20" s="206"/>
      <c r="O20" s="206"/>
      <c r="P20" s="206"/>
      <c r="Q20" s="206"/>
      <c r="R20" s="206"/>
      <c r="S20" s="206"/>
      <c r="T20" s="206"/>
      <c r="U20" s="206"/>
      <c r="V20" s="206"/>
      <c r="W20" s="203"/>
      <c r="Z20" s="23"/>
    </row>
    <row r="21" spans="1:26" ht="14.45" customHeight="1" x14ac:dyDescent="0.25">
      <c r="A21" s="23"/>
      <c r="K21" s="205"/>
      <c r="M21" s="374"/>
      <c r="N21" s="206"/>
      <c r="O21" s="206"/>
      <c r="P21" s="206"/>
      <c r="Q21" s="206"/>
      <c r="R21" s="206"/>
      <c r="S21" s="206"/>
      <c r="T21" s="206"/>
      <c r="U21" s="206"/>
      <c r="V21" s="206"/>
      <c r="W21" s="203"/>
      <c r="Z21" s="23"/>
    </row>
    <row r="22" spans="1:26" ht="14.45" customHeight="1" x14ac:dyDescent="0.25">
      <c r="A22" s="23"/>
      <c r="K22" s="205"/>
      <c r="M22" s="374"/>
      <c r="N22" s="206"/>
      <c r="O22" s="206"/>
      <c r="P22" s="206"/>
      <c r="Q22" s="206"/>
      <c r="R22" s="206"/>
      <c r="S22" s="206"/>
      <c r="T22" s="206"/>
      <c r="U22" s="206"/>
      <c r="V22" s="206"/>
      <c r="W22" s="203"/>
      <c r="Z22" s="23"/>
    </row>
    <row r="23" spans="1:26" ht="14.45" customHeight="1" x14ac:dyDescent="0.25">
      <c r="A23" s="23"/>
      <c r="K23" s="205"/>
      <c r="M23" s="374"/>
      <c r="N23" s="206"/>
      <c r="O23" s="206"/>
      <c r="P23" s="206"/>
      <c r="Q23" s="206"/>
      <c r="R23" s="206"/>
      <c r="S23" s="206"/>
      <c r="T23" s="206"/>
      <c r="U23" s="206"/>
      <c r="V23" s="206"/>
      <c r="W23" s="203"/>
      <c r="Z23" s="23"/>
    </row>
    <row r="24" spans="1:26" ht="14.45" customHeight="1" x14ac:dyDescent="0.25">
      <c r="A24" s="23"/>
      <c r="K24" s="205"/>
      <c r="M24" s="374"/>
      <c r="N24" s="206"/>
      <c r="O24" s="206"/>
      <c r="P24" s="206"/>
      <c r="Q24" s="206"/>
      <c r="R24" s="206"/>
      <c r="S24" s="206"/>
      <c r="T24" s="206"/>
      <c r="U24" s="206"/>
      <c r="V24" s="206"/>
      <c r="W24" s="203"/>
      <c r="Z24" s="23"/>
    </row>
    <row r="25" spans="1:26" ht="14.45" customHeight="1" x14ac:dyDescent="0.25">
      <c r="A25" s="23"/>
      <c r="K25" s="205"/>
      <c r="M25" s="374"/>
      <c r="N25" s="206"/>
      <c r="O25" s="206"/>
      <c r="P25" s="206"/>
      <c r="Q25" s="206"/>
      <c r="R25" s="206"/>
      <c r="S25" s="206"/>
      <c r="T25" s="206"/>
      <c r="U25" s="206"/>
      <c r="V25" s="206"/>
      <c r="W25" s="203"/>
      <c r="Z25" s="23"/>
    </row>
    <row r="26" spans="1:26" ht="14.45" customHeight="1" x14ac:dyDescent="0.25">
      <c r="A26" s="23"/>
      <c r="K26" s="205"/>
      <c r="M26" s="374"/>
      <c r="N26" s="206"/>
      <c r="O26" s="206"/>
      <c r="P26" s="206"/>
      <c r="Q26" s="206"/>
      <c r="R26" s="206"/>
      <c r="S26" s="206"/>
      <c r="T26" s="206"/>
      <c r="U26" s="206"/>
      <c r="V26" s="206"/>
      <c r="W26" s="203"/>
      <c r="Z26" s="23"/>
    </row>
    <row r="27" spans="1:26" ht="14.45" customHeight="1" x14ac:dyDescent="0.25">
      <c r="A27" s="23"/>
      <c r="K27" s="205"/>
      <c r="M27" s="374"/>
      <c r="N27" s="206"/>
      <c r="O27" s="206"/>
      <c r="P27" s="206"/>
      <c r="Q27" s="206"/>
      <c r="R27" s="206"/>
      <c r="S27" s="206"/>
      <c r="T27" s="206"/>
      <c r="U27" s="206"/>
      <c r="V27" s="206"/>
      <c r="W27" s="203"/>
      <c r="Z27" s="23"/>
    </row>
    <row r="28" spans="1:26" ht="14.45" customHeight="1" x14ac:dyDescent="0.25">
      <c r="A28" s="23"/>
      <c r="K28" s="205"/>
      <c r="M28" s="374"/>
      <c r="N28" s="206"/>
      <c r="O28" s="206"/>
      <c r="P28" s="206"/>
      <c r="Q28" s="206"/>
      <c r="R28" s="206"/>
      <c r="S28" s="206"/>
      <c r="T28" s="206"/>
      <c r="U28" s="206"/>
      <c r="V28" s="206"/>
      <c r="W28" s="203"/>
      <c r="Z28" s="23"/>
    </row>
    <row r="29" spans="1:26" ht="14.45" customHeight="1" x14ac:dyDescent="0.25">
      <c r="A29" s="23"/>
      <c r="K29" s="205"/>
      <c r="M29" s="374"/>
      <c r="N29" s="206"/>
      <c r="O29" s="206"/>
      <c r="P29" s="206"/>
      <c r="Q29" s="206"/>
      <c r="R29" s="206"/>
      <c r="S29" s="206"/>
      <c r="T29" s="206"/>
      <c r="U29" s="206"/>
      <c r="V29" s="206"/>
      <c r="W29" s="203"/>
      <c r="Z29" s="23"/>
    </row>
    <row r="30" spans="1:26" ht="14.45" customHeight="1" x14ac:dyDescent="0.25">
      <c r="A30" s="23"/>
      <c r="K30" s="205"/>
      <c r="M30" s="374"/>
      <c r="N30" s="206"/>
      <c r="O30" s="206"/>
      <c r="P30" s="206"/>
      <c r="Q30" s="206"/>
      <c r="R30" s="206"/>
      <c r="S30" s="206"/>
      <c r="T30" s="206"/>
      <c r="U30" s="206"/>
      <c r="V30" s="206"/>
      <c r="W30" s="203"/>
      <c r="Z30" s="23"/>
    </row>
    <row r="31" spans="1:26" ht="14.45" customHeight="1" x14ac:dyDescent="0.25">
      <c r="A31" s="23"/>
      <c r="K31" s="205"/>
      <c r="M31" s="374"/>
      <c r="N31" s="206"/>
      <c r="O31" s="206"/>
      <c r="P31" s="206"/>
      <c r="Q31" s="206"/>
      <c r="R31" s="206"/>
      <c r="S31" s="206"/>
      <c r="T31" s="206"/>
      <c r="U31" s="206"/>
      <c r="V31" s="206"/>
      <c r="W31" s="203"/>
      <c r="Z31" s="23"/>
    </row>
    <row r="32" spans="1:26" ht="14.45" customHeight="1" x14ac:dyDescent="0.25">
      <c r="A32" s="23"/>
      <c r="K32" s="205"/>
      <c r="M32" s="373" t="s">
        <v>341</v>
      </c>
      <c r="N32" s="204"/>
      <c r="O32" s="204"/>
      <c r="P32" s="204"/>
      <c r="Q32" s="204"/>
      <c r="R32" s="204"/>
      <c r="S32" s="204"/>
      <c r="T32" s="204"/>
      <c r="U32" s="204"/>
      <c r="V32" s="204"/>
      <c r="W32" s="326"/>
      <c r="Z32" s="23"/>
    </row>
    <row r="33" spans="1:26" ht="14.45" customHeight="1" x14ac:dyDescent="0.25">
      <c r="A33" s="23"/>
      <c r="K33" s="205"/>
      <c r="M33" s="373"/>
      <c r="N33" s="204"/>
      <c r="O33" s="204"/>
      <c r="P33" s="204"/>
      <c r="Q33" s="204"/>
      <c r="R33" s="204"/>
      <c r="S33" s="204"/>
      <c r="T33" s="204"/>
      <c r="U33" s="204"/>
      <c r="V33" s="204"/>
      <c r="W33" s="326"/>
      <c r="Z33" s="23"/>
    </row>
    <row r="34" spans="1:26" ht="14.45" customHeight="1" x14ac:dyDescent="0.25">
      <c r="A34" s="23"/>
      <c r="K34" s="205"/>
      <c r="M34" s="373"/>
      <c r="N34" s="204"/>
      <c r="O34" s="204"/>
      <c r="P34" s="204"/>
      <c r="Q34" s="204"/>
      <c r="R34" s="204"/>
      <c r="S34" s="204"/>
      <c r="T34" s="204"/>
      <c r="U34" s="204"/>
      <c r="V34" s="204"/>
      <c r="W34" s="326"/>
      <c r="Z34" s="23"/>
    </row>
    <row r="35" spans="1:26" ht="14.45" customHeight="1" x14ac:dyDescent="0.25">
      <c r="A35" s="23"/>
      <c r="K35" s="205"/>
      <c r="M35" s="373"/>
      <c r="N35" s="204"/>
      <c r="O35" s="204"/>
      <c r="P35" s="204"/>
      <c r="Q35" s="204"/>
      <c r="R35" s="204"/>
      <c r="S35" s="204"/>
      <c r="T35" s="204"/>
      <c r="U35" s="204"/>
      <c r="V35" s="204"/>
      <c r="W35" s="326"/>
      <c r="Z35" s="23"/>
    </row>
    <row r="36" spans="1:26" ht="14.45" customHeight="1" x14ac:dyDescent="0.25">
      <c r="A36" s="23"/>
      <c r="K36" s="205"/>
      <c r="M36" s="373"/>
      <c r="N36" s="204"/>
      <c r="O36" s="204"/>
      <c r="P36" s="204"/>
      <c r="Q36" s="204"/>
      <c r="R36" s="204"/>
      <c r="S36" s="204"/>
      <c r="T36" s="204"/>
      <c r="U36" s="204"/>
      <c r="V36" s="204"/>
      <c r="W36" s="326"/>
      <c r="Z36" s="23"/>
    </row>
    <row r="37" spans="1:26" ht="14.45" customHeight="1" x14ac:dyDescent="0.25">
      <c r="A37" s="23"/>
      <c r="K37" s="205"/>
      <c r="M37" s="373"/>
      <c r="N37" s="204"/>
      <c r="O37" s="204"/>
      <c r="P37" s="204"/>
      <c r="Q37" s="204"/>
      <c r="R37" s="204"/>
      <c r="S37" s="204"/>
      <c r="T37" s="204"/>
      <c r="U37" s="204"/>
      <c r="V37" s="204"/>
      <c r="W37" s="326"/>
      <c r="Z37" s="23"/>
    </row>
    <row r="38" spans="1:26" ht="14.45" customHeight="1" x14ac:dyDescent="0.25">
      <c r="A38" s="23"/>
      <c r="K38" s="205"/>
      <c r="M38" s="373"/>
      <c r="N38" s="204"/>
      <c r="O38" s="204"/>
      <c r="P38" s="204"/>
      <c r="Q38" s="204"/>
      <c r="R38" s="204"/>
      <c r="S38" s="204"/>
      <c r="T38" s="204"/>
      <c r="U38" s="204"/>
      <c r="V38" s="204"/>
      <c r="W38" s="326"/>
      <c r="Z38" s="23"/>
    </row>
    <row r="39" spans="1:26" ht="14.45" customHeight="1" x14ac:dyDescent="0.25">
      <c r="A39" s="23"/>
      <c r="K39" s="205"/>
      <c r="M39" s="373"/>
      <c r="N39" s="204"/>
      <c r="O39" s="204"/>
      <c r="P39" s="204"/>
      <c r="Q39" s="204"/>
      <c r="R39" s="204"/>
      <c r="S39" s="204"/>
      <c r="T39" s="204"/>
      <c r="U39" s="204"/>
      <c r="V39" s="204"/>
      <c r="W39" s="326"/>
      <c r="Z39" s="23"/>
    </row>
    <row r="40" spans="1:26" ht="14.45" customHeight="1" x14ac:dyDescent="0.25">
      <c r="A40" s="23"/>
      <c r="K40" s="205"/>
      <c r="M40" s="373"/>
      <c r="N40" s="204"/>
      <c r="O40" s="204"/>
      <c r="P40" s="204"/>
      <c r="Q40" s="204"/>
      <c r="R40" s="204"/>
      <c r="S40" s="204"/>
      <c r="T40" s="204"/>
      <c r="U40" s="204"/>
      <c r="V40" s="204"/>
      <c r="W40" s="326"/>
      <c r="Z40" s="23"/>
    </row>
    <row r="41" spans="1:26" ht="14.45" customHeight="1" x14ac:dyDescent="0.25">
      <c r="A41" s="23"/>
      <c r="K41" s="205"/>
      <c r="M41" s="373"/>
      <c r="N41" s="204"/>
      <c r="O41" s="204"/>
      <c r="P41" s="204"/>
      <c r="Q41" s="204"/>
      <c r="R41" s="204"/>
      <c r="S41" s="204"/>
      <c r="T41" s="204"/>
      <c r="U41" s="204"/>
      <c r="V41" s="204"/>
      <c r="W41" s="326"/>
      <c r="Z41" s="23"/>
    </row>
    <row r="42" spans="1:26" ht="14.45" customHeight="1" x14ac:dyDescent="0.25">
      <c r="A42" s="23"/>
      <c r="K42" s="205"/>
      <c r="M42" s="373"/>
      <c r="N42" s="204"/>
      <c r="O42" s="204"/>
      <c r="P42" s="204"/>
      <c r="Q42" s="204"/>
      <c r="R42" s="204"/>
      <c r="S42" s="204"/>
      <c r="T42" s="204"/>
      <c r="U42" s="204"/>
      <c r="V42" s="204"/>
      <c r="W42" s="326"/>
      <c r="Z42" s="23"/>
    </row>
    <row r="43" spans="1:26" ht="14.45" customHeight="1" x14ac:dyDescent="0.25">
      <c r="A43" s="23"/>
      <c r="K43" s="205"/>
      <c r="M43" s="373"/>
      <c r="N43" s="204"/>
      <c r="O43" s="204"/>
      <c r="P43" s="204"/>
      <c r="Q43" s="204"/>
      <c r="R43" s="204"/>
      <c r="S43" s="204"/>
      <c r="T43" s="204"/>
      <c r="U43" s="204"/>
      <c r="V43" s="204"/>
      <c r="W43" s="326"/>
      <c r="Z43" s="23"/>
    </row>
    <row r="44" spans="1:26" ht="14.45" customHeight="1" x14ac:dyDescent="0.25">
      <c r="A44" s="23"/>
      <c r="K44" s="205"/>
      <c r="M44" s="373"/>
      <c r="N44" s="204"/>
      <c r="O44" s="204"/>
      <c r="P44" s="204"/>
      <c r="Q44" s="204"/>
      <c r="R44" s="204"/>
      <c r="S44" s="204"/>
      <c r="T44" s="204"/>
      <c r="U44" s="204"/>
      <c r="V44" s="204"/>
      <c r="W44" s="326"/>
      <c r="Z44" s="23"/>
    </row>
    <row r="45" spans="1:26" ht="14.45" customHeight="1" x14ac:dyDescent="0.25">
      <c r="A45" s="23"/>
      <c r="K45" s="205"/>
      <c r="M45" s="373"/>
      <c r="N45" s="204"/>
      <c r="O45" s="204"/>
      <c r="P45" s="204"/>
      <c r="Q45" s="204"/>
      <c r="R45" s="204"/>
      <c r="S45" s="204"/>
      <c r="T45" s="204"/>
      <c r="U45" s="204"/>
      <c r="V45" s="204"/>
      <c r="W45" s="326"/>
      <c r="Z45" s="23"/>
    </row>
    <row r="46" spans="1:26" ht="14.45" customHeight="1" x14ac:dyDescent="0.25">
      <c r="A46" s="23"/>
      <c r="K46" s="205"/>
      <c r="M46" s="373"/>
      <c r="N46" s="204"/>
      <c r="O46" s="204"/>
      <c r="P46" s="204"/>
      <c r="Q46" s="204"/>
      <c r="R46" s="204"/>
      <c r="S46" s="204"/>
      <c r="T46" s="204"/>
      <c r="U46" s="204"/>
      <c r="V46" s="204"/>
      <c r="W46" s="326"/>
      <c r="Z46" s="23"/>
    </row>
    <row r="47" spans="1:26" ht="14.45" customHeight="1" x14ac:dyDescent="0.25">
      <c r="A47" s="23"/>
      <c r="K47" s="205"/>
      <c r="M47" s="373"/>
      <c r="N47" s="204"/>
      <c r="O47" s="204"/>
      <c r="P47" s="204"/>
      <c r="Q47" s="204"/>
      <c r="R47" s="204"/>
      <c r="S47" s="204"/>
      <c r="T47" s="204"/>
      <c r="U47" s="204"/>
      <c r="V47" s="204"/>
      <c r="W47" s="326"/>
      <c r="Z47" s="23"/>
    </row>
    <row r="48" spans="1:26" ht="14.45" customHeight="1" x14ac:dyDescent="0.25">
      <c r="A48" s="23"/>
      <c r="K48" s="205"/>
      <c r="M48" s="373"/>
      <c r="N48" s="204"/>
      <c r="O48" s="204"/>
      <c r="P48" s="204"/>
      <c r="Q48" s="204"/>
      <c r="R48" s="204"/>
      <c r="S48" s="204"/>
      <c r="T48" s="204"/>
      <c r="U48" s="204"/>
      <c r="V48" s="204"/>
      <c r="W48" s="326"/>
      <c r="Z48" s="23"/>
    </row>
    <row r="49" spans="1:26" ht="14.45" customHeight="1" x14ac:dyDescent="0.25">
      <c r="A49" s="23"/>
      <c r="K49" s="205"/>
      <c r="M49" s="373"/>
      <c r="N49" s="204"/>
      <c r="O49" s="204"/>
      <c r="P49" s="204"/>
      <c r="Q49" s="204"/>
      <c r="R49" s="204"/>
      <c r="S49" s="204"/>
      <c r="T49" s="204"/>
      <c r="U49" s="204"/>
      <c r="V49" s="204"/>
      <c r="W49" s="326"/>
      <c r="Z49" s="23"/>
    </row>
    <row r="50" spans="1:26" ht="14.45" customHeight="1" x14ac:dyDescent="0.25">
      <c r="A50" s="23"/>
      <c r="K50" s="205"/>
      <c r="M50" s="373"/>
      <c r="N50" s="204"/>
      <c r="O50" s="204"/>
      <c r="P50" s="204"/>
      <c r="Q50" s="204"/>
      <c r="R50" s="204"/>
      <c r="S50" s="204"/>
      <c r="T50" s="204"/>
      <c r="U50" s="204"/>
      <c r="V50" s="204"/>
      <c r="W50" s="326"/>
      <c r="Z50" s="23"/>
    </row>
    <row r="51" spans="1:26" ht="14.45" customHeight="1" x14ac:dyDescent="0.25">
      <c r="A51" s="23"/>
      <c r="K51" s="205"/>
      <c r="M51" s="373"/>
      <c r="N51" s="204"/>
      <c r="O51" s="204"/>
      <c r="P51" s="204"/>
      <c r="Q51" s="204"/>
      <c r="R51" s="204"/>
      <c r="S51" s="204"/>
      <c r="T51" s="204"/>
      <c r="U51" s="204"/>
      <c r="V51" s="204"/>
      <c r="W51" s="326"/>
      <c r="Z51" s="23"/>
    </row>
    <row r="52" spans="1:26" ht="14.45" customHeight="1" x14ac:dyDescent="0.25">
      <c r="A52" s="23"/>
      <c r="K52" s="205"/>
      <c r="M52" s="373"/>
      <c r="N52" s="204"/>
      <c r="O52" s="204"/>
      <c r="P52" s="204"/>
      <c r="Q52" s="204"/>
      <c r="R52" s="204"/>
      <c r="S52" s="204"/>
      <c r="T52" s="204"/>
      <c r="U52" s="204"/>
      <c r="V52" s="204"/>
      <c r="W52" s="326"/>
      <c r="Z52" s="23"/>
    </row>
    <row r="53" spans="1:26" ht="14.45" customHeight="1" x14ac:dyDescent="0.25">
      <c r="A53" s="23"/>
      <c r="K53" s="205"/>
      <c r="M53" s="373"/>
      <c r="N53" s="204"/>
      <c r="O53" s="204"/>
      <c r="P53" s="204"/>
      <c r="Q53" s="204"/>
      <c r="R53" s="204"/>
      <c r="S53" s="204"/>
      <c r="T53" s="204"/>
      <c r="U53" s="204"/>
      <c r="V53" s="204"/>
      <c r="W53" s="326"/>
      <c r="Z53" s="23"/>
    </row>
    <row r="54" spans="1:26" ht="14.45" customHeight="1" x14ac:dyDescent="0.25">
      <c r="A54" s="23"/>
      <c r="K54" s="205"/>
      <c r="M54" s="373"/>
      <c r="N54" s="204"/>
      <c r="O54" s="204"/>
      <c r="P54" s="204"/>
      <c r="Q54" s="204"/>
      <c r="R54" s="204"/>
      <c r="S54" s="204"/>
      <c r="T54" s="204"/>
      <c r="U54" s="204"/>
      <c r="V54" s="204"/>
      <c r="W54" s="326"/>
      <c r="Z54" s="23"/>
    </row>
    <row r="55" spans="1:26" ht="14.45" customHeight="1" x14ac:dyDescent="0.25">
      <c r="A55" s="23"/>
      <c r="K55" s="205"/>
      <c r="M55" s="373"/>
      <c r="N55" s="204"/>
      <c r="O55" s="204"/>
      <c r="P55" s="204"/>
      <c r="Q55" s="204"/>
      <c r="R55" s="204"/>
      <c r="S55" s="204"/>
      <c r="T55" s="204"/>
      <c r="U55" s="204"/>
      <c r="V55" s="204"/>
      <c r="W55" s="326"/>
      <c r="Z55" s="23"/>
    </row>
    <row r="56" spans="1:26" ht="14.45" customHeight="1" x14ac:dyDescent="0.25">
      <c r="A56" s="23"/>
      <c r="K56" s="205"/>
      <c r="M56" s="373"/>
      <c r="N56" s="204"/>
      <c r="O56" s="204"/>
      <c r="P56" s="204"/>
      <c r="Q56" s="204"/>
      <c r="R56" s="204"/>
      <c r="S56" s="204"/>
      <c r="T56" s="204"/>
      <c r="U56" s="204"/>
      <c r="V56" s="204"/>
      <c r="W56" s="326"/>
      <c r="Z56" s="23"/>
    </row>
    <row r="57" spans="1:26" ht="14.45" customHeight="1" x14ac:dyDescent="0.25">
      <c r="A57" s="23"/>
      <c r="K57" s="205"/>
      <c r="M57" s="373"/>
      <c r="N57" s="204"/>
      <c r="O57" s="204"/>
      <c r="P57" s="204"/>
      <c r="Q57" s="204"/>
      <c r="R57" s="204"/>
      <c r="S57" s="204"/>
      <c r="T57" s="204"/>
      <c r="U57" s="204"/>
      <c r="V57" s="204"/>
      <c r="W57" s="326"/>
      <c r="Z57" s="23"/>
    </row>
    <row r="58" spans="1:26" ht="14.45" customHeight="1" x14ac:dyDescent="0.25">
      <c r="A58" s="23"/>
      <c r="K58" s="205"/>
      <c r="M58" s="373"/>
      <c r="N58" s="204"/>
      <c r="O58" s="204"/>
      <c r="P58" s="204"/>
      <c r="Q58" s="204"/>
      <c r="R58" s="204"/>
      <c r="S58" s="204"/>
      <c r="T58" s="204"/>
      <c r="U58" s="204"/>
      <c r="V58" s="204"/>
      <c r="W58" s="326"/>
      <c r="Z58" s="23"/>
    </row>
    <row r="59" spans="1:26" ht="14.45" customHeight="1" x14ac:dyDescent="0.25">
      <c r="A59" s="23"/>
      <c r="K59" s="205"/>
      <c r="M59" s="373"/>
      <c r="N59" s="204"/>
      <c r="O59" s="204"/>
      <c r="P59" s="204"/>
      <c r="Q59" s="204"/>
      <c r="R59" s="204"/>
      <c r="S59" s="204"/>
      <c r="T59" s="204"/>
      <c r="U59" s="204"/>
      <c r="V59" s="204"/>
      <c r="W59" s="326"/>
      <c r="Z59" s="23"/>
    </row>
    <row r="60" spans="1:26" ht="14.45" customHeight="1" x14ac:dyDescent="0.25">
      <c r="A60" s="23"/>
      <c r="K60" s="205"/>
      <c r="M60" s="373"/>
      <c r="N60" s="204"/>
      <c r="O60" s="204"/>
      <c r="P60" s="204"/>
      <c r="Q60" s="204"/>
      <c r="R60" s="204"/>
      <c r="S60" s="204"/>
      <c r="T60" s="204"/>
      <c r="U60" s="204"/>
      <c r="V60" s="204"/>
      <c r="W60" s="326"/>
      <c r="Z60" s="23"/>
    </row>
    <row r="61" spans="1:26" ht="14.45" customHeight="1" x14ac:dyDescent="0.25">
      <c r="A61" s="23"/>
      <c r="K61" s="205"/>
      <c r="M61" s="373"/>
      <c r="N61" s="204"/>
      <c r="O61" s="204"/>
      <c r="P61" s="204"/>
      <c r="Q61" s="204"/>
      <c r="R61" s="204"/>
      <c r="S61" s="204"/>
      <c r="T61" s="204"/>
      <c r="U61" s="204"/>
      <c r="V61" s="204"/>
      <c r="W61" s="326"/>
      <c r="Z61" s="23"/>
    </row>
    <row r="62" spans="1:26" ht="14.45" customHeight="1" x14ac:dyDescent="0.25">
      <c r="A62" s="23"/>
      <c r="K62" s="205"/>
      <c r="M62" s="373"/>
      <c r="N62" s="204"/>
      <c r="O62" s="204"/>
      <c r="P62" s="204"/>
      <c r="Q62" s="204"/>
      <c r="R62" s="204"/>
      <c r="S62" s="204"/>
      <c r="T62" s="204"/>
      <c r="U62" s="204"/>
      <c r="V62" s="204"/>
      <c r="W62" s="326"/>
      <c r="Z62" s="23"/>
    </row>
    <row r="63" spans="1:26" ht="14.45" customHeight="1" x14ac:dyDescent="0.25">
      <c r="A63" s="375"/>
      <c r="B63" s="375"/>
      <c r="C63" s="375"/>
      <c r="D63" s="375"/>
      <c r="E63" s="375"/>
      <c r="F63" s="375"/>
      <c r="G63" s="375"/>
      <c r="H63" s="375"/>
      <c r="I63" s="375"/>
      <c r="J63" s="375"/>
      <c r="K63" s="375"/>
      <c r="L63" s="375"/>
      <c r="M63" s="375"/>
      <c r="N63" s="375"/>
      <c r="O63" s="375"/>
      <c r="P63" s="375"/>
      <c r="Q63" s="375"/>
      <c r="R63" s="375"/>
      <c r="S63" s="375"/>
      <c r="T63" s="375"/>
      <c r="U63" s="375"/>
      <c r="V63" s="375"/>
      <c r="W63" s="375"/>
      <c r="Z63" s="23"/>
    </row>
    <row r="64" spans="1:26" ht="14.45" customHeight="1" x14ac:dyDescent="0.25">
      <c r="A64" s="23"/>
      <c r="K64" s="205"/>
      <c r="Z64" s="23"/>
    </row>
    <row r="65" spans="1:26" ht="14.45" customHeight="1" x14ac:dyDescent="0.25">
      <c r="A65" s="23"/>
      <c r="K65" s="205"/>
      <c r="M65" s="92" t="s">
        <v>90</v>
      </c>
      <c r="N65" s="43">
        <f>MAX(tab_transfert385[Connecteur 1])+N$2+N$3</f>
        <v>0</v>
      </c>
      <c r="O65" s="43">
        <f>MAX(tab_transfert385[Connecteur 2])+O$2+O$3</f>
        <v>0</v>
      </c>
      <c r="P65" s="43">
        <f>MAX(tab_transfert385[Connecteur 3])+P$2+P$3</f>
        <v>0</v>
      </c>
      <c r="Q65" s="43">
        <f>MAX(tab_transfert385[Connecteur 4])+Q$2+Q$3</f>
        <v>0</v>
      </c>
      <c r="R65" s="43">
        <f>MAX(tab_transfert385[Connecteur 5])+R$2+R$3</f>
        <v>0</v>
      </c>
      <c r="S65" s="43">
        <f>MAX(tab_transfert385[Connecteur 6])+S$2+S$3</f>
        <v>0</v>
      </c>
      <c r="T65" s="43">
        <f>MAX(tab_transfert385[Connecteur 7])+T$2+T$3</f>
        <v>0</v>
      </c>
      <c r="U65" s="43">
        <f>MAX(tab_transfert385[Connecteur 8])+U$2+U$3</f>
        <v>0</v>
      </c>
      <c r="V65" s="43">
        <f>MAX(tab_transfert385[Connecteur 9])+V$2+V$3</f>
        <v>0</v>
      </c>
      <c r="W65" s="201">
        <f>MAX(N65:V65)</f>
        <v>0</v>
      </c>
      <c r="Z65" s="23"/>
    </row>
    <row r="66" spans="1:26" ht="14.45" customHeight="1" x14ac:dyDescent="0.25">
      <c r="A66" s="23"/>
      <c r="K66" s="205"/>
      <c r="M66" s="200" t="s">
        <v>91</v>
      </c>
      <c r="N66" s="199" t="e">
        <f ca="1">MAX(OFFSET(INDEX(tab_transfert385[Connecteur 1],1),COUNT(tab_transfert385[Connecteur 1])-30,0,30))+N$2+N$3</f>
        <v>#REF!</v>
      </c>
      <c r="O66" s="199" t="e">
        <f ca="1">MAX(OFFSET(INDEX(tab_transfert385[Connecteur 2],1),COUNT(tab_transfert385[Connecteur 2])-30,0,30))+O$2+O$3</f>
        <v>#REF!</v>
      </c>
      <c r="P66" s="199" t="e">
        <f ca="1">MAX(OFFSET(INDEX(tab_transfert385[Connecteur 3],1),COUNT(tab_transfert385[Connecteur 3])-30,0,30))+P$2+P$3</f>
        <v>#REF!</v>
      </c>
      <c r="Q66" s="199" t="e">
        <f ca="1">MAX(OFFSET(INDEX(tab_transfert385[Connecteur 4],1),COUNT(tab_transfert385[Connecteur 4])-30,0,30))+Q$2+Q$3</f>
        <v>#REF!</v>
      </c>
      <c r="R66" s="199" t="e">
        <f ca="1">MAX(OFFSET(INDEX(tab_transfert385[Connecteur 5],1),COUNT(tab_transfert385[Connecteur 5])-30,0,30))+R$2+R$3</f>
        <v>#REF!</v>
      </c>
      <c r="S66" s="199" t="e">
        <f ca="1">MAX(OFFSET(INDEX(tab_transfert385[Connecteur 6],1),COUNT(tab_transfert385[Connecteur 6])-30,0,30))+S$2+S$3</f>
        <v>#REF!</v>
      </c>
      <c r="T66" s="199" t="e">
        <f ca="1">MAX(OFFSET(INDEX(tab_transfert385[Connecteur 7],1),COUNT(tab_transfert385[Connecteur 7])-30,0,30))+T$2+T$3</f>
        <v>#REF!</v>
      </c>
      <c r="U66" s="199" t="e">
        <f ca="1">MAX(OFFSET(INDEX(tab_transfert385[Connecteur 8],1),COUNT(tab_transfert385[Connecteur 8])-30,0,30))+U$2+U$3</f>
        <v>#REF!</v>
      </c>
      <c r="V66" s="199" t="e">
        <f ca="1">MAX(OFFSET(INDEX(tab_transfert385[Connecteur 9],1),COUNT(tab_transfert385[Connecteur 9])-30,0,30))+V$2+V$3</f>
        <v>#REF!</v>
      </c>
      <c r="W66" s="201" t="e">
        <f ca="1">MAX(N66:V66)</f>
        <v>#REF!</v>
      </c>
      <c r="Z66" s="23"/>
    </row>
    <row r="67" spans="1:26" ht="14.45" customHeight="1" x14ac:dyDescent="0.25">
      <c r="A67" s="23"/>
      <c r="K67" s="205"/>
      <c r="M67" s="200" t="s">
        <v>93</v>
      </c>
      <c r="N67" s="199" t="e">
        <f ca="1">MIN(OFFSET(INDEX(tab_transfert385[Connecteur 1],1),COUNT(tab_transfert385[Connecteur 1])-30,0,30))+N$2+N$3</f>
        <v>#REF!</v>
      </c>
      <c r="O67" s="199" t="e">
        <f ca="1">MIN(OFFSET(INDEX(tab_transfert385[Connecteur 2],1),COUNT(tab_transfert385[Connecteur 2])-30,0,30))+O$2+O$3</f>
        <v>#REF!</v>
      </c>
      <c r="P67" s="199" t="e">
        <f ca="1">MIN(OFFSET(INDEX(tab_transfert385[Connecteur 3],1),COUNT(tab_transfert385[Connecteur 3])-30,0,30))+P$2+P$3</f>
        <v>#REF!</v>
      </c>
      <c r="Q67" s="199" t="e">
        <f ca="1">MIN(OFFSET(INDEX(tab_transfert385[Connecteur 4],1),COUNT(tab_transfert385[Connecteur 4])-30,0,30))+Q$2+Q$3</f>
        <v>#REF!</v>
      </c>
      <c r="R67" s="199" t="e">
        <f ca="1">MIN(OFFSET(INDEX(tab_transfert385[Connecteur 5],1),COUNT(tab_transfert385[Connecteur 5])-30,0,30))+R$2+R$3</f>
        <v>#REF!</v>
      </c>
      <c r="S67" s="199" t="e">
        <f ca="1">MIN(OFFSET(INDEX(tab_transfert385[Connecteur 6],1),COUNT(tab_transfert385[Connecteur 6])-30,0,30))+S$2+S$3</f>
        <v>#REF!</v>
      </c>
      <c r="T67" s="199" t="e">
        <f ca="1">MIN(OFFSET(INDEX(tab_transfert385[Connecteur 7],1),COUNT(tab_transfert385[Connecteur 7])-30,0,30))+T$2+T$3</f>
        <v>#REF!</v>
      </c>
      <c r="U67" s="199" t="e">
        <f ca="1">MIN(OFFSET(INDEX(tab_transfert385[Connecteur 8],1),COUNT(tab_transfert385[Connecteur 8])-30,0,30))+U$2+U$3</f>
        <v>#REF!</v>
      </c>
      <c r="V67" s="199" t="e">
        <f ca="1">MIN(OFFSET(INDEX(tab_transfert385[Connecteur 9],1),COUNT(tab_transfert385[Connecteur 9])-30,0,30))+V$2+V$3</f>
        <v>#REF!</v>
      </c>
      <c r="W67" s="201" t="e">
        <f ca="1">MIN(N67:V67)</f>
        <v>#REF!</v>
      </c>
      <c r="Z67" s="23"/>
    </row>
    <row r="68" spans="1:26" ht="14.45" customHeight="1" x14ac:dyDescent="0.25">
      <c r="A68" s="23"/>
      <c r="K68" s="205"/>
      <c r="M68" s="200" t="s">
        <v>95</v>
      </c>
      <c r="N68" s="199" t="e">
        <f ca="1">AVERAGE(OFFSET(INDEX(tab_transfert385[Connecteur 1],1),COUNT(tab_transfert385[Connecteur 1])-30,0,30))+N$2+N$3</f>
        <v>#REF!</v>
      </c>
      <c r="O68" s="199" t="e">
        <f ca="1">AVERAGE(OFFSET(INDEX(tab_transfert385[Connecteur 2],1),COUNT(tab_transfert385[Connecteur 2])-30,0,30))+O$2+O$3</f>
        <v>#REF!</v>
      </c>
      <c r="P68" s="199" t="e">
        <f ca="1">AVERAGE(OFFSET(INDEX(tab_transfert385[Connecteur 3],1),COUNT(tab_transfert385[Connecteur 3])-30,0,30))+P$2+P$3</f>
        <v>#REF!</v>
      </c>
      <c r="Q68" s="199" t="e">
        <f ca="1">AVERAGE(OFFSET(INDEX(tab_transfert385[Connecteur 4],1),COUNT(tab_transfert385[Connecteur 4])-30,0,30))+Q$2+Q$3</f>
        <v>#REF!</v>
      </c>
      <c r="R68" s="199" t="e">
        <f ca="1">AVERAGE(OFFSET(INDEX(tab_transfert385[Connecteur 5],1),COUNT(tab_transfert385[Connecteur 5])-30,0,30))+R$2+R$3</f>
        <v>#REF!</v>
      </c>
      <c r="S68" s="199" t="e">
        <f ca="1">AVERAGE(OFFSET(INDEX(tab_transfert385[Connecteur 6],1),COUNT(tab_transfert385[Connecteur 6])-30,0,30))+S$2+S$3</f>
        <v>#REF!</v>
      </c>
      <c r="T68" s="199" t="e">
        <f ca="1">AVERAGE(OFFSET(INDEX(tab_transfert385[Connecteur 7],1),COUNT(tab_transfert385[Connecteur 7])-30,0,30))+T$2+T$3</f>
        <v>#REF!</v>
      </c>
      <c r="U68" s="199" t="e">
        <f ca="1">AVERAGE(OFFSET(INDEX(tab_transfert385[Connecteur 8],1),COUNT(tab_transfert385[Connecteur 8])-30,0,30))+U$2+U$3</f>
        <v>#REF!</v>
      </c>
      <c r="V68" s="199" t="e">
        <f ca="1">AVERAGE(OFFSET(INDEX(tab_transfert385[Connecteur 9],1),COUNT(tab_transfert385[Connecteur 9])-30,0,30))+V$2+V$3</f>
        <v>#REF!</v>
      </c>
      <c r="W68" s="27"/>
      <c r="Z68" s="23"/>
    </row>
    <row r="69" spans="1:26" ht="14.45" customHeight="1" x14ac:dyDescent="0.25">
      <c r="A69" s="23"/>
      <c r="K69" s="205"/>
      <c r="M69" s="92" t="s">
        <v>96</v>
      </c>
      <c r="N69" s="43" t="e">
        <f t="shared" ref="N69:V69" ca="1" si="0">N66-N67</f>
        <v>#REF!</v>
      </c>
      <c r="O69" s="43" t="e">
        <f t="shared" ca="1" si="0"/>
        <v>#REF!</v>
      </c>
      <c r="P69" s="43" t="e">
        <f t="shared" ca="1" si="0"/>
        <v>#REF!</v>
      </c>
      <c r="Q69" s="43" t="e">
        <f t="shared" ca="1" si="0"/>
        <v>#REF!</v>
      </c>
      <c r="R69" s="43" t="e">
        <f t="shared" ca="1" si="0"/>
        <v>#REF!</v>
      </c>
      <c r="S69" s="43" t="e">
        <f t="shared" ca="1" si="0"/>
        <v>#REF!</v>
      </c>
      <c r="T69" s="43" t="e">
        <f t="shared" ca="1" si="0"/>
        <v>#REF!</v>
      </c>
      <c r="U69" s="43" t="e">
        <f t="shared" ca="1" si="0"/>
        <v>#REF!</v>
      </c>
      <c r="V69" s="43" t="e">
        <f t="shared" ca="1" si="0"/>
        <v>#REF!</v>
      </c>
      <c r="W69" s="27"/>
      <c r="Z69" s="23"/>
    </row>
    <row r="70" spans="1:26" ht="14.45" customHeight="1" x14ac:dyDescent="0.25">
      <c r="A70" s="23"/>
      <c r="K70" s="205"/>
      <c r="M70" s="92" t="s">
        <v>97</v>
      </c>
      <c r="N70" s="372" t="e">
        <f ca="1">ABS(MAX(N66:V66) - MIN(N67:V67))</f>
        <v>#REF!</v>
      </c>
      <c r="O70" s="372"/>
      <c r="P70" s="372"/>
      <c r="Q70" s="372"/>
      <c r="R70" s="372"/>
      <c r="S70" s="372"/>
      <c r="T70" s="372"/>
      <c r="U70" s="372"/>
      <c r="V70" s="372"/>
      <c r="W70" s="44" t="e">
        <f ca="1">N70</f>
        <v>#REF!</v>
      </c>
      <c r="Z70" s="23"/>
    </row>
    <row r="71" spans="1:26" ht="14.45" customHeight="1" x14ac:dyDescent="0.25">
      <c r="A71" s="23"/>
      <c r="K71" s="205"/>
      <c r="M71" s="92" t="s">
        <v>98</v>
      </c>
      <c r="N71" s="372" t="e">
        <f ca="1">AVERAGE(N68:V68)</f>
        <v>#REF!</v>
      </c>
      <c r="O71" s="372"/>
      <c r="P71" s="372"/>
      <c r="Q71" s="372"/>
      <c r="R71" s="372"/>
      <c r="S71" s="372"/>
      <c r="T71" s="372"/>
      <c r="U71" s="372"/>
      <c r="V71" s="372"/>
      <c r="W71" s="44" t="e">
        <f ca="1">N71</f>
        <v>#REF!</v>
      </c>
      <c r="Z71" s="23"/>
    </row>
    <row r="72" spans="1:26" ht="14.45" customHeight="1" x14ac:dyDescent="0.25">
      <c r="A72" s="23"/>
      <c r="K72" s="205"/>
      <c r="M72" s="197" t="s">
        <v>340</v>
      </c>
      <c r="N72" s="35" t="str" cm="1">
        <f t="array" ref="N72:V72">tab_transfert385[[#Headers],[Connecteur 1]:[Connecteur 9]]</f>
        <v>Connecteur 1</v>
      </c>
      <c r="O72" s="35" t="str">
        <v>Connecteur 2</v>
      </c>
      <c r="P72" s="35" t="str">
        <v>Connecteur 3</v>
      </c>
      <c r="Q72" s="35" t="str">
        <v>Connecteur 4</v>
      </c>
      <c r="R72" s="35" t="str">
        <v>Connecteur 5</v>
      </c>
      <c r="S72" s="35" t="str">
        <v>Connecteur 6</v>
      </c>
      <c r="T72" s="35" t="str">
        <v>Connecteur 7</v>
      </c>
      <c r="U72" s="35" t="str">
        <v>Connecteur 8</v>
      </c>
      <c r="V72" s="35" t="str">
        <v>Connecteur 9</v>
      </c>
      <c r="W72" s="27"/>
      <c r="Z72" s="23"/>
    </row>
    <row r="73" spans="1:26" ht="14.45" customHeight="1" x14ac:dyDescent="0.25">
      <c r="A73" s="23"/>
      <c r="K73" s="205"/>
      <c r="M73" s="194" t="s">
        <v>339</v>
      </c>
      <c r="N73" s="196" t="e">
        <f ca="1">_xlfn.STDEV.S(OFFSET(INDEX(tab_transfert385[Connecteur 1],1),COUNT(tab_transfert385[Connecteur 1])-30,0,30))</f>
        <v>#REF!</v>
      </c>
      <c r="O73" s="196" t="e">
        <f ca="1">_xlfn.STDEV.S(OFFSET(INDEX(tab_transfert385[Connecteur 2],1),COUNT(tab_transfert385[Connecteur 2])-30,0,30))</f>
        <v>#REF!</v>
      </c>
      <c r="P73" s="196" t="e">
        <f ca="1">_xlfn.STDEV.S(OFFSET(INDEX(tab_transfert385[Connecteur 3],1),COUNT(tab_transfert385[Connecteur 3])-30,0,30))</f>
        <v>#REF!</v>
      </c>
      <c r="Q73" s="196" t="e">
        <f ca="1">_xlfn.STDEV.S(OFFSET(INDEX(tab_transfert385[Connecteur 4],1),COUNT(tab_transfert385[Connecteur 4])-30,0,30))</f>
        <v>#REF!</v>
      </c>
      <c r="R73" s="196" t="e">
        <f ca="1">_xlfn.STDEV.S(OFFSET(INDEX(tab_transfert385[Connecteur 5],1),COUNT(tab_transfert385[Connecteur 5])-30,0,30))</f>
        <v>#REF!</v>
      </c>
      <c r="S73" s="196" t="e">
        <f ca="1">_xlfn.STDEV.S(OFFSET(INDEX(tab_transfert385[Connecteur 6],1),COUNT(tab_transfert385[Connecteur 6])-30,0,30))</f>
        <v>#REF!</v>
      </c>
      <c r="T73" s="196" t="e">
        <f ca="1">_xlfn.STDEV.S(OFFSET(INDEX(tab_transfert385[Connecteur 7],1),COUNT(tab_transfert385[Connecteur 7])-30,0,30))</f>
        <v>#REF!</v>
      </c>
      <c r="U73" s="196" t="e">
        <f ca="1">_xlfn.STDEV.S(OFFSET(INDEX(tab_transfert385[Connecteur 8],1),COUNT(tab_transfert385[Connecteur 8])-30,0,30))</f>
        <v>#REF!</v>
      </c>
      <c r="V73" s="196" t="e">
        <f ca="1">_xlfn.STDEV.S(OFFSET(INDEX(tab_transfert385[Connecteur 9],1),COUNT(tab_transfert385[Connecteur 9])-30,0,30))</f>
        <v>#REF!</v>
      </c>
      <c r="W73" s="195" t="e">
        <f ca="1">MAX(N73:V73)</f>
        <v>#REF!</v>
      </c>
      <c r="Z73" s="23"/>
    </row>
    <row r="74" spans="1:26" ht="14.45" customHeight="1" x14ac:dyDescent="0.25">
      <c r="A74" s="23"/>
      <c r="K74" s="205"/>
      <c r="N74" s="27"/>
      <c r="O74" s="27"/>
      <c r="P74" s="27"/>
      <c r="Q74" s="27"/>
      <c r="R74" s="27"/>
      <c r="S74" s="27"/>
      <c r="T74" s="27"/>
      <c r="U74" s="27"/>
      <c r="V74" s="27"/>
      <c r="W74" s="27"/>
      <c r="Z74" s="23"/>
    </row>
    <row r="75" spans="1:26" ht="14.45" customHeight="1" x14ac:dyDescent="0.25">
      <c r="A75" s="23"/>
      <c r="K75" s="205"/>
      <c r="M75" s="194" t="s">
        <v>338</v>
      </c>
      <c r="N75" s="193" t="e">
        <f ca="1">W66-(OFFSET(INDEX(tab_four385[Consigne T°],1),COUNT(tab_four385[Consigne T°])-29,0,1))</f>
        <v>#REF!</v>
      </c>
      <c r="O75" s="27"/>
      <c r="P75" s="27"/>
      <c r="Q75" s="27"/>
      <c r="R75" s="27"/>
      <c r="S75" s="27"/>
      <c r="T75" s="27"/>
      <c r="U75" s="27"/>
      <c r="V75" s="27"/>
      <c r="W75" s="27"/>
      <c r="Z75" s="23"/>
    </row>
    <row r="76" spans="1:26" ht="14.45" customHeight="1" x14ac:dyDescent="0.25">
      <c r="A76" s="23"/>
      <c r="K76" s="205"/>
      <c r="M76" s="194" t="s">
        <v>337</v>
      </c>
      <c r="N76" s="193" t="e">
        <f ca="1">W67-(OFFSET(INDEX(tab_four385[Consigne T°],1),COUNT(tab_four385[Consigne T°])-29,0,1))</f>
        <v>#REF!</v>
      </c>
      <c r="O76" s="27"/>
      <c r="P76" s="27"/>
      <c r="Q76" s="27"/>
      <c r="R76" s="27"/>
      <c r="S76" s="27"/>
      <c r="T76" s="27"/>
      <c r="U76" s="27"/>
      <c r="V76" s="27"/>
      <c r="W76" s="27"/>
      <c r="Z76" s="23"/>
    </row>
    <row r="77" spans="1:26" ht="14.45" customHeight="1" x14ac:dyDescent="0.25">
      <c r="A77" s="23"/>
      <c r="K77" s="205"/>
      <c r="Z77" s="23"/>
    </row>
    <row r="78" spans="1:26" ht="14.45" customHeight="1" x14ac:dyDescent="0.25">
      <c r="A78" s="23"/>
      <c r="K78" s="205"/>
      <c r="Z78" s="23"/>
    </row>
    <row r="79" spans="1:26" ht="14.45" customHeight="1" x14ac:dyDescent="0.25">
      <c r="A79" s="23"/>
      <c r="K79" s="205"/>
      <c r="Z79" s="23"/>
    </row>
    <row r="80" spans="1:26" ht="14.45" customHeight="1" x14ac:dyDescent="0.25">
      <c r="A80" s="23"/>
      <c r="K80" s="205"/>
      <c r="Z80" s="23"/>
    </row>
    <row r="81" spans="1:26" ht="14.45" customHeight="1" x14ac:dyDescent="0.25">
      <c r="A81" s="23"/>
      <c r="K81" s="205"/>
      <c r="Z81" s="23"/>
    </row>
    <row r="82" spans="1:26" ht="14.45" customHeight="1" x14ac:dyDescent="0.25">
      <c r="A82" s="23"/>
      <c r="K82" s="205"/>
      <c r="Z82" s="23"/>
    </row>
    <row r="83" spans="1:26" ht="14.45" customHeight="1" x14ac:dyDescent="0.25">
      <c r="A83" s="23"/>
      <c r="K83" s="205"/>
      <c r="Z83" s="23"/>
    </row>
    <row r="84" spans="1:26" ht="14.45" customHeight="1" x14ac:dyDescent="0.25">
      <c r="A84" s="23"/>
      <c r="K84" s="205"/>
      <c r="Z84" s="23"/>
    </row>
    <row r="85" spans="1:26" ht="14.45" customHeight="1" x14ac:dyDescent="0.25">
      <c r="A85" s="23"/>
      <c r="K85" s="205"/>
      <c r="Z85" s="23"/>
    </row>
    <row r="86" spans="1:26" ht="14.45" customHeight="1" x14ac:dyDescent="0.25">
      <c r="A86" s="23"/>
      <c r="K86" s="205"/>
      <c r="Z86" s="23"/>
    </row>
    <row r="87" spans="1:26" ht="14.45" customHeight="1" x14ac:dyDescent="0.25">
      <c r="A87" s="23"/>
      <c r="K87" s="205"/>
      <c r="Z87" s="23"/>
    </row>
    <row r="88" spans="1:26" ht="14.45" customHeight="1" x14ac:dyDescent="0.25">
      <c r="A88" s="23"/>
      <c r="K88" s="205"/>
      <c r="Z88" s="23"/>
    </row>
    <row r="89" spans="1:26" ht="14.45" customHeight="1" x14ac:dyDescent="0.25">
      <c r="A89" s="23"/>
      <c r="K89" s="205"/>
      <c r="Z89" s="23"/>
    </row>
    <row r="90" spans="1:26" ht="14.45" customHeight="1" x14ac:dyDescent="0.25">
      <c r="A90" s="23"/>
      <c r="K90" s="205"/>
      <c r="Z90" s="23"/>
    </row>
    <row r="91" spans="1:26" ht="14.45" customHeight="1" x14ac:dyDescent="0.25">
      <c r="A91" s="23"/>
      <c r="K91" s="205"/>
      <c r="Z91" s="23"/>
    </row>
    <row r="92" spans="1:26" ht="14.45" customHeight="1" x14ac:dyDescent="0.25">
      <c r="A92" s="23"/>
      <c r="K92" s="205"/>
      <c r="Z92" s="23"/>
    </row>
    <row r="93" spans="1:26" ht="14.45" customHeight="1" x14ac:dyDescent="0.25">
      <c r="A93" s="23"/>
      <c r="K93" s="205"/>
      <c r="Z93" s="23"/>
    </row>
    <row r="94" spans="1:26" ht="14.45" customHeight="1" x14ac:dyDescent="0.25">
      <c r="A94" s="23"/>
      <c r="K94" s="205"/>
      <c r="Z94" s="23"/>
    </row>
    <row r="95" spans="1:26" ht="14.45" customHeight="1" x14ac:dyDescent="0.25">
      <c r="A95" s="23"/>
      <c r="K95" s="205"/>
      <c r="Z95" s="23"/>
    </row>
    <row r="96" spans="1:26" ht="14.45" customHeight="1" x14ac:dyDescent="0.25">
      <c r="A96" s="23"/>
      <c r="K96" s="205"/>
      <c r="Z96" s="23"/>
    </row>
    <row r="97" spans="1:26" ht="14.45" customHeight="1" x14ac:dyDescent="0.25">
      <c r="A97" s="23"/>
      <c r="K97" s="205"/>
      <c r="Z97" s="23"/>
    </row>
    <row r="98" spans="1:26" ht="14.45" customHeight="1" x14ac:dyDescent="0.25">
      <c r="A98" s="23"/>
      <c r="K98" s="205"/>
      <c r="Z98" s="23"/>
    </row>
    <row r="99" spans="1:26" ht="14.45" customHeight="1" x14ac:dyDescent="0.25">
      <c r="A99" s="23"/>
      <c r="K99" s="205"/>
      <c r="Z99" s="23"/>
    </row>
    <row r="100" spans="1:26" ht="14.45" customHeight="1" x14ac:dyDescent="0.25">
      <c r="A100" s="23"/>
      <c r="K100" s="205"/>
      <c r="Z100" s="23"/>
    </row>
    <row r="101" spans="1:26" ht="14.45" customHeight="1" x14ac:dyDescent="0.25">
      <c r="A101" s="23"/>
      <c r="K101" s="205"/>
      <c r="Z101" s="23"/>
    </row>
    <row r="102" spans="1:26" ht="14.45" customHeight="1" x14ac:dyDescent="0.25">
      <c r="A102" s="23"/>
      <c r="K102" s="205"/>
      <c r="Z102" s="23"/>
    </row>
    <row r="103" spans="1:26" ht="14.45" customHeight="1" x14ac:dyDescent="0.25">
      <c r="A103" s="23"/>
      <c r="K103" s="205"/>
      <c r="Z103" s="23"/>
    </row>
    <row r="104" spans="1:26" ht="14.45" customHeight="1" x14ac:dyDescent="0.25">
      <c r="A104" s="23"/>
      <c r="K104" s="205"/>
      <c r="Z104" s="23"/>
    </row>
    <row r="105" spans="1:26" ht="14.45" customHeight="1" x14ac:dyDescent="0.25">
      <c r="A105" s="23"/>
      <c r="K105" s="205"/>
      <c r="Z105" s="23"/>
    </row>
    <row r="106" spans="1:26" ht="14.45" customHeight="1" x14ac:dyDescent="0.25">
      <c r="A106" s="23"/>
      <c r="K106" s="205"/>
      <c r="Z106" s="23"/>
    </row>
    <row r="107" spans="1:26" ht="14.45" customHeight="1" x14ac:dyDescent="0.25">
      <c r="A107" s="23"/>
      <c r="K107" s="205"/>
      <c r="Z107" s="23"/>
    </row>
    <row r="108" spans="1:26" ht="14.45" customHeight="1" x14ac:dyDescent="0.25">
      <c r="A108" s="23"/>
      <c r="K108" s="205"/>
      <c r="Z108" s="23"/>
    </row>
    <row r="109" spans="1:26" ht="14.45" customHeight="1" x14ac:dyDescent="0.25">
      <c r="A109" s="23"/>
      <c r="K109" s="205"/>
      <c r="Z109" s="23"/>
    </row>
    <row r="110" spans="1:26" ht="14.45" customHeight="1" x14ac:dyDescent="0.25">
      <c r="A110" s="23"/>
      <c r="K110" s="205"/>
      <c r="Z110" s="23"/>
    </row>
    <row r="111" spans="1:26" ht="14.45" customHeight="1" x14ac:dyDescent="0.25">
      <c r="A111" s="23"/>
      <c r="K111" s="205"/>
      <c r="Z111" s="23"/>
    </row>
    <row r="112" spans="1:26" ht="14.45" customHeight="1" x14ac:dyDescent="0.25">
      <c r="A112" s="23"/>
      <c r="K112" s="205"/>
      <c r="Z112" s="23"/>
    </row>
    <row r="113" spans="1:29" ht="14.45" customHeight="1" x14ac:dyDescent="0.25">
      <c r="A113" s="23"/>
      <c r="K113" s="205"/>
      <c r="Z113" s="23"/>
    </row>
    <row r="114" spans="1:29" ht="14.45" customHeight="1" x14ac:dyDescent="0.25">
      <c r="A114" s="23"/>
      <c r="K114" s="205"/>
      <c r="Z114" s="23"/>
    </row>
    <row r="115" spans="1:29" ht="14.45" customHeight="1" x14ac:dyDescent="0.25">
      <c r="A115" s="23"/>
      <c r="K115" s="205"/>
      <c r="Z115" s="23"/>
    </row>
    <row r="116" spans="1:29" ht="14.45" customHeight="1" x14ac:dyDescent="0.25">
      <c r="A116" s="23"/>
      <c r="K116" s="205"/>
      <c r="Z116" s="23"/>
    </row>
    <row r="117" spans="1:29" ht="14.45" customHeight="1" x14ac:dyDescent="0.25">
      <c r="A117" s="146"/>
      <c r="B117" s="146"/>
      <c r="C117" s="146"/>
      <c r="D117" s="146"/>
      <c r="E117" s="146"/>
      <c r="F117" s="146"/>
      <c r="G117" s="146"/>
      <c r="H117" s="146"/>
      <c r="I117" s="146"/>
      <c r="J117" s="146"/>
      <c r="K117" s="146"/>
      <c r="L117" s="146"/>
      <c r="X117" s="146"/>
      <c r="Y117" s="146"/>
      <c r="Z117" s="146"/>
      <c r="AA117" s="146"/>
      <c r="AB117" s="146"/>
      <c r="AC117" s="146"/>
    </row>
    <row r="118" spans="1:29" ht="14.45" customHeight="1" x14ac:dyDescent="0.25">
      <c r="X118" s="27"/>
      <c r="Z118" s="23"/>
      <c r="AA118" s="202" t="str" cm="1">
        <f t="array" ref="AA118:AC118">AA6:AC6</f>
        <v>Pt Froid</v>
      </c>
      <c r="AB118" s="202" t="str">
        <v>Regulation</v>
      </c>
      <c r="AC118" s="202" t="str">
        <v>Pt Chaud</v>
      </c>
    </row>
    <row r="119" spans="1:29" ht="14.45" customHeight="1" x14ac:dyDescent="0.25">
      <c r="X119" s="27"/>
      <c r="Z119" s="198" t="s">
        <v>90</v>
      </c>
      <c r="AA119" s="43">
        <f>MAX(tab_four385[Pt Froid])</f>
        <v>0</v>
      </c>
      <c r="AB119" s="43">
        <f>MAX(tab_four385[Regulation])</f>
        <v>0</v>
      </c>
      <c r="AC119" s="43">
        <f>MAX(tab_four385[Pt Chaud])</f>
        <v>0</v>
      </c>
    </row>
    <row r="120" spans="1:29" ht="14.45" customHeight="1" x14ac:dyDescent="0.25">
      <c r="X120" s="27"/>
      <c r="Z120" s="198" t="s">
        <v>91</v>
      </c>
      <c r="AA120" s="43" t="e">
        <f ca="1">MAX(OFFSET(INDEX(tab_four385[Pt Froid],1),COUNT(tab_four385[Pt Froid])-30,0,30))</f>
        <v>#REF!</v>
      </c>
      <c r="AB120" s="43" t="e">
        <f ca="1">MAX(OFFSET(INDEX(tab_four385[Regulation],1),COUNT(tab_four385[Regulation])-30,0,30))</f>
        <v>#REF!</v>
      </c>
      <c r="AC120" s="43" t="e">
        <f ca="1">MAX(OFFSET(INDEX(tab_four385[Pt Chaud],1),COUNT(tab_four385[Pt Chaud])-30,0,30))</f>
        <v>#REF!</v>
      </c>
    </row>
    <row r="121" spans="1:29" ht="14.45" customHeight="1" x14ac:dyDescent="0.25">
      <c r="X121" s="27"/>
      <c r="Z121" s="198" t="s">
        <v>93</v>
      </c>
      <c r="AA121" s="43" t="e">
        <f ca="1">MIN(OFFSET(INDEX(tab_four385[Pt Froid],1),COUNT(tab_four385[Pt Froid])-30,0,30))</f>
        <v>#REF!</v>
      </c>
      <c r="AB121" s="43" t="e">
        <f ca="1">MIN(OFFSET(INDEX(tab_four385[Regulation],1),COUNT(tab_four385[Regulation])-30,0,30))</f>
        <v>#REF!</v>
      </c>
      <c r="AC121" s="43" t="e">
        <f ca="1">MIN(OFFSET(INDEX(tab_four385[Pt Chaud],1),COUNT(tab_four385[Pt Chaud])-30,0,30))</f>
        <v>#REF!</v>
      </c>
    </row>
    <row r="122" spans="1:29" ht="14.45" customHeight="1" x14ac:dyDescent="0.25">
      <c r="X122" s="27"/>
      <c r="Z122" s="198" t="s">
        <v>95</v>
      </c>
      <c r="AA122" s="43" t="e">
        <f ca="1">AVERAGE(OFFSET(INDEX(tab_four385[Pt Froid],1),COUNT(tab_four385[Pt Froid])-30,0,30))</f>
        <v>#REF!</v>
      </c>
      <c r="AB122" s="43" t="e">
        <f ca="1">AVERAGE(OFFSET(INDEX(tab_four385[Regulation],1),COUNT(tab_four385[Regulation])-30,0,30))</f>
        <v>#REF!</v>
      </c>
      <c r="AC122" s="43" t="e">
        <f ca="1">AVERAGE(OFFSET(INDEX(tab_four385[Pt Chaud],1),COUNT(tab_four385[Pt Chaud])-30,0,30))</f>
        <v>#REF!</v>
      </c>
    </row>
    <row r="123" spans="1:29" ht="14.45" customHeight="1" x14ac:dyDescent="0.25">
      <c r="X123" s="27"/>
    </row>
    <row r="124" spans="1:29" ht="14.45" customHeight="1" x14ac:dyDescent="0.25">
      <c r="X124" s="27"/>
      <c r="Z124" s="23"/>
    </row>
    <row r="125" spans="1:29" x14ac:dyDescent="0.25">
      <c r="X125" s="27"/>
    </row>
    <row r="126" spans="1:29" x14ac:dyDescent="0.25">
      <c r="X126" s="27"/>
    </row>
    <row r="127" spans="1:29" x14ac:dyDescent="0.25">
      <c r="X127" s="27"/>
    </row>
    <row r="130" spans="1:11" x14ac:dyDescent="0.25">
      <c r="A130" s="192"/>
      <c r="B130" s="27"/>
      <c r="C130" s="27"/>
      <c r="D130" s="27"/>
      <c r="E130" s="27"/>
      <c r="F130" s="27"/>
      <c r="G130" s="27"/>
      <c r="H130" s="27"/>
      <c r="I130" s="27"/>
      <c r="J130" s="27"/>
      <c r="K130" s="27"/>
    </row>
    <row r="131" spans="1:11" x14ac:dyDescent="0.25">
      <c r="A131" s="192"/>
      <c r="B131" s="27"/>
      <c r="C131" s="27"/>
      <c r="D131" s="27"/>
      <c r="E131" s="27"/>
      <c r="F131" s="27"/>
      <c r="G131" s="27"/>
      <c r="H131" s="27"/>
      <c r="I131" s="27"/>
      <c r="J131" s="27"/>
      <c r="K131" s="27"/>
    </row>
    <row r="132" spans="1:11" x14ac:dyDescent="0.25">
      <c r="A132" s="192"/>
      <c r="B132" s="27"/>
      <c r="C132" s="27"/>
      <c r="D132" s="27"/>
      <c r="E132" s="27"/>
      <c r="F132" s="27"/>
      <c r="G132" s="27"/>
      <c r="H132" s="27"/>
      <c r="I132" s="27"/>
      <c r="J132" s="27"/>
      <c r="K132" s="27"/>
    </row>
    <row r="133" spans="1:11" x14ac:dyDescent="0.25">
      <c r="A133" s="192"/>
      <c r="B133" s="27"/>
      <c r="C133" s="27"/>
      <c r="D133" s="27"/>
      <c r="E133" s="27"/>
      <c r="F133" s="27"/>
      <c r="G133" s="27"/>
      <c r="H133" s="27"/>
      <c r="I133" s="27"/>
      <c r="J133" s="27"/>
      <c r="K133" s="27"/>
    </row>
    <row r="134" spans="1:11" x14ac:dyDescent="0.25">
      <c r="A134" s="192"/>
      <c r="B134" s="27"/>
      <c r="C134" s="27"/>
      <c r="D134" s="27"/>
      <c r="E134" s="27"/>
      <c r="F134" s="27"/>
      <c r="G134" s="27"/>
      <c r="H134" s="27"/>
      <c r="I134" s="27"/>
      <c r="J134" s="27"/>
      <c r="K134" s="27"/>
    </row>
    <row r="135" spans="1:11" x14ac:dyDescent="0.25">
      <c r="A135" s="192"/>
      <c r="B135" s="27"/>
      <c r="C135" s="27"/>
      <c r="D135" s="27"/>
      <c r="E135" s="27"/>
      <c r="F135" s="27"/>
      <c r="G135" s="27"/>
      <c r="H135" s="27"/>
      <c r="I135" s="27"/>
      <c r="J135" s="27"/>
      <c r="K135" s="27"/>
    </row>
    <row r="136" spans="1:11" x14ac:dyDescent="0.25">
      <c r="A136" s="192"/>
      <c r="B136" s="27"/>
      <c r="C136" s="27"/>
      <c r="D136" s="27"/>
      <c r="E136" s="27"/>
      <c r="F136" s="27"/>
      <c r="G136" s="27"/>
      <c r="I136" s="27"/>
      <c r="J136" s="27"/>
      <c r="K136" s="27"/>
    </row>
    <row r="137" spans="1:11" x14ac:dyDescent="0.25">
      <c r="A137" s="192"/>
      <c r="B137" s="27"/>
      <c r="C137" s="27"/>
      <c r="D137" s="27"/>
      <c r="E137" s="27"/>
      <c r="F137" s="27"/>
      <c r="G137" s="27"/>
      <c r="H137" s="27"/>
      <c r="I137" s="27"/>
      <c r="J137" s="27"/>
      <c r="K137" s="27"/>
    </row>
    <row r="138" spans="1:11" x14ac:dyDescent="0.25">
      <c r="A138" s="192"/>
      <c r="B138" s="27"/>
      <c r="C138" s="27"/>
      <c r="D138" s="27"/>
      <c r="E138" s="27"/>
      <c r="F138" s="27"/>
      <c r="G138" s="27"/>
      <c r="I138" s="27"/>
      <c r="J138" s="27"/>
      <c r="K138" s="27"/>
    </row>
    <row r="139" spans="1:11" x14ac:dyDescent="0.25">
      <c r="A139" s="192"/>
      <c r="B139" s="27"/>
      <c r="C139" s="27"/>
      <c r="D139" s="27"/>
      <c r="E139" s="27"/>
      <c r="F139" s="27"/>
      <c r="G139" s="27"/>
      <c r="H139" s="27"/>
      <c r="I139" s="27"/>
      <c r="J139" s="27"/>
      <c r="K139" s="27"/>
    </row>
    <row r="140" spans="1:11" x14ac:dyDescent="0.25">
      <c r="A140" s="192"/>
      <c r="B140" s="27"/>
      <c r="C140" s="27"/>
      <c r="D140" s="27"/>
      <c r="E140" s="27"/>
      <c r="F140" s="27"/>
      <c r="G140" s="27"/>
      <c r="H140" s="27"/>
      <c r="I140" s="27"/>
      <c r="J140" s="27"/>
      <c r="K140" s="27"/>
    </row>
    <row r="141" spans="1:11" x14ac:dyDescent="0.25">
      <c r="A141" s="192"/>
      <c r="B141" s="27"/>
      <c r="C141" s="27"/>
      <c r="D141" s="27"/>
      <c r="E141" s="27"/>
      <c r="F141" s="27"/>
      <c r="G141" s="27"/>
      <c r="H141" s="27"/>
      <c r="I141" s="27"/>
      <c r="J141" s="27"/>
      <c r="K141" s="27"/>
    </row>
    <row r="142" spans="1:11" x14ac:dyDescent="0.25">
      <c r="A142" s="192"/>
      <c r="B142" s="27"/>
      <c r="C142" s="27"/>
      <c r="D142" s="27"/>
      <c r="E142" s="27"/>
      <c r="F142" s="27"/>
      <c r="G142" s="27"/>
      <c r="H142" s="27"/>
      <c r="I142" s="27"/>
      <c r="J142" s="27"/>
      <c r="K142" s="27"/>
    </row>
    <row r="143" spans="1:11" x14ac:dyDescent="0.25">
      <c r="A143" s="192"/>
      <c r="B143" s="27"/>
      <c r="C143" s="27"/>
      <c r="D143" s="27"/>
      <c r="E143" s="27"/>
      <c r="F143" s="27"/>
      <c r="G143" s="27"/>
      <c r="H143" s="27"/>
      <c r="I143" s="27"/>
      <c r="J143" s="27"/>
      <c r="K143" s="27"/>
    </row>
    <row r="144" spans="1:11" x14ac:dyDescent="0.25">
      <c r="A144" s="192"/>
      <c r="B144" s="27"/>
      <c r="C144" s="27"/>
      <c r="D144" s="27"/>
      <c r="E144" s="27"/>
      <c r="F144" s="27"/>
      <c r="G144" s="27"/>
      <c r="H144" s="27"/>
      <c r="I144" s="27"/>
      <c r="J144" s="27"/>
      <c r="K144" s="27"/>
    </row>
    <row r="145" spans="1:11" x14ac:dyDescent="0.25">
      <c r="A145" s="192"/>
      <c r="B145" s="27"/>
      <c r="C145" s="27"/>
      <c r="D145" s="27"/>
      <c r="E145" s="27"/>
      <c r="F145" s="27"/>
      <c r="G145" s="27"/>
      <c r="H145" s="27"/>
      <c r="I145" s="27"/>
      <c r="J145" s="27"/>
      <c r="K145" s="27"/>
    </row>
    <row r="146" spans="1:11" x14ac:dyDescent="0.25">
      <c r="A146" s="192"/>
      <c r="B146" s="27"/>
      <c r="C146" s="27"/>
      <c r="D146" s="27"/>
      <c r="E146" s="27"/>
      <c r="F146" s="27"/>
      <c r="G146" s="27"/>
      <c r="H146" s="27"/>
      <c r="I146" s="27"/>
      <c r="J146" s="27"/>
      <c r="K146" s="27"/>
    </row>
    <row r="147" spans="1:11" x14ac:dyDescent="0.25">
      <c r="A147" s="192"/>
      <c r="B147" s="27"/>
      <c r="C147" s="27"/>
      <c r="D147" s="27"/>
      <c r="E147" s="27"/>
      <c r="F147" s="27"/>
      <c r="G147" s="27"/>
      <c r="H147" s="27"/>
      <c r="I147" s="27"/>
      <c r="J147" s="27"/>
      <c r="K147" s="27"/>
    </row>
    <row r="148" spans="1:11" x14ac:dyDescent="0.25">
      <c r="A148" s="192"/>
      <c r="B148" s="27"/>
      <c r="C148" s="27"/>
      <c r="D148" s="27"/>
      <c r="E148" s="27"/>
      <c r="F148" s="27"/>
      <c r="G148" s="27"/>
      <c r="H148" s="27"/>
      <c r="I148" s="27"/>
      <c r="J148" s="27"/>
      <c r="K148" s="27"/>
    </row>
    <row r="149" spans="1:11" x14ac:dyDescent="0.25">
      <c r="A149" s="192"/>
      <c r="B149" s="27"/>
      <c r="C149" s="27"/>
      <c r="D149" s="27"/>
      <c r="E149" s="27"/>
      <c r="F149" s="27"/>
      <c r="G149" s="27"/>
      <c r="H149" s="27"/>
      <c r="I149" s="27"/>
      <c r="J149" s="27"/>
      <c r="K149" s="27"/>
    </row>
    <row r="150" spans="1:11" x14ac:dyDescent="0.25">
      <c r="A150" s="192"/>
      <c r="B150" s="27"/>
      <c r="C150" s="27"/>
      <c r="D150" s="27"/>
      <c r="E150" s="27"/>
      <c r="F150" s="27"/>
      <c r="G150" s="27"/>
      <c r="H150" s="27"/>
      <c r="I150" s="27"/>
      <c r="J150" s="27"/>
      <c r="K150" s="27"/>
    </row>
    <row r="151" spans="1:11" x14ac:dyDescent="0.25">
      <c r="A151" s="192"/>
      <c r="B151" s="27"/>
      <c r="C151" s="27"/>
      <c r="D151" s="27"/>
      <c r="E151" s="27"/>
      <c r="F151" s="27"/>
      <c r="G151" s="27"/>
      <c r="H151" s="27"/>
      <c r="I151" s="27"/>
      <c r="J151" s="27"/>
      <c r="K151" s="27"/>
    </row>
    <row r="152" spans="1:11" x14ac:dyDescent="0.25">
      <c r="A152" s="192"/>
      <c r="B152" s="27"/>
      <c r="C152" s="27"/>
      <c r="D152" s="27"/>
      <c r="E152" s="27"/>
      <c r="F152" s="27"/>
      <c r="G152" s="27"/>
      <c r="H152" s="27"/>
      <c r="I152" s="27"/>
      <c r="J152" s="27"/>
      <c r="K152" s="27"/>
    </row>
    <row r="153" spans="1:11" x14ac:dyDescent="0.25">
      <c r="A153" s="192"/>
      <c r="B153" s="27"/>
      <c r="C153" s="27"/>
      <c r="D153" s="27"/>
      <c r="E153" s="27"/>
      <c r="F153" s="27"/>
      <c r="G153" s="27"/>
      <c r="H153" s="27"/>
      <c r="I153" s="27"/>
      <c r="J153" s="27"/>
      <c r="K153" s="27"/>
    </row>
    <row r="154" spans="1:11" x14ac:dyDescent="0.25">
      <c r="A154" s="192"/>
      <c r="B154" s="27"/>
      <c r="C154" s="27"/>
      <c r="D154" s="27"/>
      <c r="E154" s="27"/>
      <c r="F154" s="27"/>
      <c r="G154" s="27"/>
      <c r="H154" s="27"/>
      <c r="I154" s="27"/>
      <c r="J154" s="27"/>
      <c r="K154" s="27"/>
    </row>
    <row r="155" spans="1:11" x14ac:dyDescent="0.25">
      <c r="A155" s="192"/>
      <c r="B155" s="27"/>
      <c r="C155" s="27"/>
      <c r="D155" s="27"/>
      <c r="E155" s="27"/>
      <c r="F155" s="27"/>
      <c r="G155" s="27"/>
      <c r="H155" s="27"/>
      <c r="I155" s="27"/>
      <c r="J155" s="27"/>
      <c r="K155" s="27"/>
    </row>
    <row r="156" spans="1:11" x14ac:dyDescent="0.25">
      <c r="A156" s="192"/>
      <c r="B156" s="27"/>
      <c r="C156" s="27"/>
      <c r="D156" s="27"/>
      <c r="E156" s="27"/>
      <c r="F156" s="27"/>
      <c r="G156" s="27"/>
      <c r="H156" s="27"/>
      <c r="I156" s="27"/>
      <c r="J156" s="27"/>
      <c r="K156" s="27"/>
    </row>
    <row r="157" spans="1:11" x14ac:dyDescent="0.25">
      <c r="A157" s="192"/>
      <c r="B157" s="27"/>
      <c r="C157" s="27"/>
      <c r="D157" s="27"/>
      <c r="E157" s="27"/>
      <c r="F157" s="27"/>
      <c r="G157" s="27"/>
      <c r="H157" s="27"/>
      <c r="I157" s="27"/>
      <c r="J157" s="27"/>
      <c r="K157" s="27"/>
    </row>
    <row r="158" spans="1:11" x14ac:dyDescent="0.25">
      <c r="A158" s="192"/>
      <c r="B158" s="27"/>
      <c r="C158" s="27"/>
      <c r="D158" s="27"/>
      <c r="E158" s="27"/>
      <c r="F158" s="27"/>
      <c r="G158" s="27"/>
      <c r="H158" s="27"/>
      <c r="I158" s="27"/>
      <c r="J158" s="27"/>
      <c r="K158" s="27"/>
    </row>
    <row r="159" spans="1:11" x14ac:dyDescent="0.25">
      <c r="A159" s="192"/>
      <c r="B159" s="27"/>
      <c r="C159" s="27"/>
      <c r="D159" s="27"/>
      <c r="E159" s="27"/>
      <c r="F159" s="27"/>
      <c r="G159" s="27"/>
      <c r="H159" s="27"/>
      <c r="I159" s="27"/>
      <c r="J159" s="27"/>
      <c r="K159" s="27"/>
    </row>
    <row r="160" spans="1:11" x14ac:dyDescent="0.25">
      <c r="A160" s="192"/>
      <c r="B160" s="27"/>
      <c r="C160" s="27"/>
      <c r="D160" s="27"/>
      <c r="E160" s="27"/>
      <c r="F160" s="27"/>
      <c r="G160" s="27"/>
      <c r="H160" s="27"/>
      <c r="I160" s="27"/>
      <c r="J160" s="27"/>
      <c r="K160" s="27"/>
    </row>
    <row r="161" spans="1:11" x14ac:dyDescent="0.25">
      <c r="A161" s="192"/>
      <c r="B161" s="27"/>
      <c r="C161" s="27"/>
      <c r="D161" s="27"/>
      <c r="E161" s="27"/>
      <c r="F161" s="27"/>
      <c r="G161" s="27"/>
      <c r="H161" s="27"/>
      <c r="I161" s="27"/>
      <c r="J161" s="27"/>
      <c r="K161" s="27"/>
    </row>
    <row r="162" spans="1:11" x14ac:dyDescent="0.25">
      <c r="A162" s="192"/>
      <c r="B162" s="27"/>
      <c r="C162" s="27"/>
      <c r="D162" s="27"/>
      <c r="E162" s="27"/>
      <c r="F162" s="27"/>
      <c r="G162" s="27"/>
      <c r="H162" s="27"/>
      <c r="I162" s="27"/>
      <c r="J162" s="27"/>
      <c r="K162" s="27"/>
    </row>
    <row r="163" spans="1:11" x14ac:dyDescent="0.25">
      <c r="A163" s="192"/>
      <c r="B163" s="27"/>
      <c r="C163" s="27"/>
      <c r="D163" s="27"/>
      <c r="E163" s="27"/>
      <c r="F163" s="27"/>
      <c r="G163" s="27"/>
      <c r="H163" s="27"/>
      <c r="I163" s="27"/>
      <c r="J163" s="27"/>
      <c r="K163" s="27"/>
    </row>
    <row r="164" spans="1:11" x14ac:dyDescent="0.25">
      <c r="A164" s="192"/>
      <c r="B164" s="27"/>
      <c r="C164" s="27"/>
      <c r="D164" s="27"/>
      <c r="E164" s="27"/>
      <c r="F164" s="27"/>
      <c r="G164" s="27"/>
      <c r="H164" s="27"/>
      <c r="I164" s="27"/>
      <c r="J164" s="27"/>
      <c r="K164" s="27"/>
    </row>
    <row r="165" spans="1:11" x14ac:dyDescent="0.25">
      <c r="A165" s="192"/>
      <c r="B165" s="27"/>
      <c r="C165" s="27"/>
      <c r="D165" s="27"/>
      <c r="E165" s="27"/>
      <c r="F165" s="27"/>
      <c r="G165" s="27"/>
      <c r="H165" s="27"/>
      <c r="I165" s="27"/>
      <c r="J165" s="27"/>
      <c r="K165" s="27"/>
    </row>
    <row r="166" spans="1:11" x14ac:dyDescent="0.25">
      <c r="A166" s="192"/>
      <c r="B166" s="27"/>
      <c r="C166" s="27"/>
      <c r="D166" s="27"/>
      <c r="E166" s="27"/>
      <c r="F166" s="27"/>
      <c r="G166" s="27"/>
      <c r="H166" s="27"/>
      <c r="I166" s="27"/>
      <c r="J166" s="27"/>
      <c r="K166" s="27"/>
    </row>
    <row r="167" spans="1:11" x14ac:dyDescent="0.25">
      <c r="A167" s="192"/>
      <c r="B167" s="27"/>
      <c r="C167" s="27"/>
      <c r="D167" s="27"/>
      <c r="E167" s="27"/>
      <c r="F167" s="27"/>
      <c r="G167" s="27"/>
      <c r="H167" s="27"/>
      <c r="I167" s="27"/>
      <c r="J167" s="27"/>
      <c r="K167" s="27"/>
    </row>
    <row r="168" spans="1:11" x14ac:dyDescent="0.25">
      <c r="A168" s="192"/>
      <c r="B168" s="27"/>
      <c r="C168" s="27"/>
      <c r="D168" s="27"/>
      <c r="E168" s="27"/>
      <c r="F168" s="27"/>
      <c r="G168" s="27"/>
      <c r="H168" s="27"/>
      <c r="I168" s="27"/>
      <c r="J168" s="27"/>
      <c r="K168" s="27"/>
    </row>
    <row r="169" spans="1:11" x14ac:dyDescent="0.25">
      <c r="A169" s="192"/>
      <c r="B169" s="27"/>
      <c r="C169" s="27"/>
      <c r="D169" s="27"/>
      <c r="E169" s="27"/>
      <c r="F169" s="27"/>
      <c r="G169" s="27"/>
      <c r="H169" s="27"/>
      <c r="I169" s="27"/>
      <c r="J169" s="27"/>
      <c r="K169" s="27"/>
    </row>
    <row r="170" spans="1:11" x14ac:dyDescent="0.25">
      <c r="A170" s="192"/>
      <c r="B170" s="27"/>
      <c r="C170" s="27"/>
      <c r="D170" s="27"/>
      <c r="E170" s="27"/>
      <c r="F170" s="27"/>
      <c r="G170" s="27"/>
      <c r="H170" s="27"/>
      <c r="I170" s="27"/>
      <c r="J170" s="27"/>
      <c r="K170" s="27"/>
    </row>
    <row r="171" spans="1:11" x14ac:dyDescent="0.25">
      <c r="A171" s="192"/>
      <c r="B171" s="27"/>
      <c r="C171" s="27"/>
      <c r="D171" s="27"/>
      <c r="E171" s="27"/>
      <c r="F171" s="27"/>
      <c r="G171" s="27"/>
      <c r="H171" s="27"/>
      <c r="I171" s="27"/>
      <c r="J171" s="27"/>
      <c r="K171" s="27"/>
    </row>
    <row r="172" spans="1:11" x14ac:dyDescent="0.25">
      <c r="A172" s="192"/>
      <c r="B172" s="27"/>
      <c r="C172" s="27"/>
      <c r="D172" s="27"/>
      <c r="E172" s="27"/>
      <c r="F172" s="27"/>
      <c r="G172" s="27"/>
      <c r="H172" s="27"/>
      <c r="I172" s="27"/>
      <c r="J172" s="27"/>
      <c r="K172" s="27"/>
    </row>
    <row r="173" spans="1:11" x14ac:dyDescent="0.25">
      <c r="A173" s="192"/>
      <c r="B173" s="27"/>
      <c r="C173" s="27"/>
      <c r="D173" s="27"/>
      <c r="E173" s="27"/>
      <c r="F173" s="27"/>
      <c r="G173" s="27"/>
      <c r="H173" s="27"/>
      <c r="I173" s="27"/>
      <c r="J173" s="27"/>
      <c r="K173" s="27"/>
    </row>
    <row r="174" spans="1:11" x14ac:dyDescent="0.25">
      <c r="A174" s="192"/>
      <c r="B174" s="27"/>
      <c r="C174" s="27"/>
      <c r="D174" s="27"/>
      <c r="E174" s="27"/>
      <c r="F174" s="27"/>
      <c r="G174" s="27"/>
      <c r="H174" s="27"/>
      <c r="I174" s="27"/>
      <c r="J174" s="27"/>
      <c r="K174" s="27"/>
    </row>
    <row r="175" spans="1:11" x14ac:dyDescent="0.25">
      <c r="A175" s="192"/>
      <c r="B175" s="27"/>
      <c r="C175" s="27"/>
      <c r="D175" s="27"/>
      <c r="E175" s="27"/>
      <c r="F175" s="27"/>
      <c r="G175" s="27"/>
      <c r="H175" s="27"/>
      <c r="I175" s="27"/>
      <c r="J175" s="27"/>
      <c r="K175" s="27"/>
    </row>
    <row r="176" spans="1:11" x14ac:dyDescent="0.25">
      <c r="A176" s="192"/>
      <c r="B176" s="27"/>
      <c r="C176" s="27"/>
      <c r="D176" s="27"/>
      <c r="E176" s="27"/>
      <c r="F176" s="27"/>
      <c r="G176" s="27"/>
      <c r="H176" s="27"/>
      <c r="I176" s="27"/>
      <c r="J176" s="27"/>
      <c r="K176" s="27"/>
    </row>
    <row r="177" spans="1:11" x14ac:dyDescent="0.25">
      <c r="A177" s="192"/>
      <c r="B177" s="27"/>
      <c r="C177" s="27"/>
      <c r="D177" s="27"/>
      <c r="E177" s="27"/>
      <c r="F177" s="27"/>
      <c r="G177" s="27"/>
      <c r="H177" s="27"/>
      <c r="I177" s="27"/>
      <c r="J177" s="27"/>
      <c r="K177" s="27"/>
    </row>
    <row r="178" spans="1:11" x14ac:dyDescent="0.25">
      <c r="A178" s="192"/>
      <c r="B178" s="27"/>
      <c r="C178" s="27"/>
      <c r="D178" s="27"/>
      <c r="E178" s="27"/>
      <c r="F178" s="27"/>
      <c r="G178" s="27"/>
      <c r="H178" s="27"/>
      <c r="I178" s="27"/>
      <c r="J178" s="27"/>
      <c r="K178" s="27"/>
    </row>
    <row r="179" spans="1:11" x14ac:dyDescent="0.25">
      <c r="A179" s="192"/>
      <c r="B179" s="27"/>
      <c r="C179" s="27"/>
      <c r="D179" s="27"/>
      <c r="E179" s="27"/>
      <c r="F179" s="27"/>
      <c r="G179" s="27"/>
      <c r="H179" s="27"/>
      <c r="I179" s="27"/>
      <c r="J179" s="27"/>
      <c r="K179" s="27"/>
    </row>
    <row r="180" spans="1:11" x14ac:dyDescent="0.25">
      <c r="A180" s="192"/>
      <c r="B180" s="27"/>
      <c r="C180" s="27"/>
      <c r="D180" s="27"/>
      <c r="E180" s="27"/>
      <c r="F180" s="27"/>
      <c r="G180" s="27"/>
      <c r="H180" s="27"/>
      <c r="I180" s="27"/>
      <c r="J180" s="27"/>
      <c r="K180" s="27"/>
    </row>
    <row r="181" spans="1:11" x14ac:dyDescent="0.25">
      <c r="A181" s="192"/>
      <c r="B181" s="27"/>
      <c r="C181" s="27"/>
      <c r="D181" s="27"/>
      <c r="E181" s="27"/>
      <c r="F181" s="27"/>
      <c r="G181" s="27"/>
      <c r="H181" s="27"/>
      <c r="I181" s="27"/>
      <c r="J181" s="27"/>
      <c r="K181" s="27"/>
    </row>
    <row r="182" spans="1:11" x14ac:dyDescent="0.25">
      <c r="A182" s="192"/>
      <c r="B182" s="27"/>
      <c r="C182" s="27"/>
      <c r="D182" s="27"/>
      <c r="E182" s="27"/>
      <c r="F182" s="27"/>
      <c r="G182" s="27"/>
      <c r="H182" s="27"/>
      <c r="I182" s="27"/>
      <c r="J182" s="27"/>
      <c r="K182" s="27"/>
    </row>
    <row r="183" spans="1:11" x14ac:dyDescent="0.25">
      <c r="A183" s="192"/>
      <c r="B183" s="27"/>
      <c r="C183" s="27"/>
      <c r="D183" s="27"/>
      <c r="E183" s="27"/>
      <c r="F183" s="27"/>
      <c r="G183" s="27"/>
      <c r="H183" s="27"/>
      <c r="I183" s="27"/>
      <c r="J183" s="27"/>
      <c r="K183" s="27"/>
    </row>
    <row r="184" spans="1:11" x14ac:dyDescent="0.25">
      <c r="A184" s="192"/>
      <c r="B184" s="27"/>
      <c r="C184" s="27"/>
      <c r="D184" s="27"/>
      <c r="E184" s="27"/>
      <c r="F184" s="27"/>
      <c r="G184" s="27"/>
      <c r="H184" s="27"/>
      <c r="I184" s="27"/>
      <c r="J184" s="27"/>
      <c r="K184" s="27"/>
    </row>
    <row r="185" spans="1:11" x14ac:dyDescent="0.25">
      <c r="A185" s="192"/>
      <c r="B185" s="27"/>
      <c r="C185" s="27"/>
      <c r="D185" s="27"/>
      <c r="E185" s="27"/>
      <c r="F185" s="27"/>
      <c r="G185" s="27"/>
      <c r="H185" s="27"/>
      <c r="I185" s="27"/>
      <c r="J185" s="27"/>
      <c r="K185" s="27"/>
    </row>
    <row r="186" spans="1:11" x14ac:dyDescent="0.25">
      <c r="A186" s="192"/>
      <c r="B186" s="27"/>
      <c r="C186" s="27"/>
      <c r="D186" s="27"/>
      <c r="E186" s="27"/>
      <c r="F186" s="27"/>
      <c r="G186" s="27"/>
      <c r="H186" s="27"/>
      <c r="I186" s="27"/>
      <c r="J186" s="27"/>
      <c r="K186" s="27"/>
    </row>
    <row r="187" spans="1:11" x14ac:dyDescent="0.25">
      <c r="A187" s="192"/>
      <c r="B187" s="27"/>
      <c r="C187" s="27"/>
      <c r="D187" s="27"/>
      <c r="E187" s="27"/>
      <c r="F187" s="27"/>
      <c r="G187" s="27"/>
      <c r="H187" s="27"/>
      <c r="I187" s="27"/>
      <c r="J187" s="27"/>
      <c r="K187" s="27"/>
    </row>
    <row r="188" spans="1:11" x14ac:dyDescent="0.25">
      <c r="A188" s="192"/>
      <c r="B188" s="27"/>
      <c r="C188" s="27"/>
      <c r="D188" s="27"/>
      <c r="E188" s="27"/>
      <c r="F188" s="27"/>
      <c r="G188" s="27"/>
      <c r="H188" s="27"/>
      <c r="I188" s="27"/>
      <c r="J188" s="27"/>
      <c r="K188" s="27"/>
    </row>
    <row r="189" spans="1:11" x14ac:dyDescent="0.25">
      <c r="A189" s="192"/>
      <c r="B189" s="27"/>
      <c r="C189" s="27"/>
      <c r="D189" s="27"/>
      <c r="E189" s="27"/>
      <c r="F189" s="27"/>
      <c r="G189" s="27"/>
      <c r="H189" s="27"/>
      <c r="I189" s="27"/>
      <c r="J189" s="27"/>
      <c r="K189" s="27"/>
    </row>
    <row r="190" spans="1:11" x14ac:dyDescent="0.25">
      <c r="A190" s="192"/>
      <c r="B190" s="27"/>
      <c r="C190" s="27"/>
      <c r="D190" s="27"/>
      <c r="E190" s="27"/>
      <c r="F190" s="27"/>
      <c r="G190" s="27"/>
      <c r="H190" s="27"/>
      <c r="I190" s="27"/>
      <c r="J190" s="27"/>
      <c r="K190" s="27"/>
    </row>
    <row r="191" spans="1:11" x14ac:dyDescent="0.25">
      <c r="A191" s="192"/>
      <c r="B191" s="27"/>
      <c r="C191" s="27"/>
      <c r="D191" s="27"/>
      <c r="E191" s="27"/>
      <c r="F191" s="27"/>
      <c r="G191" s="27"/>
      <c r="H191" s="27"/>
      <c r="I191" s="27"/>
      <c r="J191" s="27"/>
      <c r="K191" s="27"/>
    </row>
    <row r="192" spans="1:11" x14ac:dyDescent="0.25">
      <c r="A192" s="192"/>
      <c r="B192" s="27"/>
      <c r="C192" s="27"/>
      <c r="D192" s="27"/>
      <c r="E192" s="27"/>
      <c r="F192" s="27"/>
      <c r="G192" s="27"/>
      <c r="H192" s="27"/>
      <c r="I192" s="27"/>
      <c r="J192" s="27"/>
      <c r="K192" s="27"/>
    </row>
    <row r="193" spans="1:11" x14ac:dyDescent="0.25">
      <c r="A193" s="192"/>
      <c r="B193" s="27"/>
      <c r="C193" s="27"/>
      <c r="D193" s="27"/>
      <c r="E193" s="27"/>
      <c r="F193" s="27"/>
      <c r="G193" s="27"/>
      <c r="H193" s="27"/>
      <c r="I193" s="27"/>
      <c r="J193" s="27"/>
      <c r="K193" s="27"/>
    </row>
    <row r="194" spans="1:11" x14ac:dyDescent="0.25">
      <c r="A194" s="192"/>
      <c r="B194" s="27"/>
      <c r="C194" s="27"/>
      <c r="D194" s="27"/>
      <c r="E194" s="27"/>
      <c r="F194" s="27"/>
      <c r="G194" s="27"/>
      <c r="H194" s="27"/>
      <c r="I194" s="27"/>
      <c r="J194" s="27"/>
      <c r="K194" s="27"/>
    </row>
    <row r="195" spans="1:11" x14ac:dyDescent="0.25">
      <c r="A195" s="192"/>
      <c r="B195" s="27"/>
      <c r="C195" s="27"/>
      <c r="D195" s="27"/>
      <c r="E195" s="27"/>
      <c r="F195" s="27"/>
      <c r="G195" s="27"/>
      <c r="H195" s="27"/>
      <c r="I195" s="27"/>
      <c r="J195" s="27"/>
      <c r="K195" s="27"/>
    </row>
    <row r="196" spans="1:11" x14ac:dyDescent="0.25">
      <c r="A196" s="192"/>
      <c r="B196" s="27"/>
      <c r="C196" s="27"/>
      <c r="D196" s="27"/>
      <c r="E196" s="27"/>
      <c r="F196" s="27"/>
      <c r="G196" s="27"/>
      <c r="H196" s="27"/>
      <c r="I196" s="27"/>
      <c r="J196" s="27"/>
      <c r="K196" s="27"/>
    </row>
    <row r="197" spans="1:11" x14ac:dyDescent="0.25">
      <c r="A197" s="192"/>
      <c r="B197" s="27"/>
      <c r="C197" s="27"/>
      <c r="D197" s="27"/>
      <c r="E197" s="27"/>
      <c r="F197" s="27"/>
      <c r="G197" s="27"/>
      <c r="H197" s="27"/>
      <c r="I197" s="27"/>
      <c r="J197" s="27"/>
      <c r="K197" s="27"/>
    </row>
    <row r="198" spans="1:11" x14ac:dyDescent="0.25">
      <c r="A198" s="192"/>
      <c r="B198" s="27"/>
      <c r="C198" s="27"/>
      <c r="D198" s="27"/>
      <c r="E198" s="27"/>
      <c r="F198" s="27"/>
      <c r="G198" s="27"/>
      <c r="H198" s="27"/>
      <c r="I198" s="27"/>
      <c r="J198" s="27"/>
      <c r="K198" s="27"/>
    </row>
    <row r="199" spans="1:11" x14ac:dyDescent="0.25">
      <c r="A199" s="192"/>
      <c r="B199" s="27"/>
      <c r="C199" s="27"/>
      <c r="D199" s="27"/>
      <c r="E199" s="27"/>
      <c r="F199" s="27"/>
      <c r="G199" s="27"/>
      <c r="H199" s="27"/>
      <c r="I199" s="27"/>
      <c r="J199" s="27"/>
      <c r="K199" s="27"/>
    </row>
    <row r="200" spans="1:11" x14ac:dyDescent="0.25">
      <c r="A200" s="192"/>
      <c r="B200" s="27"/>
      <c r="C200" s="27"/>
      <c r="D200" s="27"/>
      <c r="E200" s="27"/>
      <c r="F200" s="27"/>
      <c r="G200" s="27"/>
      <c r="H200" s="27"/>
      <c r="I200" s="27"/>
      <c r="J200" s="27"/>
      <c r="K200" s="27"/>
    </row>
    <row r="201" spans="1:11" x14ac:dyDescent="0.25">
      <c r="A201" s="192"/>
      <c r="B201" s="27"/>
      <c r="C201" s="27"/>
      <c r="D201" s="27"/>
      <c r="E201" s="27"/>
      <c r="F201" s="27"/>
      <c r="G201" s="27"/>
      <c r="H201" s="27"/>
      <c r="I201" s="27"/>
      <c r="J201" s="27"/>
      <c r="K201" s="27"/>
    </row>
    <row r="202" spans="1:11" x14ac:dyDescent="0.25">
      <c r="A202" s="192"/>
      <c r="B202" s="27"/>
      <c r="C202" s="27"/>
      <c r="D202" s="27"/>
      <c r="E202" s="27"/>
      <c r="F202" s="27"/>
      <c r="G202" s="27"/>
      <c r="H202" s="27"/>
      <c r="I202" s="27"/>
      <c r="J202" s="27"/>
      <c r="K202" s="27"/>
    </row>
    <row r="203" spans="1:11" x14ac:dyDescent="0.25">
      <c r="A203" s="192"/>
      <c r="B203" s="27"/>
      <c r="C203" s="27"/>
      <c r="D203" s="27"/>
      <c r="E203" s="27"/>
      <c r="F203" s="27"/>
      <c r="G203" s="27"/>
      <c r="H203" s="27"/>
      <c r="I203" s="27"/>
      <c r="J203" s="27"/>
      <c r="K203" s="27"/>
    </row>
    <row r="204" spans="1:11" x14ac:dyDescent="0.25">
      <c r="A204" s="192"/>
      <c r="B204" s="27"/>
      <c r="C204" s="27"/>
      <c r="D204" s="27"/>
      <c r="E204" s="27"/>
      <c r="F204" s="27"/>
      <c r="G204" s="27"/>
      <c r="H204" s="27"/>
      <c r="I204" s="27"/>
      <c r="J204" s="27"/>
      <c r="K204" s="27"/>
    </row>
    <row r="205" spans="1:11" x14ac:dyDescent="0.25">
      <c r="A205" s="192"/>
      <c r="B205" s="27"/>
      <c r="C205" s="27"/>
      <c r="D205" s="27"/>
      <c r="E205" s="27"/>
      <c r="F205" s="27"/>
      <c r="G205" s="27"/>
      <c r="H205" s="27"/>
      <c r="I205" s="27"/>
      <c r="J205" s="27"/>
      <c r="K205" s="27"/>
    </row>
    <row r="206" spans="1:11" x14ac:dyDescent="0.25">
      <c r="A206" s="192"/>
      <c r="B206" s="27"/>
      <c r="C206" s="27"/>
      <c r="D206" s="27"/>
      <c r="E206" s="27"/>
      <c r="F206" s="27"/>
      <c r="G206" s="27"/>
      <c r="H206" s="27"/>
      <c r="I206" s="27"/>
      <c r="J206" s="27"/>
      <c r="K206" s="27"/>
    </row>
    <row r="207" spans="1:11" x14ac:dyDescent="0.25">
      <c r="A207" s="192"/>
      <c r="B207" s="27"/>
      <c r="C207" s="27"/>
      <c r="D207" s="27"/>
      <c r="E207" s="27"/>
      <c r="F207" s="27"/>
      <c r="G207" s="27"/>
      <c r="H207" s="27"/>
      <c r="I207" s="27"/>
      <c r="J207" s="27"/>
      <c r="K207" s="27"/>
    </row>
    <row r="208" spans="1:11" x14ac:dyDescent="0.25">
      <c r="A208" s="192"/>
      <c r="B208" s="27"/>
      <c r="C208" s="27"/>
      <c r="D208" s="27"/>
      <c r="E208" s="27"/>
      <c r="F208" s="27"/>
      <c r="G208" s="27"/>
      <c r="H208" s="27"/>
      <c r="I208" s="27"/>
      <c r="J208" s="27"/>
      <c r="K208" s="27"/>
    </row>
    <row r="209" spans="1:11" x14ac:dyDescent="0.25">
      <c r="A209" s="192"/>
      <c r="B209" s="27"/>
      <c r="C209" s="27"/>
      <c r="D209" s="27"/>
      <c r="E209" s="27"/>
      <c r="F209" s="27"/>
      <c r="G209" s="27"/>
      <c r="H209" s="27"/>
      <c r="I209" s="27"/>
      <c r="J209" s="27"/>
      <c r="K209" s="27"/>
    </row>
    <row r="210" spans="1:11" x14ac:dyDescent="0.25">
      <c r="A210" s="192"/>
      <c r="B210" s="27"/>
      <c r="C210" s="27"/>
      <c r="D210" s="27"/>
      <c r="E210" s="27"/>
      <c r="F210" s="27"/>
      <c r="G210" s="27"/>
      <c r="H210" s="27"/>
      <c r="I210" s="27"/>
      <c r="J210" s="27"/>
      <c r="K210" s="27"/>
    </row>
    <row r="211" spans="1:11" x14ac:dyDescent="0.25">
      <c r="A211" s="192"/>
      <c r="B211" s="27"/>
      <c r="C211" s="27"/>
      <c r="D211" s="27"/>
      <c r="E211" s="27"/>
      <c r="F211" s="27"/>
      <c r="G211" s="27"/>
      <c r="H211" s="27"/>
      <c r="I211" s="27"/>
      <c r="J211" s="27"/>
      <c r="K211" s="27"/>
    </row>
    <row r="212" spans="1:11" x14ac:dyDescent="0.25">
      <c r="A212" s="192"/>
      <c r="B212" s="27"/>
      <c r="C212" s="27"/>
      <c r="D212" s="27"/>
      <c r="E212" s="27"/>
      <c r="F212" s="27"/>
      <c r="G212" s="27"/>
      <c r="H212" s="27"/>
      <c r="I212" s="27"/>
      <c r="J212" s="27"/>
      <c r="K212" s="27"/>
    </row>
    <row r="213" spans="1:11" x14ac:dyDescent="0.25">
      <c r="A213" s="192"/>
      <c r="B213" s="27"/>
      <c r="C213" s="27"/>
      <c r="D213" s="27"/>
      <c r="E213" s="27"/>
      <c r="F213" s="27"/>
      <c r="G213" s="27"/>
      <c r="H213" s="27"/>
      <c r="I213" s="27"/>
      <c r="J213" s="27"/>
      <c r="K213" s="27"/>
    </row>
    <row r="214" spans="1:11" x14ac:dyDescent="0.25">
      <c r="A214" s="192"/>
      <c r="B214" s="27"/>
      <c r="C214" s="27"/>
      <c r="D214" s="27"/>
      <c r="E214" s="27"/>
      <c r="F214" s="27"/>
      <c r="G214" s="27"/>
      <c r="H214" s="27"/>
      <c r="I214" s="27"/>
      <c r="J214" s="27"/>
      <c r="K214" s="27"/>
    </row>
    <row r="215" spans="1:11" x14ac:dyDescent="0.25">
      <c r="A215" s="192"/>
      <c r="B215" s="27"/>
      <c r="C215" s="27"/>
      <c r="D215" s="27"/>
      <c r="E215" s="27"/>
      <c r="F215" s="27"/>
      <c r="G215" s="27"/>
      <c r="H215" s="27"/>
      <c r="I215" s="27"/>
      <c r="J215" s="27"/>
      <c r="K215" s="27"/>
    </row>
    <row r="216" spans="1:11" x14ac:dyDescent="0.25">
      <c r="A216" s="192"/>
      <c r="B216" s="27"/>
      <c r="C216" s="27"/>
      <c r="D216" s="27"/>
      <c r="E216" s="27"/>
      <c r="F216" s="27"/>
      <c r="G216" s="27"/>
      <c r="H216" s="27"/>
      <c r="I216" s="27"/>
      <c r="J216" s="27"/>
      <c r="K216" s="27"/>
    </row>
    <row r="217" spans="1:11" x14ac:dyDescent="0.25">
      <c r="A217" s="192"/>
      <c r="B217" s="27"/>
      <c r="C217" s="27"/>
      <c r="D217" s="27"/>
      <c r="E217" s="27"/>
      <c r="F217" s="27"/>
      <c r="G217" s="27"/>
      <c r="H217" s="27"/>
      <c r="I217" s="27"/>
      <c r="J217" s="27"/>
      <c r="K217" s="27"/>
    </row>
    <row r="218" spans="1:11" x14ac:dyDescent="0.25">
      <c r="A218" s="192"/>
      <c r="B218" s="27"/>
      <c r="C218" s="27"/>
      <c r="D218" s="27"/>
      <c r="E218" s="27"/>
      <c r="F218" s="27"/>
      <c r="G218" s="27"/>
      <c r="H218" s="27"/>
      <c r="I218" s="27"/>
      <c r="J218" s="27"/>
      <c r="K218" s="27"/>
    </row>
    <row r="219" spans="1:11" x14ac:dyDescent="0.25">
      <c r="A219" s="192"/>
      <c r="B219" s="27"/>
      <c r="C219" s="27"/>
      <c r="D219" s="27"/>
      <c r="E219" s="27"/>
      <c r="F219" s="27"/>
      <c r="G219" s="27"/>
      <c r="H219" s="27"/>
      <c r="I219" s="27"/>
      <c r="J219" s="27"/>
      <c r="K219" s="27"/>
    </row>
    <row r="220" spans="1:11" x14ac:dyDescent="0.25">
      <c r="A220" s="192"/>
      <c r="B220" s="27"/>
      <c r="C220" s="27"/>
      <c r="D220" s="27"/>
      <c r="E220" s="27"/>
      <c r="F220" s="27"/>
      <c r="G220" s="27"/>
      <c r="H220" s="27"/>
      <c r="I220" s="27"/>
      <c r="J220" s="27"/>
      <c r="K220" s="27"/>
    </row>
    <row r="221" spans="1:11" x14ac:dyDescent="0.25">
      <c r="A221" s="192"/>
      <c r="B221" s="27"/>
      <c r="C221" s="27"/>
      <c r="D221" s="27"/>
      <c r="E221" s="27"/>
      <c r="F221" s="27"/>
      <c r="G221" s="27"/>
      <c r="H221" s="27"/>
      <c r="I221" s="27"/>
      <c r="J221" s="27"/>
      <c r="K221" s="27"/>
    </row>
    <row r="222" spans="1:11" x14ac:dyDescent="0.25">
      <c r="A222" s="192"/>
      <c r="B222" s="27"/>
      <c r="C222" s="27"/>
      <c r="D222" s="27"/>
      <c r="E222" s="27"/>
      <c r="F222" s="27"/>
      <c r="G222" s="27"/>
      <c r="H222" s="27"/>
      <c r="I222" s="27"/>
      <c r="J222" s="27"/>
      <c r="K222" s="27"/>
    </row>
    <row r="223" spans="1:11" x14ac:dyDescent="0.25">
      <c r="A223" s="192"/>
      <c r="B223" s="27"/>
      <c r="C223" s="27"/>
      <c r="D223" s="27"/>
      <c r="E223" s="27"/>
      <c r="F223" s="27"/>
      <c r="G223" s="27"/>
      <c r="H223" s="27"/>
      <c r="I223" s="27"/>
      <c r="J223" s="27"/>
      <c r="K223" s="27"/>
    </row>
    <row r="224" spans="1:11" x14ac:dyDescent="0.25">
      <c r="A224" s="192"/>
      <c r="B224" s="27"/>
      <c r="C224" s="27"/>
      <c r="D224" s="27"/>
      <c r="E224" s="27"/>
      <c r="F224" s="27"/>
      <c r="G224" s="27"/>
      <c r="H224" s="27"/>
      <c r="I224" s="27"/>
      <c r="J224" s="27"/>
      <c r="K224" s="27"/>
    </row>
    <row r="225" spans="1:11" x14ac:dyDescent="0.25">
      <c r="A225" s="192"/>
      <c r="B225" s="27"/>
      <c r="C225" s="27"/>
      <c r="D225" s="27"/>
      <c r="E225" s="27"/>
      <c r="F225" s="27"/>
      <c r="G225" s="27"/>
      <c r="H225" s="27"/>
      <c r="I225" s="27"/>
      <c r="J225" s="27"/>
      <c r="K225" s="27"/>
    </row>
    <row r="226" spans="1:11" x14ac:dyDescent="0.25">
      <c r="A226" s="192"/>
      <c r="B226" s="27"/>
      <c r="C226" s="27"/>
      <c r="D226" s="27"/>
      <c r="E226" s="27"/>
      <c r="F226" s="27"/>
      <c r="G226" s="27"/>
      <c r="H226" s="27"/>
      <c r="I226" s="27"/>
      <c r="J226" s="27"/>
      <c r="K226" s="27"/>
    </row>
    <row r="227" spans="1:11" x14ac:dyDescent="0.25">
      <c r="A227" s="192"/>
      <c r="B227" s="27"/>
      <c r="C227" s="27"/>
      <c r="D227" s="27"/>
      <c r="E227" s="27"/>
      <c r="F227" s="27"/>
      <c r="G227" s="27"/>
      <c r="H227" s="27"/>
      <c r="I227" s="27"/>
      <c r="J227" s="27"/>
      <c r="K227" s="27"/>
    </row>
    <row r="228" spans="1:11" x14ac:dyDescent="0.25">
      <c r="A228" s="192"/>
      <c r="B228" s="27"/>
      <c r="C228" s="27"/>
      <c r="D228" s="27"/>
      <c r="E228" s="27"/>
      <c r="F228" s="27"/>
      <c r="G228" s="27"/>
      <c r="H228" s="27"/>
      <c r="I228" s="27"/>
      <c r="J228" s="27"/>
      <c r="K228" s="27"/>
    </row>
    <row r="229" spans="1:11" x14ac:dyDescent="0.25">
      <c r="A229" s="192"/>
      <c r="B229" s="27"/>
      <c r="C229" s="27"/>
      <c r="D229" s="27"/>
      <c r="E229" s="27"/>
      <c r="F229" s="27"/>
      <c r="G229" s="27"/>
      <c r="H229" s="27"/>
      <c r="I229" s="27"/>
      <c r="J229" s="27"/>
      <c r="K229" s="27"/>
    </row>
    <row r="230" spans="1:11" x14ac:dyDescent="0.25">
      <c r="A230" s="192"/>
      <c r="B230" s="27"/>
      <c r="C230" s="27"/>
      <c r="D230" s="27"/>
      <c r="E230" s="27"/>
      <c r="F230" s="27"/>
      <c r="G230" s="27"/>
      <c r="H230" s="27"/>
      <c r="I230" s="27"/>
      <c r="J230" s="27"/>
      <c r="K230" s="27"/>
    </row>
    <row r="231" spans="1:11" x14ac:dyDescent="0.25">
      <c r="A231" s="192"/>
      <c r="B231" s="27"/>
      <c r="C231" s="27"/>
      <c r="D231" s="27"/>
      <c r="E231" s="27"/>
      <c r="F231" s="27"/>
      <c r="G231" s="27"/>
      <c r="H231" s="27"/>
      <c r="I231" s="27"/>
      <c r="J231" s="27"/>
      <c r="K231" s="27"/>
    </row>
    <row r="232" spans="1:11" x14ac:dyDescent="0.25">
      <c r="A232" s="192"/>
      <c r="B232" s="27"/>
      <c r="C232" s="27"/>
      <c r="D232" s="27"/>
      <c r="E232" s="27"/>
      <c r="F232" s="27"/>
      <c r="G232" s="27"/>
      <c r="H232" s="27"/>
      <c r="I232" s="27"/>
      <c r="J232" s="27"/>
      <c r="K232" s="27"/>
    </row>
    <row r="233" spans="1:11" x14ac:dyDescent="0.25">
      <c r="A233" s="192"/>
      <c r="B233" s="27"/>
      <c r="C233" s="27"/>
      <c r="D233" s="27"/>
      <c r="E233" s="27"/>
      <c r="F233" s="27"/>
      <c r="G233" s="27"/>
      <c r="H233" s="27"/>
      <c r="I233" s="27"/>
      <c r="J233" s="27"/>
      <c r="K233" s="27"/>
    </row>
    <row r="234" spans="1:11" x14ac:dyDescent="0.25">
      <c r="A234" s="192"/>
      <c r="B234" s="27"/>
      <c r="C234" s="27"/>
      <c r="D234" s="27"/>
      <c r="E234" s="27"/>
      <c r="F234" s="27"/>
      <c r="G234" s="27"/>
      <c r="H234" s="27"/>
      <c r="I234" s="27"/>
      <c r="J234" s="27"/>
      <c r="K234" s="27"/>
    </row>
    <row r="235" spans="1:11" x14ac:dyDescent="0.25">
      <c r="A235" s="192"/>
      <c r="B235" s="27"/>
      <c r="C235" s="27"/>
      <c r="D235" s="27"/>
      <c r="E235" s="27"/>
      <c r="F235" s="27"/>
      <c r="G235" s="27"/>
      <c r="H235" s="27"/>
      <c r="I235" s="27"/>
      <c r="J235" s="27"/>
      <c r="K235" s="27"/>
    </row>
    <row r="236" spans="1:11" x14ac:dyDescent="0.25">
      <c r="A236" s="192"/>
      <c r="B236" s="27"/>
      <c r="C236" s="27"/>
      <c r="D236" s="27"/>
      <c r="E236" s="27"/>
      <c r="F236" s="27"/>
      <c r="G236" s="27"/>
      <c r="H236" s="27"/>
      <c r="I236" s="27"/>
      <c r="J236" s="27"/>
      <c r="K236" s="27"/>
    </row>
    <row r="237" spans="1:11" x14ac:dyDescent="0.25">
      <c r="A237" s="192"/>
      <c r="B237" s="27"/>
      <c r="C237" s="27"/>
      <c r="D237" s="27"/>
      <c r="E237" s="27"/>
      <c r="F237" s="27"/>
      <c r="G237" s="27"/>
      <c r="H237" s="27"/>
      <c r="I237" s="27"/>
      <c r="J237" s="27"/>
      <c r="K237" s="27"/>
    </row>
    <row r="238" spans="1:11" x14ac:dyDescent="0.25">
      <c r="A238" s="192"/>
      <c r="B238" s="27"/>
      <c r="C238" s="27"/>
      <c r="D238" s="27"/>
      <c r="E238" s="27"/>
      <c r="F238" s="27"/>
      <c r="G238" s="27"/>
      <c r="H238" s="27"/>
      <c r="I238" s="27"/>
      <c r="J238" s="27"/>
      <c r="K238" s="27"/>
    </row>
    <row r="239" spans="1:11" x14ac:dyDescent="0.25">
      <c r="A239" s="192"/>
      <c r="B239" s="27"/>
      <c r="C239" s="27"/>
      <c r="D239" s="27"/>
      <c r="E239" s="27"/>
      <c r="F239" s="27"/>
      <c r="G239" s="27"/>
      <c r="H239" s="27"/>
      <c r="I239" s="27"/>
      <c r="J239" s="27"/>
      <c r="K239" s="27"/>
    </row>
    <row r="240" spans="1:11" x14ac:dyDescent="0.25">
      <c r="A240" s="192"/>
      <c r="B240" s="27"/>
      <c r="C240" s="27"/>
      <c r="D240" s="27"/>
      <c r="E240" s="27"/>
      <c r="F240" s="27"/>
      <c r="G240" s="27"/>
      <c r="H240" s="27"/>
      <c r="I240" s="27"/>
      <c r="J240" s="27"/>
      <c r="K240" s="27"/>
    </row>
    <row r="241" spans="1:11" x14ac:dyDescent="0.25">
      <c r="A241" s="192"/>
      <c r="B241" s="27"/>
      <c r="C241" s="27"/>
      <c r="D241" s="27"/>
      <c r="E241" s="27"/>
      <c r="F241" s="27"/>
      <c r="G241" s="27"/>
      <c r="H241" s="27"/>
      <c r="I241" s="27"/>
      <c r="J241" s="27"/>
      <c r="K241" s="27"/>
    </row>
    <row r="242" spans="1:11" x14ac:dyDescent="0.25">
      <c r="A242" s="192"/>
      <c r="B242" s="27"/>
      <c r="C242" s="27"/>
      <c r="D242" s="27"/>
      <c r="E242" s="27"/>
      <c r="F242" s="27"/>
      <c r="G242" s="27"/>
      <c r="H242" s="27"/>
      <c r="I242" s="27"/>
      <c r="J242" s="27"/>
      <c r="K242" s="27"/>
    </row>
    <row r="243" spans="1:11" x14ac:dyDescent="0.25">
      <c r="A243" s="192"/>
      <c r="B243" s="27"/>
      <c r="C243" s="27"/>
      <c r="D243" s="27"/>
      <c r="E243" s="27"/>
      <c r="F243" s="27"/>
      <c r="G243" s="27"/>
      <c r="H243" s="27"/>
      <c r="I243" s="27"/>
      <c r="J243" s="27"/>
      <c r="K243" s="27"/>
    </row>
  </sheetData>
  <sheetProtection algorithmName="SHA-512" hashValue="DxY0JpgYqckPaCKOeIUTM1BaM95BHgr6ZUL9EagoT+wvzk0tYg4Qt93/FOZ3qGNALIgFTOxFbZ7ouN7FuDgrLg==" saltValue="y3XKVSZMRsjxPDLnP8nY0Q==" spinCount="100000" sheet="1" objects="1" scenarios="1"/>
  <mergeCells count="8">
    <mergeCell ref="N71:V71"/>
    <mergeCell ref="A5:J5"/>
    <mergeCell ref="M5:V5"/>
    <mergeCell ref="N70:V70"/>
    <mergeCell ref="A1:AC1"/>
    <mergeCell ref="A63:W63"/>
    <mergeCell ref="M32:M62"/>
    <mergeCell ref="M7:M31"/>
  </mergeCells>
  <conditionalFormatting sqref="N65:V65">
    <cfRule type="cellIs" dxfId="88" priority="6" operator="equal">
      <formula>$W$65</formula>
    </cfRule>
  </conditionalFormatting>
  <conditionalFormatting sqref="N66:V66">
    <cfRule type="cellIs" dxfId="87" priority="2" operator="equal">
      <formula>$W$66</formula>
    </cfRule>
    <cfRule type="cellIs" dxfId="86" priority="5" operator="equal">
      <formula>#REF!</formula>
    </cfRule>
  </conditionalFormatting>
  <conditionalFormatting sqref="N67:V67">
    <cfRule type="cellIs" dxfId="85" priority="1" operator="equal">
      <formula>$W$67</formula>
    </cfRule>
    <cfRule type="cellIs" dxfId="84" priority="3" operator="equal">
      <formula>#REF!</formula>
    </cfRule>
    <cfRule type="cellIs" dxfId="83"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134"/>
  <sheetViews>
    <sheetView topLeftCell="A8" zoomScale="85" zoomScaleNormal="85" workbookViewId="0">
      <selection activeCell="A123" sqref="A123"/>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5" bestFit="1" customWidth="1"/>
    <col min="23" max="23" width="10.7109375" style="135"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6" t="str">
        <f>Mesures_Four!G27</f>
        <v>535°C</v>
      </c>
      <c r="B1" s="377"/>
      <c r="C1" s="377"/>
      <c r="D1" s="377"/>
      <c r="E1" s="377"/>
      <c r="F1" s="377"/>
      <c r="G1" s="377"/>
      <c r="H1" s="377"/>
      <c r="I1" s="377"/>
      <c r="J1" s="377"/>
      <c r="K1" s="377"/>
      <c r="L1" s="377"/>
      <c r="M1" s="377"/>
      <c r="N1" s="377"/>
      <c r="O1" s="377"/>
      <c r="P1" s="377"/>
      <c r="Q1" s="377"/>
      <c r="R1" s="377"/>
      <c r="S1" s="377"/>
      <c r="T1" s="377"/>
      <c r="U1" s="377"/>
      <c r="V1" s="377"/>
      <c r="W1" s="377"/>
      <c r="X1" s="377"/>
      <c r="Y1" s="377"/>
      <c r="Z1" s="377"/>
      <c r="AA1" s="377"/>
      <c r="AB1" s="377"/>
      <c r="AC1" s="377"/>
    </row>
    <row r="2" spans="1:29" x14ac:dyDescent="0.25">
      <c r="A2" s="146"/>
      <c r="B2" s="135"/>
      <c r="C2" s="135"/>
      <c r="D2" s="135"/>
      <c r="E2" s="135"/>
      <c r="F2" s="135"/>
      <c r="G2" s="135"/>
      <c r="H2" s="135"/>
      <c r="I2" s="135"/>
      <c r="J2" s="135"/>
      <c r="M2" s="212" t="s">
        <v>87</v>
      </c>
      <c r="N2" s="44">
        <f>Mesures_Four!G40</f>
        <v>0</v>
      </c>
      <c r="O2" s="44">
        <f>Mesures_Four!G41</f>
        <v>0</v>
      </c>
      <c r="P2" s="44">
        <f>Mesures_Four!G42</f>
        <v>0</v>
      </c>
      <c r="Q2" s="44">
        <f>Mesures_Four!G43</f>
        <v>0</v>
      </c>
      <c r="R2" s="44">
        <f>Mesures_Four!G44</f>
        <v>0</v>
      </c>
      <c r="S2" s="44">
        <f>Mesures_Four!G45</f>
        <v>0</v>
      </c>
      <c r="T2" s="44">
        <f>Mesures_Four!G46</f>
        <v>0</v>
      </c>
      <c r="U2" s="44">
        <f>Mesures_Four!G47</f>
        <v>0</v>
      </c>
      <c r="V2" s="44">
        <f>Mesures_Four!G48</f>
        <v>0</v>
      </c>
      <c r="W2" s="211"/>
      <c r="X2" s="211"/>
      <c r="Y2" s="159"/>
    </row>
    <row r="3" spans="1:29" x14ac:dyDescent="0.25">
      <c r="B3" s="135"/>
      <c r="C3" s="135"/>
      <c r="D3" s="135"/>
      <c r="E3" s="135"/>
      <c r="F3" s="135"/>
      <c r="G3" s="135"/>
      <c r="H3" s="135"/>
      <c r="I3" s="135"/>
      <c r="J3" s="135"/>
      <c r="M3" s="212" t="s">
        <v>23</v>
      </c>
      <c r="N3" s="44">
        <f>Mesures_Four!G28</f>
        <v>0</v>
      </c>
      <c r="O3" s="44">
        <f>Mesures_Four!G29</f>
        <v>0</v>
      </c>
      <c r="P3" s="44">
        <f>Mesures_Four!G30</f>
        <v>0</v>
      </c>
      <c r="Q3" s="44">
        <f>Mesures_Four!G31</f>
        <v>0</v>
      </c>
      <c r="R3" s="44">
        <f>Mesures_Four!G32</f>
        <v>0</v>
      </c>
      <c r="S3" s="44">
        <f>Mesures_Four!G33</f>
        <v>0</v>
      </c>
      <c r="T3" s="44">
        <f>Mesures_Four!G34</f>
        <v>0</v>
      </c>
      <c r="U3" s="44">
        <f>Mesures_Four!G35</f>
        <v>0</v>
      </c>
      <c r="V3" s="44">
        <f>Mesures_Four!G36</f>
        <v>0</v>
      </c>
      <c r="W3" s="211"/>
      <c r="X3" s="159"/>
      <c r="Y3" s="159"/>
    </row>
    <row r="4" spans="1:29" x14ac:dyDescent="0.25">
      <c r="B4" s="135"/>
      <c r="C4" s="135"/>
      <c r="D4" s="135"/>
      <c r="E4" s="135"/>
      <c r="F4" s="135"/>
      <c r="G4" s="135"/>
      <c r="H4" s="135"/>
      <c r="I4" s="135"/>
      <c r="J4" s="135"/>
      <c r="M4" s="23"/>
      <c r="N4" s="211"/>
      <c r="O4" s="211"/>
      <c r="P4" s="211"/>
      <c r="Q4" s="211"/>
      <c r="R4" s="211"/>
      <c r="S4" s="211"/>
      <c r="T4" s="211"/>
      <c r="U4" s="211"/>
      <c r="V4" s="211"/>
      <c r="W4" s="211"/>
      <c r="X4" s="159"/>
      <c r="Y4" s="159"/>
    </row>
    <row r="5" spans="1:29" x14ac:dyDescent="0.25">
      <c r="A5" s="371" t="s">
        <v>344</v>
      </c>
      <c r="B5" s="371"/>
      <c r="C5" s="371"/>
      <c r="D5" s="371"/>
      <c r="E5" s="371"/>
      <c r="F5" s="371"/>
      <c r="G5" s="371"/>
      <c r="H5" s="371"/>
      <c r="I5" s="371"/>
      <c r="J5" s="371"/>
      <c r="M5" s="371" t="s">
        <v>88</v>
      </c>
      <c r="N5" s="371"/>
      <c r="O5" s="371"/>
      <c r="P5" s="371"/>
      <c r="Q5" s="371"/>
      <c r="R5" s="371"/>
      <c r="S5" s="371"/>
      <c r="T5" s="371"/>
      <c r="U5" s="371"/>
      <c r="V5" s="371"/>
      <c r="AA5"/>
      <c r="AB5"/>
      <c r="AC5"/>
    </row>
    <row r="6" spans="1:29" x14ac:dyDescent="0.25">
      <c r="A6" s="215" t="str" cm="1">
        <f t="array" ref="A6:J7">tab_transfert535[#All]</f>
        <v>Date/Heure</v>
      </c>
      <c r="B6" s="202" t="str">
        <v>Connecteur 1</v>
      </c>
      <c r="C6" s="202" t="str">
        <v>Connecteur 2</v>
      </c>
      <c r="D6" s="202" t="str">
        <v>Connecteur 3</v>
      </c>
      <c r="E6" s="202" t="str">
        <v>Connecteur 4</v>
      </c>
      <c r="F6" s="202" t="str">
        <v>Connecteur 5</v>
      </c>
      <c r="G6" s="202" t="str">
        <v>Connecteur 6</v>
      </c>
      <c r="H6" s="202" t="str">
        <v>Connecteur 7</v>
      </c>
      <c r="I6" s="202" t="str">
        <v>Connecteur 8</v>
      </c>
      <c r="J6" s="202" t="str">
        <v>Connecteur 9</v>
      </c>
      <c r="K6" s="202" t="s">
        <v>343</v>
      </c>
      <c r="M6" s="27"/>
      <c r="N6" s="202" t="str" cm="1">
        <f t="array" ref="N6:V6">tab_transfert535[[#Headers],[Connecteur 1]:[Connecteur 9]]</f>
        <v>Connecteur 1</v>
      </c>
      <c r="O6" s="216" t="str">
        <v>Connecteur 2</v>
      </c>
      <c r="P6" s="216" t="str">
        <v>Connecteur 3</v>
      </c>
      <c r="Q6" s="216" t="str">
        <v>Connecteur 4</v>
      </c>
      <c r="R6" s="216" t="str">
        <v>Connecteur 5</v>
      </c>
      <c r="S6" s="216" t="str">
        <v>Connecteur 6</v>
      </c>
      <c r="T6" s="216" t="str">
        <v>Connecteur 7</v>
      </c>
      <c r="U6" s="216" t="str">
        <v>Connecteur 8</v>
      </c>
      <c r="V6" s="216" t="str">
        <v>Connecteur 9</v>
      </c>
      <c r="W6" s="202" t="str" cm="1">
        <f t="array" ref="W6:W7">tab_four535[[#All],[Consigne T°]]</f>
        <v>Consigne T°</v>
      </c>
      <c r="Z6" s="202" t="str" cm="1">
        <f t="array" ref="Z6:AC7">tab_four535[[#All],[Date/Heure]:[Pt Chaud]]</f>
        <v>Date/Heure</v>
      </c>
      <c r="AA6" s="202" t="str">
        <v>Pt Froid</v>
      </c>
      <c r="AB6" s="202" t="str">
        <v>Regulation</v>
      </c>
      <c r="AC6" s="202" t="str">
        <v>Pt Chaud</v>
      </c>
    </row>
    <row r="7" spans="1:29" ht="14.45" customHeight="1" x14ac:dyDescent="0.25">
      <c r="A7" s="23">
        <v>0</v>
      </c>
      <c r="B7">
        <v>0</v>
      </c>
      <c r="C7">
        <v>0</v>
      </c>
      <c r="D7">
        <v>0</v>
      </c>
      <c r="E7">
        <v>0</v>
      </c>
      <c r="F7">
        <v>0</v>
      </c>
      <c r="G7">
        <v>0</v>
      </c>
      <c r="H7">
        <v>0</v>
      </c>
      <c r="I7">
        <v>0</v>
      </c>
      <c r="J7">
        <v>0</v>
      </c>
      <c r="K7" s="217"/>
      <c r="M7" s="374" t="s">
        <v>342</v>
      </c>
      <c r="N7" s="206" cm="1">
        <f t="array" ref="N7:V7">tab_transfert535[[Connecteur 1]:[Connecteur 9]]+N2:V2+N3:V3</f>
        <v>0</v>
      </c>
      <c r="O7" s="206">
        <v>0</v>
      </c>
      <c r="P7" s="206">
        <v>0</v>
      </c>
      <c r="Q7" s="206">
        <v>0</v>
      </c>
      <c r="R7" s="206">
        <v>0</v>
      </c>
      <c r="S7" s="206">
        <v>0</v>
      </c>
      <c r="T7" s="206">
        <v>0</v>
      </c>
      <c r="U7" s="206">
        <v>0</v>
      </c>
      <c r="V7" s="206">
        <v>0</v>
      </c>
      <c r="W7" s="214">
        <v>0</v>
      </c>
      <c r="Z7" s="23">
        <v>0</v>
      </c>
      <c r="AA7">
        <v>0</v>
      </c>
      <c r="AB7">
        <v>0</v>
      </c>
      <c r="AC7">
        <v>0</v>
      </c>
    </row>
    <row r="8" spans="1:29" ht="14.45" customHeight="1" x14ac:dyDescent="0.25">
      <c r="A8" s="23"/>
      <c r="B8"/>
      <c r="C8"/>
      <c r="D8"/>
      <c r="E8"/>
      <c r="F8"/>
      <c r="G8"/>
      <c r="H8"/>
      <c r="I8"/>
      <c r="J8"/>
      <c r="K8" s="217"/>
      <c r="M8" s="374"/>
      <c r="N8" s="206"/>
      <c r="O8" s="206"/>
      <c r="P8" s="206"/>
      <c r="Q8" s="206"/>
      <c r="R8" s="206"/>
      <c r="S8" s="206"/>
      <c r="T8" s="206"/>
      <c r="U8" s="206"/>
      <c r="V8" s="206"/>
      <c r="W8" s="214"/>
      <c r="Z8" s="23"/>
      <c r="AA8"/>
      <c r="AB8"/>
      <c r="AC8"/>
    </row>
    <row r="9" spans="1:29" ht="14.45" customHeight="1" x14ac:dyDescent="0.25">
      <c r="A9" s="23"/>
      <c r="B9"/>
      <c r="C9"/>
      <c r="D9"/>
      <c r="E9"/>
      <c r="F9"/>
      <c r="G9"/>
      <c r="H9"/>
      <c r="I9"/>
      <c r="J9"/>
      <c r="K9" s="217"/>
      <c r="M9" s="374"/>
      <c r="N9" s="206"/>
      <c r="O9" s="206"/>
      <c r="P9" s="206"/>
      <c r="Q9" s="206"/>
      <c r="R9" s="206"/>
      <c r="S9" s="206"/>
      <c r="T9" s="206"/>
      <c r="U9" s="206"/>
      <c r="V9" s="206"/>
      <c r="W9" s="214"/>
      <c r="Z9" s="23"/>
      <c r="AA9"/>
      <c r="AB9"/>
      <c r="AC9"/>
    </row>
    <row r="10" spans="1:29" ht="14.45" customHeight="1" x14ac:dyDescent="0.25">
      <c r="A10" s="23"/>
      <c r="B10"/>
      <c r="C10"/>
      <c r="D10"/>
      <c r="E10"/>
      <c r="F10"/>
      <c r="G10"/>
      <c r="H10"/>
      <c r="I10"/>
      <c r="J10"/>
      <c r="K10" s="217"/>
      <c r="M10" s="374"/>
      <c r="N10" s="206"/>
      <c r="O10" s="206"/>
      <c r="P10" s="206"/>
      <c r="Q10" s="206"/>
      <c r="R10" s="206"/>
      <c r="S10" s="206"/>
      <c r="T10" s="206"/>
      <c r="U10" s="206"/>
      <c r="V10" s="206"/>
      <c r="W10" s="214"/>
      <c r="Z10" s="23"/>
      <c r="AA10"/>
      <c r="AB10"/>
      <c r="AC10"/>
    </row>
    <row r="11" spans="1:29" ht="14.45" customHeight="1" x14ac:dyDescent="0.25">
      <c r="A11" s="23"/>
      <c r="B11"/>
      <c r="C11"/>
      <c r="D11"/>
      <c r="E11"/>
      <c r="F11"/>
      <c r="G11"/>
      <c r="H11"/>
      <c r="I11"/>
      <c r="J11"/>
      <c r="K11" s="217"/>
      <c r="M11" s="374"/>
      <c r="N11" s="206"/>
      <c r="O11" s="206"/>
      <c r="P11" s="206"/>
      <c r="Q11" s="206"/>
      <c r="R11" s="206"/>
      <c r="S11" s="206"/>
      <c r="T11" s="206"/>
      <c r="U11" s="206"/>
      <c r="V11" s="206"/>
      <c r="W11" s="214"/>
      <c r="Z11" s="23"/>
      <c r="AA11"/>
      <c r="AB11"/>
      <c r="AC11"/>
    </row>
    <row r="12" spans="1:29" ht="14.45" customHeight="1" x14ac:dyDescent="0.25">
      <c r="A12" s="23"/>
      <c r="B12"/>
      <c r="C12"/>
      <c r="D12"/>
      <c r="E12"/>
      <c r="F12"/>
      <c r="G12"/>
      <c r="H12"/>
      <c r="I12"/>
      <c r="J12"/>
      <c r="K12" s="217"/>
      <c r="M12" s="374"/>
      <c r="N12" s="206"/>
      <c r="O12" s="206"/>
      <c r="P12" s="206"/>
      <c r="Q12" s="206"/>
      <c r="R12" s="206"/>
      <c r="S12" s="206"/>
      <c r="T12" s="206"/>
      <c r="U12" s="206"/>
      <c r="V12" s="206"/>
      <c r="W12" s="214"/>
      <c r="Z12" s="23"/>
      <c r="AA12"/>
      <c r="AB12"/>
      <c r="AC12"/>
    </row>
    <row r="13" spans="1:29" ht="14.45" customHeight="1" x14ac:dyDescent="0.25">
      <c r="A13" s="23"/>
      <c r="B13"/>
      <c r="C13"/>
      <c r="D13"/>
      <c r="E13"/>
      <c r="F13"/>
      <c r="G13"/>
      <c r="H13"/>
      <c r="I13"/>
      <c r="J13"/>
      <c r="K13" s="217"/>
      <c r="M13" s="374"/>
      <c r="N13" s="206"/>
      <c r="O13" s="206"/>
      <c r="P13" s="206"/>
      <c r="Q13" s="206"/>
      <c r="R13" s="206"/>
      <c r="S13" s="206"/>
      <c r="T13" s="206"/>
      <c r="U13" s="206"/>
      <c r="V13" s="206"/>
      <c r="W13" s="214"/>
      <c r="Z13" s="23"/>
      <c r="AA13"/>
      <c r="AB13"/>
      <c r="AC13"/>
    </row>
    <row r="14" spans="1:29" ht="14.45" customHeight="1" x14ac:dyDescent="0.25">
      <c r="A14" s="23"/>
      <c r="B14"/>
      <c r="C14"/>
      <c r="D14"/>
      <c r="E14"/>
      <c r="F14"/>
      <c r="G14"/>
      <c r="H14"/>
      <c r="I14"/>
      <c r="J14"/>
      <c r="K14" s="217"/>
      <c r="M14" s="374"/>
      <c r="N14" s="206"/>
      <c r="O14" s="206"/>
      <c r="P14" s="206"/>
      <c r="Q14" s="206"/>
      <c r="R14" s="206"/>
      <c r="S14" s="206"/>
      <c r="T14" s="206"/>
      <c r="U14" s="206"/>
      <c r="V14" s="206"/>
      <c r="W14" s="214"/>
      <c r="Z14" s="23"/>
      <c r="AA14"/>
      <c r="AB14"/>
      <c r="AC14"/>
    </row>
    <row r="15" spans="1:29" ht="14.45" customHeight="1" x14ac:dyDescent="0.25">
      <c r="A15" s="23"/>
      <c r="B15"/>
      <c r="C15"/>
      <c r="D15"/>
      <c r="E15"/>
      <c r="F15"/>
      <c r="G15"/>
      <c r="H15"/>
      <c r="I15"/>
      <c r="J15"/>
      <c r="K15" s="217"/>
      <c r="M15" s="374"/>
      <c r="N15" s="206"/>
      <c r="O15" s="206"/>
      <c r="P15" s="206"/>
      <c r="Q15" s="206"/>
      <c r="R15" s="206"/>
      <c r="S15" s="206"/>
      <c r="T15" s="206"/>
      <c r="U15" s="206"/>
      <c r="V15" s="206"/>
      <c r="W15" s="214"/>
      <c r="Z15" s="23"/>
      <c r="AA15"/>
      <c r="AB15"/>
      <c r="AC15"/>
    </row>
    <row r="16" spans="1:29" ht="14.45" customHeight="1" x14ac:dyDescent="0.25">
      <c r="A16" s="23"/>
      <c r="B16"/>
      <c r="C16"/>
      <c r="D16"/>
      <c r="E16"/>
      <c r="F16"/>
      <c r="G16"/>
      <c r="H16"/>
      <c r="I16"/>
      <c r="J16"/>
      <c r="K16" s="217"/>
      <c r="M16" s="374"/>
      <c r="N16" s="206"/>
      <c r="O16" s="206"/>
      <c r="P16" s="206"/>
      <c r="Q16" s="206"/>
      <c r="R16" s="206"/>
      <c r="S16" s="206"/>
      <c r="T16" s="206"/>
      <c r="U16" s="206"/>
      <c r="V16" s="206"/>
      <c r="W16" s="214"/>
      <c r="Z16" s="23"/>
      <c r="AA16"/>
      <c r="AB16"/>
      <c r="AC16"/>
    </row>
    <row r="17" spans="1:29" ht="14.45" customHeight="1" x14ac:dyDescent="0.25">
      <c r="A17" s="23"/>
      <c r="B17"/>
      <c r="C17"/>
      <c r="D17"/>
      <c r="E17"/>
      <c r="F17"/>
      <c r="G17"/>
      <c r="H17"/>
      <c r="I17"/>
      <c r="J17"/>
      <c r="K17" s="217"/>
      <c r="M17" s="374"/>
      <c r="N17" s="206"/>
      <c r="O17" s="206"/>
      <c r="P17" s="206"/>
      <c r="Q17" s="206"/>
      <c r="R17" s="206"/>
      <c r="S17" s="206"/>
      <c r="T17" s="206"/>
      <c r="U17" s="206"/>
      <c r="V17" s="206"/>
      <c r="W17" s="214"/>
      <c r="Z17" s="23"/>
      <c r="AA17"/>
      <c r="AB17"/>
      <c r="AC17"/>
    </row>
    <row r="18" spans="1:29" ht="14.45" customHeight="1" x14ac:dyDescent="0.25">
      <c r="A18" s="23"/>
      <c r="B18"/>
      <c r="C18"/>
      <c r="D18"/>
      <c r="E18"/>
      <c r="F18"/>
      <c r="G18"/>
      <c r="H18"/>
      <c r="I18"/>
      <c r="J18"/>
      <c r="K18" s="217"/>
      <c r="M18" s="374"/>
      <c r="N18" s="206"/>
      <c r="O18" s="206"/>
      <c r="P18" s="206"/>
      <c r="Q18" s="206"/>
      <c r="R18" s="206"/>
      <c r="S18" s="206"/>
      <c r="T18" s="206"/>
      <c r="U18" s="206"/>
      <c r="V18" s="206"/>
      <c r="W18" s="214"/>
      <c r="Z18" s="23"/>
      <c r="AA18"/>
      <c r="AB18"/>
      <c r="AC18"/>
    </row>
    <row r="19" spans="1:29" ht="14.45" customHeight="1" x14ac:dyDescent="0.25">
      <c r="A19" s="23"/>
      <c r="B19"/>
      <c r="C19"/>
      <c r="D19"/>
      <c r="E19"/>
      <c r="F19"/>
      <c r="G19"/>
      <c r="H19"/>
      <c r="I19"/>
      <c r="J19"/>
      <c r="K19" s="217"/>
      <c r="M19" s="374"/>
      <c r="N19" s="206"/>
      <c r="O19" s="206"/>
      <c r="P19" s="206"/>
      <c r="Q19" s="206"/>
      <c r="R19" s="206"/>
      <c r="S19" s="206"/>
      <c r="T19" s="206"/>
      <c r="U19" s="206"/>
      <c r="V19" s="206"/>
      <c r="W19" s="214"/>
      <c r="Z19" s="23"/>
      <c r="AA19"/>
      <c r="AB19"/>
      <c r="AC19"/>
    </row>
    <row r="20" spans="1:29" ht="14.45" customHeight="1" x14ac:dyDescent="0.25">
      <c r="A20" s="23"/>
      <c r="B20"/>
      <c r="C20"/>
      <c r="D20"/>
      <c r="E20"/>
      <c r="F20"/>
      <c r="G20"/>
      <c r="H20"/>
      <c r="I20"/>
      <c r="J20"/>
      <c r="K20" s="217"/>
      <c r="M20" s="374"/>
      <c r="N20" s="206"/>
      <c r="O20" s="206"/>
      <c r="P20" s="206"/>
      <c r="Q20" s="206"/>
      <c r="R20" s="206"/>
      <c r="S20" s="206"/>
      <c r="T20" s="206"/>
      <c r="U20" s="206"/>
      <c r="V20" s="206"/>
      <c r="W20" s="214"/>
      <c r="Z20" s="23"/>
      <c r="AA20"/>
      <c r="AB20"/>
      <c r="AC20"/>
    </row>
    <row r="21" spans="1:29" ht="14.45" customHeight="1" x14ac:dyDescent="0.25">
      <c r="A21" s="23"/>
      <c r="B21"/>
      <c r="C21"/>
      <c r="D21"/>
      <c r="E21"/>
      <c r="F21"/>
      <c r="G21"/>
      <c r="H21"/>
      <c r="I21"/>
      <c r="J21"/>
      <c r="K21" s="217"/>
      <c r="M21" s="374"/>
      <c r="N21" s="206"/>
      <c r="O21" s="206"/>
      <c r="P21" s="206"/>
      <c r="Q21" s="206"/>
      <c r="R21" s="206"/>
      <c r="S21" s="206"/>
      <c r="T21" s="206"/>
      <c r="U21" s="206"/>
      <c r="V21" s="206"/>
      <c r="W21" s="214"/>
      <c r="Z21" s="23"/>
      <c r="AA21"/>
      <c r="AB21"/>
      <c r="AC21"/>
    </row>
    <row r="22" spans="1:29" ht="14.45" customHeight="1" x14ac:dyDescent="0.25">
      <c r="A22" s="23"/>
      <c r="B22"/>
      <c r="C22"/>
      <c r="D22"/>
      <c r="E22"/>
      <c r="F22"/>
      <c r="G22"/>
      <c r="H22"/>
      <c r="I22"/>
      <c r="J22"/>
      <c r="K22" s="217"/>
      <c r="M22" s="374"/>
      <c r="N22" s="206"/>
      <c r="O22" s="206"/>
      <c r="P22" s="206"/>
      <c r="Q22" s="206"/>
      <c r="R22" s="206"/>
      <c r="S22" s="206"/>
      <c r="T22" s="206"/>
      <c r="U22" s="206"/>
      <c r="V22" s="206"/>
      <c r="W22" s="214"/>
      <c r="Z22" s="23"/>
      <c r="AA22"/>
      <c r="AB22"/>
      <c r="AC22"/>
    </row>
    <row r="23" spans="1:29" ht="14.45" customHeight="1" x14ac:dyDescent="0.25">
      <c r="A23" s="23"/>
      <c r="B23"/>
      <c r="C23"/>
      <c r="D23"/>
      <c r="E23"/>
      <c r="F23"/>
      <c r="G23"/>
      <c r="H23"/>
      <c r="I23"/>
      <c r="J23"/>
      <c r="K23" s="217"/>
      <c r="M23" s="374"/>
      <c r="N23" s="206"/>
      <c r="O23" s="206"/>
      <c r="P23" s="206"/>
      <c r="Q23" s="206"/>
      <c r="R23" s="206"/>
      <c r="S23" s="206"/>
      <c r="T23" s="206"/>
      <c r="U23" s="206"/>
      <c r="V23" s="206"/>
      <c r="W23" s="214"/>
      <c r="Z23" s="23"/>
      <c r="AA23"/>
      <c r="AB23"/>
      <c r="AC23"/>
    </row>
    <row r="24" spans="1:29" ht="14.45" customHeight="1" x14ac:dyDescent="0.25">
      <c r="A24" s="23"/>
      <c r="B24"/>
      <c r="C24"/>
      <c r="D24"/>
      <c r="E24"/>
      <c r="F24"/>
      <c r="G24"/>
      <c r="H24"/>
      <c r="I24"/>
      <c r="J24"/>
      <c r="K24" s="217"/>
      <c r="M24" s="374"/>
      <c r="N24" s="206"/>
      <c r="O24" s="206"/>
      <c r="P24" s="206"/>
      <c r="Q24" s="206"/>
      <c r="R24" s="206"/>
      <c r="S24" s="206"/>
      <c r="T24" s="206"/>
      <c r="U24" s="206"/>
      <c r="V24" s="206"/>
      <c r="W24" s="214"/>
      <c r="Z24" s="23"/>
      <c r="AA24"/>
      <c r="AB24"/>
      <c r="AC24"/>
    </row>
    <row r="25" spans="1:29" ht="14.45" customHeight="1" x14ac:dyDescent="0.25">
      <c r="A25" s="23"/>
      <c r="B25"/>
      <c r="C25"/>
      <c r="D25"/>
      <c r="E25"/>
      <c r="F25"/>
      <c r="G25"/>
      <c r="H25"/>
      <c r="I25"/>
      <c r="J25"/>
      <c r="K25" s="217"/>
      <c r="M25" s="374"/>
      <c r="N25" s="206"/>
      <c r="O25" s="206"/>
      <c r="P25" s="206"/>
      <c r="Q25" s="206"/>
      <c r="R25" s="206"/>
      <c r="S25" s="206"/>
      <c r="T25" s="206"/>
      <c r="U25" s="206"/>
      <c r="V25" s="206"/>
      <c r="W25" s="214"/>
      <c r="Z25" s="23"/>
      <c r="AA25"/>
      <c r="AB25"/>
      <c r="AC25"/>
    </row>
    <row r="26" spans="1:29" ht="14.45" customHeight="1" x14ac:dyDescent="0.25">
      <c r="A26" s="23"/>
      <c r="B26"/>
      <c r="C26"/>
      <c r="D26"/>
      <c r="E26"/>
      <c r="F26"/>
      <c r="G26"/>
      <c r="H26"/>
      <c r="I26"/>
      <c r="J26"/>
      <c r="K26" s="217"/>
      <c r="M26" s="374"/>
      <c r="N26" s="206"/>
      <c r="O26" s="206"/>
      <c r="P26" s="206"/>
      <c r="Q26" s="206"/>
      <c r="R26" s="206"/>
      <c r="S26" s="206"/>
      <c r="T26" s="206"/>
      <c r="U26" s="206"/>
      <c r="V26" s="206"/>
      <c r="W26" s="214"/>
      <c r="Z26" s="23"/>
      <c r="AA26"/>
      <c r="AB26"/>
      <c r="AC26"/>
    </row>
    <row r="27" spans="1:29" ht="14.45" customHeight="1" x14ac:dyDescent="0.25">
      <c r="A27" s="23"/>
      <c r="B27"/>
      <c r="C27"/>
      <c r="D27"/>
      <c r="E27"/>
      <c r="F27"/>
      <c r="G27"/>
      <c r="H27"/>
      <c r="I27"/>
      <c r="J27"/>
      <c r="K27" s="217"/>
      <c r="M27" s="374"/>
      <c r="N27" s="206"/>
      <c r="O27" s="206"/>
      <c r="P27" s="206"/>
      <c r="Q27" s="206"/>
      <c r="R27" s="206"/>
      <c r="S27" s="206"/>
      <c r="T27" s="206"/>
      <c r="U27" s="206"/>
      <c r="V27" s="206"/>
      <c r="W27" s="214"/>
      <c r="Z27" s="23"/>
      <c r="AA27"/>
      <c r="AB27"/>
      <c r="AC27"/>
    </row>
    <row r="28" spans="1:29" ht="14.45" customHeight="1" x14ac:dyDescent="0.25">
      <c r="A28" s="23"/>
      <c r="B28"/>
      <c r="C28"/>
      <c r="D28"/>
      <c r="E28"/>
      <c r="F28"/>
      <c r="G28"/>
      <c r="H28"/>
      <c r="I28"/>
      <c r="J28"/>
      <c r="K28" s="217"/>
      <c r="M28" s="374"/>
      <c r="N28" s="206"/>
      <c r="O28" s="206"/>
      <c r="P28" s="206"/>
      <c r="Q28" s="206"/>
      <c r="R28" s="206"/>
      <c r="S28" s="206"/>
      <c r="T28" s="206"/>
      <c r="U28" s="206"/>
      <c r="V28" s="206"/>
      <c r="W28" s="214"/>
      <c r="Z28" s="23"/>
      <c r="AA28"/>
      <c r="AB28"/>
      <c r="AC28"/>
    </row>
    <row r="29" spans="1:29" ht="14.45" customHeight="1" x14ac:dyDescent="0.25">
      <c r="A29" s="23"/>
      <c r="B29"/>
      <c r="C29"/>
      <c r="D29"/>
      <c r="E29"/>
      <c r="F29"/>
      <c r="G29"/>
      <c r="H29"/>
      <c r="I29"/>
      <c r="J29"/>
      <c r="K29" s="217"/>
      <c r="M29" s="374"/>
      <c r="N29" s="206"/>
      <c r="O29" s="206"/>
      <c r="P29" s="206"/>
      <c r="Q29" s="206"/>
      <c r="R29" s="206"/>
      <c r="S29" s="206"/>
      <c r="T29" s="206"/>
      <c r="U29" s="206"/>
      <c r="V29" s="206"/>
      <c r="W29" s="214"/>
      <c r="Z29" s="23"/>
      <c r="AA29"/>
      <c r="AB29"/>
      <c r="AC29"/>
    </row>
    <row r="30" spans="1:29" ht="14.45" customHeight="1" x14ac:dyDescent="0.25">
      <c r="A30" s="23"/>
      <c r="B30"/>
      <c r="C30"/>
      <c r="D30"/>
      <c r="E30"/>
      <c r="F30"/>
      <c r="G30"/>
      <c r="H30"/>
      <c r="I30"/>
      <c r="J30"/>
      <c r="K30" s="217"/>
      <c r="M30" s="374"/>
      <c r="N30" s="206"/>
      <c r="O30" s="206"/>
      <c r="P30" s="206"/>
      <c r="Q30" s="206"/>
      <c r="R30" s="206"/>
      <c r="S30" s="206"/>
      <c r="T30" s="206"/>
      <c r="U30" s="206"/>
      <c r="V30" s="206"/>
      <c r="W30" s="214"/>
      <c r="Z30" s="23"/>
      <c r="AA30"/>
      <c r="AB30"/>
      <c r="AC30"/>
    </row>
    <row r="31" spans="1:29" ht="14.45" customHeight="1" x14ac:dyDescent="0.25">
      <c r="A31" s="23"/>
      <c r="B31"/>
      <c r="C31"/>
      <c r="D31"/>
      <c r="E31"/>
      <c r="F31"/>
      <c r="G31"/>
      <c r="H31"/>
      <c r="I31"/>
      <c r="J31"/>
      <c r="K31" s="217"/>
      <c r="M31" s="374"/>
      <c r="N31" s="206"/>
      <c r="O31" s="206"/>
      <c r="P31" s="206"/>
      <c r="Q31" s="206"/>
      <c r="R31" s="206"/>
      <c r="S31" s="206"/>
      <c r="T31" s="206"/>
      <c r="U31" s="206"/>
      <c r="V31" s="206"/>
      <c r="W31" s="214"/>
      <c r="Z31" s="23"/>
      <c r="AA31"/>
      <c r="AB31"/>
      <c r="AC31"/>
    </row>
    <row r="32" spans="1:29" ht="14.45" customHeight="1" x14ac:dyDescent="0.25">
      <c r="A32" s="23"/>
      <c r="B32"/>
      <c r="C32"/>
      <c r="D32"/>
      <c r="E32"/>
      <c r="F32"/>
      <c r="G32"/>
      <c r="H32"/>
      <c r="I32"/>
      <c r="J32"/>
      <c r="K32" s="217"/>
      <c r="M32" s="374"/>
      <c r="N32" s="206"/>
      <c r="O32" s="206"/>
      <c r="P32" s="206"/>
      <c r="Q32" s="206"/>
      <c r="R32" s="206"/>
      <c r="S32" s="206"/>
      <c r="T32" s="206"/>
      <c r="U32" s="206"/>
      <c r="V32" s="206"/>
      <c r="W32" s="214"/>
      <c r="Z32" s="23"/>
      <c r="AA32"/>
      <c r="AB32"/>
      <c r="AC32"/>
    </row>
    <row r="33" spans="1:29" ht="14.45" customHeight="1" x14ac:dyDescent="0.25">
      <c r="A33" s="23"/>
      <c r="B33"/>
      <c r="C33"/>
      <c r="D33"/>
      <c r="E33"/>
      <c r="F33"/>
      <c r="G33"/>
      <c r="H33"/>
      <c r="I33"/>
      <c r="J33"/>
      <c r="K33" s="217"/>
      <c r="M33" s="374"/>
      <c r="N33" s="206"/>
      <c r="O33" s="206"/>
      <c r="P33" s="206"/>
      <c r="Q33" s="206"/>
      <c r="R33" s="206"/>
      <c r="S33" s="206"/>
      <c r="T33" s="206"/>
      <c r="U33" s="206"/>
      <c r="V33" s="206"/>
      <c r="W33" s="214"/>
      <c r="Z33" s="23"/>
      <c r="AA33"/>
      <c r="AB33"/>
      <c r="AC33"/>
    </row>
    <row r="34" spans="1:29" ht="14.45" customHeight="1" x14ac:dyDescent="0.25">
      <c r="A34" s="23"/>
      <c r="B34"/>
      <c r="C34"/>
      <c r="D34"/>
      <c r="E34"/>
      <c r="F34"/>
      <c r="G34"/>
      <c r="H34"/>
      <c r="I34"/>
      <c r="J34"/>
      <c r="K34" s="217"/>
      <c r="M34" s="374"/>
      <c r="N34" s="206"/>
      <c r="O34" s="206"/>
      <c r="P34" s="206"/>
      <c r="Q34" s="206"/>
      <c r="R34" s="206"/>
      <c r="S34" s="206"/>
      <c r="T34" s="206"/>
      <c r="U34" s="206"/>
      <c r="V34" s="206"/>
      <c r="W34" s="214"/>
      <c r="Z34" s="23"/>
      <c r="AA34"/>
      <c r="AB34"/>
      <c r="AC34"/>
    </row>
    <row r="35" spans="1:29" ht="14.45" customHeight="1" x14ac:dyDescent="0.25">
      <c r="A35" s="23"/>
      <c r="B35"/>
      <c r="C35"/>
      <c r="D35"/>
      <c r="E35"/>
      <c r="F35"/>
      <c r="G35"/>
      <c r="H35"/>
      <c r="I35"/>
      <c r="J35"/>
      <c r="K35" s="217"/>
      <c r="M35" s="373" t="s">
        <v>341</v>
      </c>
      <c r="N35" s="204"/>
      <c r="O35" s="204"/>
      <c r="P35" s="204"/>
      <c r="Q35" s="204"/>
      <c r="R35" s="204"/>
      <c r="S35" s="204"/>
      <c r="T35" s="204"/>
      <c r="U35" s="204"/>
      <c r="V35" s="204"/>
      <c r="W35" s="204"/>
      <c r="Z35" s="23"/>
      <c r="AA35"/>
      <c r="AB35"/>
      <c r="AC35"/>
    </row>
    <row r="36" spans="1:29" ht="14.45" customHeight="1" x14ac:dyDescent="0.25">
      <c r="A36" s="23"/>
      <c r="B36"/>
      <c r="C36"/>
      <c r="D36"/>
      <c r="E36"/>
      <c r="F36"/>
      <c r="G36"/>
      <c r="H36"/>
      <c r="I36"/>
      <c r="J36"/>
      <c r="K36" s="217"/>
      <c r="M36" s="373"/>
      <c r="N36" s="204"/>
      <c r="O36" s="204"/>
      <c r="P36" s="204"/>
      <c r="Q36" s="204"/>
      <c r="R36" s="204"/>
      <c r="S36" s="204"/>
      <c r="T36" s="204"/>
      <c r="U36" s="204"/>
      <c r="V36" s="204"/>
      <c r="W36" s="204"/>
      <c r="Z36" s="23"/>
      <c r="AA36"/>
      <c r="AB36"/>
      <c r="AC36"/>
    </row>
    <row r="37" spans="1:29" ht="14.45" customHeight="1" x14ac:dyDescent="0.25">
      <c r="A37" s="23"/>
      <c r="B37"/>
      <c r="C37"/>
      <c r="D37"/>
      <c r="E37"/>
      <c r="F37"/>
      <c r="G37"/>
      <c r="H37"/>
      <c r="I37"/>
      <c r="J37"/>
      <c r="K37" s="217"/>
      <c r="M37" s="373"/>
      <c r="N37" s="204"/>
      <c r="O37" s="204"/>
      <c r="P37" s="204"/>
      <c r="Q37" s="204"/>
      <c r="R37" s="204"/>
      <c r="S37" s="204"/>
      <c r="T37" s="204"/>
      <c r="U37" s="204"/>
      <c r="V37" s="204"/>
      <c r="W37" s="204"/>
      <c r="Z37" s="23"/>
      <c r="AA37"/>
      <c r="AB37"/>
      <c r="AC37"/>
    </row>
    <row r="38" spans="1:29" ht="14.45" customHeight="1" x14ac:dyDescent="0.25">
      <c r="A38" s="23"/>
      <c r="B38"/>
      <c r="C38"/>
      <c r="D38"/>
      <c r="E38"/>
      <c r="F38"/>
      <c r="G38"/>
      <c r="H38"/>
      <c r="I38"/>
      <c r="J38"/>
      <c r="K38" s="217"/>
      <c r="M38" s="373"/>
      <c r="N38" s="204"/>
      <c r="O38" s="204"/>
      <c r="P38" s="204"/>
      <c r="Q38" s="204"/>
      <c r="R38" s="204"/>
      <c r="S38" s="204"/>
      <c r="T38" s="204"/>
      <c r="U38" s="204"/>
      <c r="V38" s="204"/>
      <c r="W38" s="204"/>
      <c r="Z38" s="23"/>
      <c r="AA38"/>
      <c r="AB38"/>
      <c r="AC38"/>
    </row>
    <row r="39" spans="1:29" ht="14.45" customHeight="1" x14ac:dyDescent="0.25">
      <c r="A39" s="23"/>
      <c r="B39"/>
      <c r="C39"/>
      <c r="D39"/>
      <c r="E39"/>
      <c r="F39"/>
      <c r="G39"/>
      <c r="H39"/>
      <c r="I39"/>
      <c r="J39"/>
      <c r="K39" s="217"/>
      <c r="M39" s="373"/>
      <c r="N39" s="204"/>
      <c r="O39" s="204"/>
      <c r="P39" s="204"/>
      <c r="Q39" s="204"/>
      <c r="R39" s="204"/>
      <c r="S39" s="204"/>
      <c r="T39" s="204"/>
      <c r="U39" s="204"/>
      <c r="V39" s="204"/>
      <c r="W39" s="204"/>
      <c r="Z39" s="23"/>
      <c r="AA39"/>
      <c r="AB39"/>
      <c r="AC39"/>
    </row>
    <row r="40" spans="1:29" ht="14.45" customHeight="1" x14ac:dyDescent="0.25">
      <c r="A40" s="23"/>
      <c r="B40"/>
      <c r="C40"/>
      <c r="D40"/>
      <c r="E40"/>
      <c r="F40"/>
      <c r="G40"/>
      <c r="H40"/>
      <c r="I40"/>
      <c r="J40"/>
      <c r="K40" s="217"/>
      <c r="M40" s="373"/>
      <c r="N40" s="204"/>
      <c r="O40" s="204"/>
      <c r="P40" s="204"/>
      <c r="Q40" s="204"/>
      <c r="R40" s="204"/>
      <c r="S40" s="204"/>
      <c r="T40" s="204"/>
      <c r="U40" s="204"/>
      <c r="V40" s="204"/>
      <c r="W40" s="204"/>
      <c r="Z40" s="23"/>
      <c r="AA40"/>
      <c r="AB40"/>
      <c r="AC40"/>
    </row>
    <row r="41" spans="1:29" ht="14.45" customHeight="1" x14ac:dyDescent="0.25">
      <c r="A41" s="23"/>
      <c r="B41"/>
      <c r="C41"/>
      <c r="D41"/>
      <c r="E41"/>
      <c r="F41"/>
      <c r="G41"/>
      <c r="H41"/>
      <c r="I41"/>
      <c r="J41"/>
      <c r="K41" s="217"/>
      <c r="M41" s="373"/>
      <c r="N41" s="204"/>
      <c r="O41" s="204"/>
      <c r="P41" s="204"/>
      <c r="Q41" s="204"/>
      <c r="R41" s="204"/>
      <c r="S41" s="204"/>
      <c r="T41" s="204"/>
      <c r="U41" s="204"/>
      <c r="V41" s="204"/>
      <c r="W41" s="204"/>
      <c r="Z41" s="23"/>
      <c r="AA41"/>
      <c r="AB41"/>
      <c r="AC41"/>
    </row>
    <row r="42" spans="1:29" ht="14.45" customHeight="1" x14ac:dyDescent="0.25">
      <c r="A42" s="23"/>
      <c r="B42"/>
      <c r="C42"/>
      <c r="D42"/>
      <c r="E42"/>
      <c r="F42"/>
      <c r="G42"/>
      <c r="H42"/>
      <c r="I42"/>
      <c r="J42"/>
      <c r="K42" s="217"/>
      <c r="M42" s="373"/>
      <c r="N42" s="204"/>
      <c r="O42" s="204"/>
      <c r="P42" s="204"/>
      <c r="Q42" s="204"/>
      <c r="R42" s="204"/>
      <c r="S42" s="204"/>
      <c r="T42" s="204"/>
      <c r="U42" s="204"/>
      <c r="V42" s="204"/>
      <c r="W42" s="204"/>
      <c r="Z42" s="23"/>
      <c r="AA42"/>
      <c r="AB42"/>
      <c r="AC42"/>
    </row>
    <row r="43" spans="1:29" ht="14.45" customHeight="1" x14ac:dyDescent="0.25">
      <c r="A43" s="23"/>
      <c r="B43"/>
      <c r="C43"/>
      <c r="D43"/>
      <c r="E43"/>
      <c r="F43"/>
      <c r="G43"/>
      <c r="H43"/>
      <c r="I43"/>
      <c r="J43"/>
      <c r="K43" s="217"/>
      <c r="M43" s="373"/>
      <c r="N43" s="204"/>
      <c r="O43" s="204"/>
      <c r="P43" s="204"/>
      <c r="Q43" s="204"/>
      <c r="R43" s="204"/>
      <c r="S43" s="204"/>
      <c r="T43" s="204"/>
      <c r="U43" s="204"/>
      <c r="V43" s="204"/>
      <c r="W43" s="204"/>
      <c r="Z43" s="23"/>
      <c r="AA43"/>
      <c r="AB43"/>
      <c r="AC43"/>
    </row>
    <row r="44" spans="1:29" ht="14.45" customHeight="1" x14ac:dyDescent="0.25">
      <c r="A44" s="23"/>
      <c r="B44"/>
      <c r="C44"/>
      <c r="D44"/>
      <c r="E44"/>
      <c r="F44"/>
      <c r="G44"/>
      <c r="H44"/>
      <c r="I44"/>
      <c r="J44"/>
      <c r="K44" s="217"/>
      <c r="M44" s="373"/>
      <c r="N44" s="204"/>
      <c r="O44" s="204"/>
      <c r="P44" s="204"/>
      <c r="Q44" s="204"/>
      <c r="R44" s="204"/>
      <c r="S44" s="204"/>
      <c r="T44" s="204"/>
      <c r="U44" s="204"/>
      <c r="V44" s="204"/>
      <c r="W44" s="204"/>
      <c r="Z44" s="23"/>
      <c r="AA44"/>
      <c r="AB44"/>
      <c r="AC44"/>
    </row>
    <row r="45" spans="1:29" ht="14.45" customHeight="1" x14ac:dyDescent="0.25">
      <c r="A45" s="23"/>
      <c r="B45"/>
      <c r="C45"/>
      <c r="D45"/>
      <c r="E45"/>
      <c r="F45"/>
      <c r="G45"/>
      <c r="H45"/>
      <c r="I45"/>
      <c r="J45"/>
      <c r="K45" s="217"/>
      <c r="M45" s="373"/>
      <c r="N45" s="204"/>
      <c r="O45" s="204"/>
      <c r="P45" s="204"/>
      <c r="Q45" s="204"/>
      <c r="R45" s="204"/>
      <c r="S45" s="204"/>
      <c r="T45" s="204"/>
      <c r="U45" s="204"/>
      <c r="V45" s="204"/>
      <c r="W45" s="204"/>
      <c r="Z45" s="23"/>
      <c r="AA45"/>
      <c r="AB45"/>
      <c r="AC45"/>
    </row>
    <row r="46" spans="1:29" ht="14.45" customHeight="1" x14ac:dyDescent="0.25">
      <c r="A46" s="23"/>
      <c r="B46"/>
      <c r="C46"/>
      <c r="D46"/>
      <c r="E46"/>
      <c r="F46"/>
      <c r="G46"/>
      <c r="H46"/>
      <c r="I46"/>
      <c r="J46"/>
      <c r="K46" s="217"/>
      <c r="M46" s="373"/>
      <c r="N46" s="204"/>
      <c r="O46" s="204"/>
      <c r="P46" s="204"/>
      <c r="Q46" s="204"/>
      <c r="R46" s="204"/>
      <c r="S46" s="204"/>
      <c r="T46" s="204"/>
      <c r="U46" s="204"/>
      <c r="V46" s="204"/>
      <c r="W46" s="204"/>
      <c r="Z46" s="23"/>
      <c r="AA46"/>
      <c r="AB46"/>
      <c r="AC46"/>
    </row>
    <row r="47" spans="1:29" ht="14.45" customHeight="1" x14ac:dyDescent="0.25">
      <c r="A47" s="23"/>
      <c r="B47"/>
      <c r="C47"/>
      <c r="D47"/>
      <c r="E47"/>
      <c r="F47"/>
      <c r="G47"/>
      <c r="H47"/>
      <c r="I47"/>
      <c r="J47"/>
      <c r="K47" s="217"/>
      <c r="M47" s="373"/>
      <c r="N47" s="204"/>
      <c r="O47" s="204"/>
      <c r="P47" s="204"/>
      <c r="Q47" s="204"/>
      <c r="R47" s="204"/>
      <c r="S47" s="204"/>
      <c r="T47" s="204"/>
      <c r="U47" s="204"/>
      <c r="V47" s="204"/>
      <c r="W47" s="204"/>
      <c r="Z47" s="23"/>
      <c r="AA47"/>
      <c r="AB47"/>
      <c r="AC47"/>
    </row>
    <row r="48" spans="1:29" ht="14.45" customHeight="1" x14ac:dyDescent="0.25">
      <c r="A48" s="23"/>
      <c r="B48"/>
      <c r="C48"/>
      <c r="D48"/>
      <c r="E48"/>
      <c r="F48"/>
      <c r="G48"/>
      <c r="H48"/>
      <c r="I48"/>
      <c r="J48"/>
      <c r="K48" s="217"/>
      <c r="M48" s="373"/>
      <c r="N48" s="204"/>
      <c r="O48" s="204"/>
      <c r="P48" s="204"/>
      <c r="Q48" s="204"/>
      <c r="R48" s="204"/>
      <c r="S48" s="204"/>
      <c r="T48" s="204"/>
      <c r="U48" s="204"/>
      <c r="V48" s="204"/>
      <c r="W48" s="204"/>
      <c r="Z48" s="23"/>
      <c r="AA48"/>
      <c r="AB48"/>
      <c r="AC48"/>
    </row>
    <row r="49" spans="1:29" ht="14.45" customHeight="1" x14ac:dyDescent="0.25">
      <c r="A49" s="23"/>
      <c r="B49"/>
      <c r="C49"/>
      <c r="D49"/>
      <c r="E49"/>
      <c r="F49"/>
      <c r="G49"/>
      <c r="H49"/>
      <c r="I49"/>
      <c r="J49"/>
      <c r="K49" s="217"/>
      <c r="M49" s="373"/>
      <c r="N49" s="204"/>
      <c r="O49" s="204"/>
      <c r="P49" s="204"/>
      <c r="Q49" s="204"/>
      <c r="R49" s="204"/>
      <c r="S49" s="204"/>
      <c r="T49" s="204"/>
      <c r="U49" s="204"/>
      <c r="V49" s="204"/>
      <c r="W49" s="204"/>
      <c r="Z49" s="23"/>
      <c r="AA49"/>
      <c r="AB49"/>
      <c r="AC49"/>
    </row>
    <row r="50" spans="1:29" ht="14.45" customHeight="1" x14ac:dyDescent="0.25">
      <c r="A50" s="23"/>
      <c r="B50"/>
      <c r="C50"/>
      <c r="D50"/>
      <c r="E50"/>
      <c r="F50"/>
      <c r="G50"/>
      <c r="H50"/>
      <c r="I50"/>
      <c r="J50"/>
      <c r="K50" s="217"/>
      <c r="M50" s="373"/>
      <c r="N50" s="204"/>
      <c r="O50" s="204"/>
      <c r="P50" s="204"/>
      <c r="Q50" s="204"/>
      <c r="R50" s="204"/>
      <c r="S50" s="204"/>
      <c r="T50" s="204"/>
      <c r="U50" s="204"/>
      <c r="V50" s="204"/>
      <c r="W50" s="204"/>
      <c r="Z50" s="23"/>
      <c r="AA50"/>
      <c r="AB50"/>
      <c r="AC50"/>
    </row>
    <row r="51" spans="1:29" ht="14.45" customHeight="1" x14ac:dyDescent="0.25">
      <c r="A51" s="23"/>
      <c r="B51"/>
      <c r="C51"/>
      <c r="D51"/>
      <c r="E51"/>
      <c r="F51"/>
      <c r="G51"/>
      <c r="H51"/>
      <c r="I51"/>
      <c r="J51"/>
      <c r="K51" s="217"/>
      <c r="M51" s="373"/>
      <c r="N51" s="204"/>
      <c r="O51" s="204"/>
      <c r="P51" s="204"/>
      <c r="Q51" s="204"/>
      <c r="R51" s="204"/>
      <c r="S51" s="204"/>
      <c r="T51" s="204"/>
      <c r="U51" s="204"/>
      <c r="V51" s="204"/>
      <c r="W51" s="204"/>
      <c r="Z51" s="23"/>
      <c r="AA51"/>
      <c r="AB51"/>
      <c r="AC51"/>
    </row>
    <row r="52" spans="1:29" ht="14.45" customHeight="1" x14ac:dyDescent="0.25">
      <c r="A52" s="23"/>
      <c r="B52"/>
      <c r="C52"/>
      <c r="D52"/>
      <c r="E52"/>
      <c r="F52"/>
      <c r="G52"/>
      <c r="H52"/>
      <c r="I52"/>
      <c r="J52"/>
      <c r="K52" s="217"/>
      <c r="M52" s="373"/>
      <c r="N52" s="204"/>
      <c r="O52" s="204"/>
      <c r="P52" s="204"/>
      <c r="Q52" s="204"/>
      <c r="R52" s="204"/>
      <c r="S52" s="204"/>
      <c r="T52" s="204"/>
      <c r="U52" s="204"/>
      <c r="V52" s="204"/>
      <c r="W52" s="204"/>
      <c r="Z52" s="23"/>
      <c r="AA52"/>
      <c r="AB52"/>
      <c r="AC52"/>
    </row>
    <row r="53" spans="1:29" ht="14.45" customHeight="1" x14ac:dyDescent="0.25">
      <c r="A53" s="23"/>
      <c r="B53"/>
      <c r="C53"/>
      <c r="D53"/>
      <c r="E53"/>
      <c r="F53"/>
      <c r="G53"/>
      <c r="H53"/>
      <c r="I53"/>
      <c r="J53"/>
      <c r="K53" s="217"/>
      <c r="M53" s="373"/>
      <c r="N53" s="204"/>
      <c r="O53" s="204"/>
      <c r="P53" s="204"/>
      <c r="Q53" s="204"/>
      <c r="R53" s="204"/>
      <c r="S53" s="204"/>
      <c r="T53" s="204"/>
      <c r="U53" s="204"/>
      <c r="V53" s="204"/>
      <c r="W53" s="204"/>
      <c r="Z53" s="23"/>
      <c r="AA53"/>
      <c r="AB53"/>
      <c r="AC53"/>
    </row>
    <row r="54" spans="1:29" ht="14.45" customHeight="1" x14ac:dyDescent="0.25">
      <c r="A54" s="23"/>
      <c r="B54"/>
      <c r="C54"/>
      <c r="D54"/>
      <c r="E54"/>
      <c r="F54"/>
      <c r="G54"/>
      <c r="H54"/>
      <c r="I54"/>
      <c r="J54"/>
      <c r="K54" s="217"/>
      <c r="M54" s="373"/>
      <c r="N54" s="204"/>
      <c r="O54" s="204"/>
      <c r="P54" s="204"/>
      <c r="Q54" s="204"/>
      <c r="R54" s="204"/>
      <c r="S54" s="204"/>
      <c r="T54" s="204"/>
      <c r="U54" s="204"/>
      <c r="V54" s="204"/>
      <c r="W54" s="204"/>
      <c r="Z54" s="23"/>
      <c r="AA54"/>
      <c r="AB54"/>
      <c r="AC54"/>
    </row>
    <row r="55" spans="1:29" ht="14.45" customHeight="1" x14ac:dyDescent="0.25">
      <c r="A55" s="23"/>
      <c r="B55"/>
      <c r="C55"/>
      <c r="D55"/>
      <c r="E55"/>
      <c r="F55"/>
      <c r="G55"/>
      <c r="H55"/>
      <c r="I55"/>
      <c r="J55"/>
      <c r="K55" s="217"/>
      <c r="M55" s="373"/>
      <c r="N55" s="204"/>
      <c r="O55" s="204"/>
      <c r="P55" s="204"/>
      <c r="Q55" s="204"/>
      <c r="R55" s="204"/>
      <c r="S55" s="204"/>
      <c r="T55" s="204"/>
      <c r="U55" s="204"/>
      <c r="V55" s="204"/>
      <c r="W55" s="204"/>
      <c r="Z55" s="23"/>
      <c r="AA55"/>
      <c r="AB55"/>
      <c r="AC55"/>
    </row>
    <row r="56" spans="1:29" ht="14.45" customHeight="1" x14ac:dyDescent="0.25">
      <c r="A56" s="23"/>
      <c r="B56"/>
      <c r="C56"/>
      <c r="D56"/>
      <c r="E56"/>
      <c r="F56"/>
      <c r="G56"/>
      <c r="H56"/>
      <c r="I56"/>
      <c r="J56"/>
      <c r="K56" s="217"/>
      <c r="M56" s="373"/>
      <c r="N56" s="204"/>
      <c r="O56" s="204"/>
      <c r="P56" s="204"/>
      <c r="Q56" s="204"/>
      <c r="R56" s="204"/>
      <c r="S56" s="204"/>
      <c r="T56" s="204"/>
      <c r="U56" s="204"/>
      <c r="V56" s="204"/>
      <c r="W56" s="204"/>
      <c r="Z56" s="23"/>
      <c r="AA56"/>
      <c r="AB56"/>
      <c r="AC56"/>
    </row>
    <row r="57" spans="1:29" ht="14.45" customHeight="1" x14ac:dyDescent="0.25">
      <c r="A57" s="23"/>
      <c r="B57"/>
      <c r="C57"/>
      <c r="D57"/>
      <c r="E57"/>
      <c r="F57"/>
      <c r="G57"/>
      <c r="H57"/>
      <c r="I57"/>
      <c r="J57"/>
      <c r="K57" s="217"/>
      <c r="M57" s="373"/>
      <c r="N57" s="204"/>
      <c r="O57" s="204"/>
      <c r="P57" s="204"/>
      <c r="Q57" s="204"/>
      <c r="R57" s="204"/>
      <c r="S57" s="204"/>
      <c r="T57" s="204"/>
      <c r="U57" s="204"/>
      <c r="V57" s="204"/>
      <c r="W57" s="204"/>
      <c r="Z57" s="23"/>
      <c r="AA57"/>
      <c r="AB57"/>
      <c r="AC57"/>
    </row>
    <row r="58" spans="1:29" ht="14.45" customHeight="1" x14ac:dyDescent="0.25">
      <c r="A58" s="23"/>
      <c r="B58"/>
      <c r="C58"/>
      <c r="D58"/>
      <c r="E58"/>
      <c r="F58"/>
      <c r="G58"/>
      <c r="H58"/>
      <c r="I58"/>
      <c r="J58"/>
      <c r="K58" s="217"/>
      <c r="M58" s="373"/>
      <c r="N58" s="204"/>
      <c r="O58" s="204"/>
      <c r="P58" s="204"/>
      <c r="Q58" s="204"/>
      <c r="R58" s="204"/>
      <c r="S58" s="204"/>
      <c r="T58" s="204"/>
      <c r="U58" s="204"/>
      <c r="V58" s="204"/>
      <c r="W58" s="204"/>
      <c r="Z58" s="23"/>
      <c r="AA58"/>
      <c r="AB58"/>
      <c r="AC58"/>
    </row>
    <row r="59" spans="1:29" ht="14.45" customHeight="1" x14ac:dyDescent="0.25">
      <c r="A59" s="23"/>
      <c r="B59"/>
      <c r="C59"/>
      <c r="D59"/>
      <c r="E59"/>
      <c r="F59"/>
      <c r="G59"/>
      <c r="H59"/>
      <c r="I59"/>
      <c r="J59"/>
      <c r="K59" s="217"/>
      <c r="M59" s="373"/>
      <c r="N59" s="204"/>
      <c r="O59" s="204"/>
      <c r="P59" s="204"/>
      <c r="Q59" s="204"/>
      <c r="R59" s="204"/>
      <c r="S59" s="204"/>
      <c r="T59" s="204"/>
      <c r="U59" s="204"/>
      <c r="V59" s="204"/>
      <c r="W59" s="204"/>
      <c r="Z59" s="23"/>
      <c r="AA59"/>
      <c r="AB59"/>
      <c r="AC59"/>
    </row>
    <row r="60" spans="1:29" ht="14.45" customHeight="1" x14ac:dyDescent="0.25">
      <c r="A60" s="23"/>
      <c r="B60"/>
      <c r="C60"/>
      <c r="D60"/>
      <c r="E60"/>
      <c r="F60"/>
      <c r="G60"/>
      <c r="H60"/>
      <c r="I60"/>
      <c r="J60"/>
      <c r="K60" s="217"/>
      <c r="M60" s="373"/>
      <c r="N60" s="204"/>
      <c r="O60" s="204"/>
      <c r="P60" s="204"/>
      <c r="Q60" s="204"/>
      <c r="R60" s="204"/>
      <c r="S60" s="204"/>
      <c r="T60" s="204"/>
      <c r="U60" s="204"/>
      <c r="V60" s="204"/>
      <c r="W60" s="204"/>
      <c r="Z60" s="23"/>
      <c r="AA60"/>
      <c r="AB60"/>
      <c r="AC60"/>
    </row>
    <row r="61" spans="1:29" ht="14.45" customHeight="1" x14ac:dyDescent="0.25">
      <c r="A61" s="23"/>
      <c r="B61"/>
      <c r="C61"/>
      <c r="D61"/>
      <c r="E61"/>
      <c r="F61"/>
      <c r="G61"/>
      <c r="H61"/>
      <c r="I61"/>
      <c r="J61"/>
      <c r="K61" s="217"/>
      <c r="M61" s="373"/>
      <c r="N61" s="204"/>
      <c r="O61" s="204"/>
      <c r="P61" s="204"/>
      <c r="Q61" s="204"/>
      <c r="R61" s="204"/>
      <c r="S61" s="204"/>
      <c r="T61" s="204"/>
      <c r="U61" s="204"/>
      <c r="V61" s="204"/>
      <c r="W61" s="204"/>
      <c r="Z61" s="23"/>
      <c r="AA61"/>
      <c r="AB61"/>
      <c r="AC61"/>
    </row>
    <row r="62" spans="1:29" ht="14.45" customHeight="1" x14ac:dyDescent="0.25">
      <c r="A62" s="23"/>
      <c r="B62"/>
      <c r="C62"/>
      <c r="D62"/>
      <c r="E62"/>
      <c r="F62"/>
      <c r="G62"/>
      <c r="H62"/>
      <c r="I62"/>
      <c r="J62"/>
      <c r="K62" s="217"/>
      <c r="M62" s="373"/>
      <c r="N62" s="204"/>
      <c r="O62" s="204"/>
      <c r="P62" s="204"/>
      <c r="Q62" s="204"/>
      <c r="R62" s="204"/>
      <c r="S62" s="204"/>
      <c r="T62" s="204"/>
      <c r="U62" s="204"/>
      <c r="V62" s="204"/>
      <c r="W62" s="204"/>
      <c r="Z62" s="23"/>
      <c r="AA62"/>
      <c r="AB62"/>
      <c r="AC62"/>
    </row>
    <row r="63" spans="1:29" ht="14.45" customHeight="1" x14ac:dyDescent="0.25">
      <c r="A63" s="23"/>
      <c r="B63"/>
      <c r="C63"/>
      <c r="D63"/>
      <c r="E63"/>
      <c r="F63"/>
      <c r="G63"/>
      <c r="H63"/>
      <c r="I63"/>
      <c r="J63"/>
      <c r="K63" s="217"/>
      <c r="M63" s="373"/>
      <c r="N63" s="204"/>
      <c r="O63" s="204"/>
      <c r="P63" s="204"/>
      <c r="Q63" s="204"/>
      <c r="R63" s="204"/>
      <c r="S63" s="204"/>
      <c r="T63" s="204"/>
      <c r="U63" s="204"/>
      <c r="V63" s="204"/>
      <c r="W63" s="204"/>
      <c r="Z63" s="23"/>
      <c r="AA63"/>
      <c r="AB63"/>
      <c r="AC63"/>
    </row>
    <row r="64" spans="1:29" ht="14.45" customHeight="1" x14ac:dyDescent="0.25">
      <c r="A64" s="23"/>
      <c r="B64"/>
      <c r="C64"/>
      <c r="D64"/>
      <c r="E64"/>
      <c r="F64"/>
      <c r="G64"/>
      <c r="H64"/>
      <c r="I64"/>
      <c r="J64"/>
      <c r="K64" s="217"/>
      <c r="M64" s="373"/>
      <c r="N64" s="204"/>
      <c r="O64" s="204"/>
      <c r="P64" s="204"/>
      <c r="Q64" s="204"/>
      <c r="R64" s="204"/>
      <c r="S64" s="204"/>
      <c r="T64" s="204"/>
      <c r="U64" s="204"/>
      <c r="V64" s="204"/>
      <c r="W64" s="204"/>
      <c r="Z64" s="23"/>
      <c r="AA64"/>
      <c r="AB64"/>
      <c r="AC64"/>
    </row>
    <row r="65" spans="1:29" ht="14.45" customHeight="1" x14ac:dyDescent="0.25">
      <c r="A65" s="23"/>
      <c r="B65"/>
      <c r="C65"/>
      <c r="D65"/>
      <c r="E65"/>
      <c r="F65"/>
      <c r="G65"/>
      <c r="H65"/>
      <c r="I65"/>
      <c r="J65"/>
      <c r="K65" s="217"/>
      <c r="M65" s="373"/>
      <c r="N65" s="204"/>
      <c r="O65" s="204"/>
      <c r="P65" s="204"/>
      <c r="Q65" s="204"/>
      <c r="R65" s="204"/>
      <c r="S65" s="204"/>
      <c r="T65" s="204"/>
      <c r="U65" s="204"/>
      <c r="V65" s="204"/>
      <c r="W65" s="204"/>
      <c r="Z65" s="23"/>
      <c r="AA65"/>
      <c r="AB65"/>
      <c r="AC65"/>
    </row>
    <row r="66" spans="1:29" ht="14.45" customHeight="1" x14ac:dyDescent="0.25">
      <c r="A66" s="375"/>
      <c r="B66" s="375"/>
      <c r="C66" s="375"/>
      <c r="D66" s="375"/>
      <c r="E66" s="375"/>
      <c r="F66" s="375"/>
      <c r="G66" s="375"/>
      <c r="H66" s="375"/>
      <c r="I66" s="375"/>
      <c r="J66" s="375"/>
      <c r="K66" s="375"/>
      <c r="L66" s="375"/>
      <c r="M66" s="375"/>
      <c r="N66" s="375"/>
      <c r="O66" s="375"/>
      <c r="P66" s="375"/>
      <c r="Q66" s="375"/>
      <c r="R66" s="375"/>
      <c r="S66" s="375"/>
      <c r="T66" s="375"/>
      <c r="U66" s="375"/>
      <c r="V66" s="375"/>
      <c r="W66" s="375"/>
      <c r="Z66" s="23"/>
      <c r="AA66"/>
      <c r="AB66"/>
      <c r="AC66"/>
    </row>
    <row r="67" spans="1:29" ht="14.45" customHeight="1" x14ac:dyDescent="0.25">
      <c r="A67" s="23"/>
      <c r="B67"/>
      <c r="C67"/>
      <c r="D67"/>
      <c r="E67"/>
      <c r="F67"/>
      <c r="G67"/>
      <c r="H67"/>
      <c r="I67"/>
      <c r="J67"/>
      <c r="K67" s="217"/>
      <c r="M67" s="146"/>
      <c r="N67" s="146"/>
      <c r="O67" s="146"/>
      <c r="P67" s="146"/>
      <c r="Q67" s="146"/>
      <c r="R67" s="146"/>
      <c r="S67" s="146"/>
      <c r="T67" s="146"/>
      <c r="U67" s="146"/>
      <c r="V67" s="146"/>
      <c r="W67" s="146"/>
      <c r="Z67" s="23"/>
      <c r="AA67"/>
      <c r="AB67"/>
      <c r="AC67"/>
    </row>
    <row r="68" spans="1:29" ht="14.45" customHeight="1" x14ac:dyDescent="0.25">
      <c r="A68" s="23"/>
      <c r="B68"/>
      <c r="C68"/>
      <c r="D68"/>
      <c r="E68"/>
      <c r="F68"/>
      <c r="G68"/>
      <c r="H68"/>
      <c r="I68"/>
      <c r="J68"/>
      <c r="K68" s="217"/>
      <c r="M68" s="92" t="s">
        <v>90</v>
      </c>
      <c r="N68" s="218">
        <f>MAX(tab_transfert535[Connecteur 1])+N$2+N$3</f>
        <v>0</v>
      </c>
      <c r="O68" s="218">
        <f>MAX(tab_transfert535[Connecteur 2])+O$2+O$3</f>
        <v>0</v>
      </c>
      <c r="P68" s="218">
        <f>MAX(tab_transfert535[Connecteur 3])+P$2+P$3</f>
        <v>0</v>
      </c>
      <c r="Q68" s="218">
        <f>MAX(tab_transfert535[Connecteur 4])+Q$2+Q$3</f>
        <v>0</v>
      </c>
      <c r="R68" s="218">
        <f>MAX(tab_transfert535[Connecteur 5])+R$2+R$3</f>
        <v>0</v>
      </c>
      <c r="S68" s="218">
        <f>MAX(tab_transfert535[Connecteur 6])+S$2+S$3</f>
        <v>0</v>
      </c>
      <c r="T68" s="218">
        <f>MAX(tab_transfert535[Connecteur 7])+T$2+T$3</f>
        <v>0</v>
      </c>
      <c r="U68" s="218">
        <f>MAX(tab_transfert535[Connecteur 8])+U$2+U$3</f>
        <v>0</v>
      </c>
      <c r="V68" s="218">
        <f>MAX(tab_transfert535[Connecteur 9])+V$2+V$3</f>
        <v>0</v>
      </c>
      <c r="W68" s="201">
        <f>MAX(N68:V68)</f>
        <v>0</v>
      </c>
      <c r="Z68" s="23"/>
      <c r="AA68"/>
      <c r="AB68"/>
      <c r="AC68"/>
    </row>
    <row r="69" spans="1:29" ht="14.45" customHeight="1" x14ac:dyDescent="0.25">
      <c r="A69" s="23"/>
      <c r="B69"/>
      <c r="C69"/>
      <c r="D69"/>
      <c r="E69"/>
      <c r="F69"/>
      <c r="G69"/>
      <c r="H69"/>
      <c r="I69"/>
      <c r="J69"/>
      <c r="K69" s="217"/>
      <c r="M69" s="92" t="s">
        <v>91</v>
      </c>
      <c r="N69" s="218" t="e">
        <f ca="1">MAX(OFFSET(INDEX(tab_transfert535[Connecteur 1],1),COUNT(tab_transfert535[Connecteur 1])-30,0,30))+N$2+N$3</f>
        <v>#REF!</v>
      </c>
      <c r="O69" s="218" t="e">
        <f ca="1">MAX(OFFSET(INDEX(tab_transfert535[Connecteur 2],1),COUNT(tab_transfert535[Connecteur 2])-30,0,30))+O$2+O$3</f>
        <v>#REF!</v>
      </c>
      <c r="P69" s="218" t="e">
        <f ca="1">MAX(OFFSET(INDEX(tab_transfert535[Connecteur 3],1),COUNT(tab_transfert535[Connecteur 3])-30,0,30))+P$2+P$3</f>
        <v>#REF!</v>
      </c>
      <c r="Q69" s="218" t="e">
        <f ca="1">MAX(OFFSET(INDEX(tab_transfert535[Connecteur 4],1),COUNT(tab_transfert535[Connecteur 4])-30,0,30))+Q$2+Q$3</f>
        <v>#REF!</v>
      </c>
      <c r="R69" s="218" t="e">
        <f ca="1">MAX(OFFSET(INDEX(tab_transfert535[Connecteur 5],1),COUNT(tab_transfert535[Connecteur 5])-30,0,30))+R$2+R$3</f>
        <v>#REF!</v>
      </c>
      <c r="S69" s="218" t="e">
        <f ca="1">MAX(OFFSET(INDEX(tab_transfert535[Connecteur 6],1),COUNT(tab_transfert535[Connecteur 6])-30,0,30))+S$2+S$3</f>
        <v>#REF!</v>
      </c>
      <c r="T69" s="218" t="e">
        <f ca="1">MAX(OFFSET(INDEX(tab_transfert535[Connecteur 7],1),COUNT(tab_transfert535[Connecteur 7])-30,0,30))+T$2+T$3</f>
        <v>#REF!</v>
      </c>
      <c r="U69" s="218" t="e">
        <f ca="1">MAX(OFFSET(INDEX(tab_transfert535[Connecteur 8],1),COUNT(tab_transfert535[Connecteur 8])-30,0,30))+U$2+U$3</f>
        <v>#REF!</v>
      </c>
      <c r="V69" s="218" t="e">
        <f ca="1">MAX(OFFSET(INDEX(tab_transfert535[Connecteur 9],1),COUNT(tab_transfert535[Connecteur 9])-30,0,30))+V$2+V$3</f>
        <v>#REF!</v>
      </c>
      <c r="W69" s="201" t="e">
        <f ca="1">MAX(N69:V69)</f>
        <v>#REF!</v>
      </c>
      <c r="Z69" s="23"/>
      <c r="AA69"/>
      <c r="AB69"/>
      <c r="AC69"/>
    </row>
    <row r="70" spans="1:29" ht="14.45" customHeight="1" x14ac:dyDescent="0.25">
      <c r="A70" s="23"/>
      <c r="B70"/>
      <c r="C70"/>
      <c r="D70"/>
      <c r="E70"/>
      <c r="F70"/>
      <c r="G70"/>
      <c r="H70"/>
      <c r="I70"/>
      <c r="J70"/>
      <c r="K70" s="217"/>
      <c r="M70" s="92" t="s">
        <v>93</v>
      </c>
      <c r="N70" s="218" t="e">
        <f ca="1">MIN(OFFSET(INDEX(tab_transfert535[Connecteur 1],1),COUNT(tab_transfert535[Connecteur 1])-30,0,30))+N$2+N$3</f>
        <v>#REF!</v>
      </c>
      <c r="O70" s="218" t="e">
        <f ca="1">MIN(OFFSET(INDEX(tab_transfert535[Connecteur 2],1),COUNT(tab_transfert535[Connecteur 2])-30,0,30))+O$2+O$3</f>
        <v>#REF!</v>
      </c>
      <c r="P70" s="218" t="e">
        <f ca="1">MIN(OFFSET(INDEX(tab_transfert535[Connecteur 3],1),COUNT(tab_transfert535[Connecteur 3])-30,0,30))+P$2+P$3</f>
        <v>#REF!</v>
      </c>
      <c r="Q70" s="218" t="e">
        <f ca="1">MIN(OFFSET(INDEX(tab_transfert535[Connecteur 4],1),COUNT(tab_transfert535[Connecteur 4])-30,0,30))+Q$2+Q$3</f>
        <v>#REF!</v>
      </c>
      <c r="R70" s="218" t="e">
        <f ca="1">MIN(OFFSET(INDEX(tab_transfert535[Connecteur 5],1),COUNT(tab_transfert535[Connecteur 5])-30,0,30))+R$2+R$3</f>
        <v>#REF!</v>
      </c>
      <c r="S70" s="218" t="e">
        <f ca="1">MIN(OFFSET(INDEX(tab_transfert535[Connecteur 6],1),COUNT(tab_transfert535[Connecteur 6])-30,0,30))+S$2+S$3</f>
        <v>#REF!</v>
      </c>
      <c r="T70" s="218" t="e">
        <f ca="1">MIN(OFFSET(INDEX(tab_transfert535[Connecteur 7],1),COUNT(tab_transfert535[Connecteur 7])-30,0,30))+T$2+T$3</f>
        <v>#REF!</v>
      </c>
      <c r="U70" s="218" t="e">
        <f ca="1">MIN(OFFSET(INDEX(tab_transfert535[Connecteur 8],1),COUNT(tab_transfert535[Connecteur 8])-30,0,30))+U$2+U$3</f>
        <v>#REF!</v>
      </c>
      <c r="V70" s="218" t="e">
        <f ca="1">MIN(OFFSET(INDEX(tab_transfert535[Connecteur 9],1),COUNT(tab_transfert535[Connecteur 9])-30,0,30))+V$2+V$3</f>
        <v>#REF!</v>
      </c>
      <c r="W70" s="201" t="e">
        <f ca="1">MIN(N70:V70)</f>
        <v>#REF!</v>
      </c>
      <c r="Z70" s="23"/>
      <c r="AA70"/>
      <c r="AB70"/>
      <c r="AC70"/>
    </row>
    <row r="71" spans="1:29" ht="14.45" customHeight="1" x14ac:dyDescent="0.25">
      <c r="A71" s="23"/>
      <c r="B71"/>
      <c r="C71"/>
      <c r="D71"/>
      <c r="E71"/>
      <c r="F71"/>
      <c r="G71"/>
      <c r="H71"/>
      <c r="I71"/>
      <c r="J71"/>
      <c r="K71" s="217"/>
      <c r="M71" s="92" t="s">
        <v>95</v>
      </c>
      <c r="N71" s="218" t="e">
        <f ca="1">AVERAGE(OFFSET(INDEX(tab_transfert535[Connecteur 1],1),COUNT(tab_transfert535[Connecteur 1])-30,0,30))+N$2+N$3</f>
        <v>#REF!</v>
      </c>
      <c r="O71" s="218" t="e">
        <f ca="1">AVERAGE(OFFSET(INDEX(tab_transfert535[Connecteur 2],1),COUNT(tab_transfert535[Connecteur 2])-30,0,30))+O$2+O$3</f>
        <v>#REF!</v>
      </c>
      <c r="P71" s="218" t="e">
        <f ca="1">AVERAGE(OFFSET(INDEX(tab_transfert535[Connecteur 3],1),COUNT(tab_transfert535[Connecteur 3])-30,0,30))+P$2+P$3</f>
        <v>#REF!</v>
      </c>
      <c r="Q71" s="218" t="e">
        <f ca="1">AVERAGE(OFFSET(INDEX(tab_transfert535[Connecteur 4],1),COUNT(tab_transfert535[Connecteur 4])-30,0,30))+Q$2+Q$3</f>
        <v>#REF!</v>
      </c>
      <c r="R71" s="218" t="e">
        <f ca="1">AVERAGE(OFFSET(INDEX(tab_transfert535[Connecteur 5],1),COUNT(tab_transfert535[Connecteur 5])-30,0,30))+R$2+R$3</f>
        <v>#REF!</v>
      </c>
      <c r="S71" s="218" t="e">
        <f ca="1">AVERAGE(OFFSET(INDEX(tab_transfert535[Connecteur 6],1),COUNT(tab_transfert535[Connecteur 6])-30,0,30))+S$2+S$3</f>
        <v>#REF!</v>
      </c>
      <c r="T71" s="218" t="e">
        <f ca="1">AVERAGE(OFFSET(INDEX(tab_transfert535[Connecteur 7],1),COUNT(tab_transfert535[Connecteur 7])-30,0,30))+T$2+T$3</f>
        <v>#REF!</v>
      </c>
      <c r="U71" s="218" t="e">
        <f ca="1">AVERAGE(OFFSET(INDEX(tab_transfert535[Connecteur 8],1),COUNT(tab_transfert535[Connecteur 8])-30,0,30))+U$2+U$3</f>
        <v>#REF!</v>
      </c>
      <c r="V71" s="218" t="e">
        <f ca="1">AVERAGE(OFFSET(INDEX(tab_transfert535[Connecteur 9],1),COUNT(tab_transfert535[Connecteur 9])-30,0,30))+V$2+V$3</f>
        <v>#REF!</v>
      </c>
      <c r="Z71" s="23"/>
      <c r="AA71"/>
      <c r="AB71"/>
      <c r="AC71"/>
    </row>
    <row r="72" spans="1:29" ht="14.45" customHeight="1" x14ac:dyDescent="0.25">
      <c r="A72" s="23"/>
      <c r="B72"/>
      <c r="C72"/>
      <c r="D72"/>
      <c r="E72"/>
      <c r="F72"/>
      <c r="G72"/>
      <c r="H72"/>
      <c r="I72"/>
      <c r="J72"/>
      <c r="K72" s="217"/>
      <c r="M72" s="92" t="s">
        <v>96</v>
      </c>
      <c r="N72" s="218" t="e">
        <f ca="1">N69-N70</f>
        <v>#REF!</v>
      </c>
      <c r="O72" s="218" t="e">
        <f t="shared" ref="O72:V72" ca="1" si="0">O69-O70</f>
        <v>#REF!</v>
      </c>
      <c r="P72" s="218" t="e">
        <f t="shared" ca="1" si="0"/>
        <v>#REF!</v>
      </c>
      <c r="Q72" s="218" t="e">
        <f t="shared" ca="1" si="0"/>
        <v>#REF!</v>
      </c>
      <c r="R72" s="218" t="e">
        <f t="shared" ca="1" si="0"/>
        <v>#REF!</v>
      </c>
      <c r="S72" s="218" t="e">
        <f t="shared" ca="1" si="0"/>
        <v>#REF!</v>
      </c>
      <c r="T72" s="218" t="e">
        <f t="shared" ca="1" si="0"/>
        <v>#REF!</v>
      </c>
      <c r="U72" s="218" t="e">
        <f t="shared" ca="1" si="0"/>
        <v>#REF!</v>
      </c>
      <c r="V72" s="218" t="e">
        <f t="shared" ca="1" si="0"/>
        <v>#REF!</v>
      </c>
      <c r="Z72" s="23"/>
      <c r="AA72"/>
      <c r="AB72"/>
      <c r="AC72"/>
    </row>
    <row r="73" spans="1:29" ht="14.45" customHeight="1" x14ac:dyDescent="0.25">
      <c r="A73" s="23"/>
      <c r="B73"/>
      <c r="C73"/>
      <c r="D73"/>
      <c r="E73"/>
      <c r="F73"/>
      <c r="G73"/>
      <c r="H73"/>
      <c r="I73"/>
      <c r="J73"/>
      <c r="K73" s="217"/>
      <c r="M73" s="92" t="s">
        <v>97</v>
      </c>
      <c r="N73" s="372" t="e">
        <f ca="1">ABS(MAX(N69:V69) - MIN(N70:V70))</f>
        <v>#REF!</v>
      </c>
      <c r="O73" s="372"/>
      <c r="P73" s="372"/>
      <c r="Q73" s="372"/>
      <c r="R73" s="372"/>
      <c r="S73" s="372"/>
      <c r="T73" s="372"/>
      <c r="U73" s="372"/>
      <c r="V73" s="372"/>
      <c r="W73" s="135" t="e">
        <f ca="1">N73</f>
        <v>#REF!</v>
      </c>
      <c r="Z73" s="23"/>
      <c r="AA73"/>
      <c r="AB73"/>
      <c r="AC73"/>
    </row>
    <row r="74" spans="1:29" ht="14.45" customHeight="1" x14ac:dyDescent="0.25">
      <c r="A74" s="23"/>
      <c r="B74"/>
      <c r="C74"/>
      <c r="D74"/>
      <c r="E74"/>
      <c r="F74"/>
      <c r="G74"/>
      <c r="H74"/>
      <c r="I74"/>
      <c r="J74"/>
      <c r="K74" s="217"/>
      <c r="M74" s="92" t="s">
        <v>98</v>
      </c>
      <c r="N74" s="372" t="e">
        <f ca="1">AVERAGE(N71:V71)</f>
        <v>#REF!</v>
      </c>
      <c r="O74" s="372"/>
      <c r="P74" s="372"/>
      <c r="Q74" s="372"/>
      <c r="R74" s="372"/>
      <c r="S74" s="372"/>
      <c r="T74" s="372"/>
      <c r="U74" s="372"/>
      <c r="V74" s="372"/>
      <c r="W74" s="135" t="e">
        <f ca="1">N74</f>
        <v>#REF!</v>
      </c>
      <c r="Z74" s="23"/>
      <c r="AA74"/>
      <c r="AB74"/>
      <c r="AC74"/>
    </row>
    <row r="75" spans="1:29" ht="14.45" customHeight="1" x14ac:dyDescent="0.25">
      <c r="A75" s="23"/>
      <c r="B75"/>
      <c r="C75"/>
      <c r="D75"/>
      <c r="E75"/>
      <c r="F75"/>
      <c r="G75"/>
      <c r="H75"/>
      <c r="I75"/>
      <c r="J75"/>
      <c r="K75" s="217"/>
      <c r="M75" s="197" t="s">
        <v>340</v>
      </c>
      <c r="N75" s="43" t="str" cm="1">
        <f t="array" ref="N75:V75">tab_transfert535[[#Headers],[Connecteur 1]:[Connecteur 9]]</f>
        <v>Connecteur 1</v>
      </c>
      <c r="O75" s="43" t="str">
        <v>Connecteur 2</v>
      </c>
      <c r="P75" s="43" t="str">
        <v>Connecteur 3</v>
      </c>
      <c r="Q75" s="43" t="str">
        <v>Connecteur 4</v>
      </c>
      <c r="R75" s="43" t="str">
        <v>Connecteur 5</v>
      </c>
      <c r="S75" s="43" t="str">
        <v>Connecteur 6</v>
      </c>
      <c r="T75" s="43" t="str">
        <v>Connecteur 7</v>
      </c>
      <c r="U75" s="43" t="str">
        <v>Connecteur 8</v>
      </c>
      <c r="V75" s="43" t="str">
        <v>Connecteur 9</v>
      </c>
      <c r="Z75" s="23"/>
      <c r="AA75"/>
      <c r="AB75"/>
      <c r="AC75"/>
    </row>
    <row r="76" spans="1:29" ht="14.45" customHeight="1" x14ac:dyDescent="0.25">
      <c r="A76" s="23"/>
      <c r="B76"/>
      <c r="C76"/>
      <c r="D76"/>
      <c r="E76"/>
      <c r="F76"/>
      <c r="G76"/>
      <c r="H76"/>
      <c r="I76"/>
      <c r="J76"/>
      <c r="K76" s="217"/>
      <c r="M76" s="194" t="s">
        <v>339</v>
      </c>
      <c r="N76" s="219" t="e">
        <f ca="1">_xlfn.STDEV.S(OFFSET(INDEX(tab_transfert535[Connecteur 1],1),COUNT(tab_transfert535[Connecteur 1])-30,0,30))</f>
        <v>#REF!</v>
      </c>
      <c r="O76" s="219" t="e">
        <f ca="1">_xlfn.STDEV.S(OFFSET(INDEX(tab_transfert535[Connecteur 2],1),COUNT(tab_transfert535[Connecteur 2])-30,0,30))</f>
        <v>#REF!</v>
      </c>
      <c r="P76" s="219" t="e">
        <f ca="1">_xlfn.STDEV.S(OFFSET(INDEX(tab_transfert535[Connecteur 3],1),COUNT(tab_transfert535[Connecteur 3])-30,0,30))</f>
        <v>#REF!</v>
      </c>
      <c r="Q76" s="219" t="e">
        <f ca="1">_xlfn.STDEV.S(OFFSET(INDEX(tab_transfert535[Connecteur 4],1),COUNT(tab_transfert535[Connecteur 4])-30,0,30))</f>
        <v>#REF!</v>
      </c>
      <c r="R76" s="219" t="e">
        <f ca="1">_xlfn.STDEV.S(OFFSET(INDEX(tab_transfert535[Connecteur 5],1),COUNT(tab_transfert535[Connecteur 5])-30,0,30))</f>
        <v>#REF!</v>
      </c>
      <c r="S76" s="219" t="e">
        <f ca="1">_xlfn.STDEV.S(OFFSET(INDEX(tab_transfert535[Connecteur 6],1),COUNT(tab_transfert535[Connecteur 6])-30,0,30))</f>
        <v>#REF!</v>
      </c>
      <c r="T76" s="219" t="e">
        <f ca="1">_xlfn.STDEV.S(OFFSET(INDEX(tab_transfert535[Connecteur 7],1),COUNT(tab_transfert535[Connecteur 7])-30,0,30))</f>
        <v>#REF!</v>
      </c>
      <c r="U76" s="219" t="e">
        <f ca="1">_xlfn.STDEV.S(OFFSET(INDEX(tab_transfert535[Connecteur 8],1),COUNT(tab_transfert535[Connecteur 8])-30,0,30))</f>
        <v>#REF!</v>
      </c>
      <c r="V76" s="219" t="e">
        <f ca="1">_xlfn.STDEV.S(OFFSET(INDEX(tab_transfert535[Connecteur 9],1),COUNT(tab_transfert535[Connecteur 9])-30,0,30))</f>
        <v>#REF!</v>
      </c>
      <c r="W76" s="195" t="e">
        <f ca="1">MAX(N76:V76)</f>
        <v>#REF!</v>
      </c>
      <c r="Z76" s="23"/>
      <c r="AA76"/>
      <c r="AB76"/>
      <c r="AC76"/>
    </row>
    <row r="77" spans="1:29" ht="14.45" customHeight="1" x14ac:dyDescent="0.25">
      <c r="A77" s="23"/>
      <c r="B77"/>
      <c r="C77"/>
      <c r="D77"/>
      <c r="E77"/>
      <c r="F77"/>
      <c r="G77"/>
      <c r="H77"/>
      <c r="I77"/>
      <c r="J77"/>
      <c r="K77" s="217"/>
      <c r="Z77" s="23"/>
      <c r="AA77"/>
      <c r="AB77"/>
      <c r="AC77"/>
    </row>
    <row r="78" spans="1:29" ht="14.45" customHeight="1" x14ac:dyDescent="0.25">
      <c r="A78" s="23"/>
      <c r="B78"/>
      <c r="C78"/>
      <c r="D78"/>
      <c r="E78"/>
      <c r="F78"/>
      <c r="G78"/>
      <c r="H78"/>
      <c r="I78"/>
      <c r="J78"/>
      <c r="K78" s="217"/>
      <c r="M78" s="194" t="s">
        <v>338</v>
      </c>
      <c r="N78" s="193" t="e">
        <f ca="1">W69-(OFFSET(INDEX(tab_four535[Consigne T°],1),COUNT(tab_four535[Consigne T°])-30,0,1))</f>
        <v>#REF!</v>
      </c>
      <c r="Z78" s="23"/>
      <c r="AA78"/>
      <c r="AB78"/>
      <c r="AC78"/>
    </row>
    <row r="79" spans="1:29" ht="14.45" customHeight="1" x14ac:dyDescent="0.25">
      <c r="A79" s="23"/>
      <c r="B79"/>
      <c r="C79"/>
      <c r="D79"/>
      <c r="E79"/>
      <c r="F79"/>
      <c r="G79"/>
      <c r="H79"/>
      <c r="I79"/>
      <c r="J79"/>
      <c r="K79" s="217"/>
      <c r="M79" s="194" t="s">
        <v>337</v>
      </c>
      <c r="N79" s="193" t="e">
        <f ca="1">W70-(OFFSET(INDEX(tab_four535[Consigne T°],1),COUNT(tab_four535[Consigne T°])-30,0,1))</f>
        <v>#REF!</v>
      </c>
      <c r="Z79" s="23"/>
      <c r="AA79"/>
      <c r="AB79"/>
      <c r="AC79"/>
    </row>
    <row r="80" spans="1:29" ht="14.45" customHeight="1" x14ac:dyDescent="0.25">
      <c r="A80" s="23"/>
      <c r="B80"/>
      <c r="C80"/>
      <c r="D80"/>
      <c r="E80"/>
      <c r="F80"/>
      <c r="G80"/>
      <c r="H80"/>
      <c r="I80"/>
      <c r="J80"/>
      <c r="K80" s="217"/>
      <c r="Z80" s="23"/>
      <c r="AA80"/>
      <c r="AB80"/>
      <c r="AC80"/>
    </row>
    <row r="81" spans="1:29" ht="14.45" customHeight="1" x14ac:dyDescent="0.25">
      <c r="A81" s="23"/>
      <c r="B81"/>
      <c r="C81"/>
      <c r="D81"/>
      <c r="E81"/>
      <c r="F81"/>
      <c r="G81"/>
      <c r="H81"/>
      <c r="I81"/>
      <c r="J81"/>
      <c r="K81" s="217"/>
      <c r="Z81" s="23"/>
      <c r="AA81"/>
      <c r="AB81"/>
      <c r="AC81"/>
    </row>
    <row r="82" spans="1:29" ht="14.45" customHeight="1" x14ac:dyDescent="0.25">
      <c r="A82" s="23"/>
      <c r="B82"/>
      <c r="C82"/>
      <c r="D82"/>
      <c r="E82"/>
      <c r="F82"/>
      <c r="G82"/>
      <c r="H82"/>
      <c r="I82"/>
      <c r="J82"/>
      <c r="K82" s="217"/>
      <c r="Z82" s="23"/>
      <c r="AA82"/>
      <c r="AB82"/>
      <c r="AC82"/>
    </row>
    <row r="83" spans="1:29" ht="14.45" customHeight="1" x14ac:dyDescent="0.25">
      <c r="A83" s="23"/>
      <c r="B83"/>
      <c r="C83"/>
      <c r="D83"/>
      <c r="E83"/>
      <c r="F83"/>
      <c r="G83"/>
      <c r="H83"/>
      <c r="I83"/>
      <c r="J83"/>
      <c r="K83" s="217"/>
      <c r="Z83" s="23"/>
      <c r="AA83"/>
      <c r="AB83"/>
      <c r="AC83"/>
    </row>
    <row r="84" spans="1:29" ht="14.45" customHeight="1" x14ac:dyDescent="0.25">
      <c r="A84" s="23"/>
      <c r="B84"/>
      <c r="C84"/>
      <c r="D84"/>
      <c r="E84"/>
      <c r="F84"/>
      <c r="G84"/>
      <c r="H84"/>
      <c r="I84"/>
      <c r="J84"/>
      <c r="K84" s="217"/>
      <c r="Z84" s="23"/>
      <c r="AA84"/>
      <c r="AB84"/>
      <c r="AC84"/>
    </row>
    <row r="85" spans="1:29" ht="14.45" customHeight="1" x14ac:dyDescent="0.25">
      <c r="A85" s="23"/>
      <c r="B85"/>
      <c r="C85"/>
      <c r="D85"/>
      <c r="E85"/>
      <c r="F85"/>
      <c r="G85"/>
      <c r="H85"/>
      <c r="I85"/>
      <c r="J85"/>
      <c r="K85" s="217"/>
      <c r="Z85" s="23"/>
      <c r="AA85"/>
      <c r="AB85"/>
      <c r="AC85"/>
    </row>
    <row r="86" spans="1:29" ht="14.45" customHeight="1" x14ac:dyDescent="0.25">
      <c r="A86" s="23"/>
      <c r="B86"/>
      <c r="C86"/>
      <c r="D86"/>
      <c r="E86"/>
      <c r="F86"/>
      <c r="G86"/>
      <c r="H86"/>
      <c r="I86"/>
      <c r="J86"/>
      <c r="K86" s="217"/>
      <c r="Z86" s="23"/>
      <c r="AA86"/>
      <c r="AB86"/>
      <c r="AC86"/>
    </row>
    <row r="87" spans="1:29" ht="14.45" customHeight="1" x14ac:dyDescent="0.25">
      <c r="A87" s="23"/>
      <c r="B87"/>
      <c r="C87"/>
      <c r="D87"/>
      <c r="E87"/>
      <c r="F87"/>
      <c r="G87"/>
      <c r="H87"/>
      <c r="I87"/>
      <c r="J87"/>
      <c r="K87" s="217"/>
      <c r="Z87" s="23"/>
      <c r="AA87"/>
      <c r="AB87"/>
      <c r="AC87"/>
    </row>
    <row r="88" spans="1:29" ht="14.45" customHeight="1" x14ac:dyDescent="0.25">
      <c r="A88" s="23"/>
      <c r="B88"/>
      <c r="C88"/>
      <c r="D88"/>
      <c r="E88"/>
      <c r="F88"/>
      <c r="G88"/>
      <c r="H88"/>
      <c r="I88"/>
      <c r="J88"/>
      <c r="K88" s="217"/>
      <c r="Z88" s="23"/>
      <c r="AA88"/>
      <c r="AB88"/>
      <c r="AC88"/>
    </row>
    <row r="89" spans="1:29" ht="14.45" customHeight="1" x14ac:dyDescent="0.25">
      <c r="A89" s="23"/>
      <c r="B89"/>
      <c r="C89"/>
      <c r="D89"/>
      <c r="E89"/>
      <c r="F89"/>
      <c r="G89"/>
      <c r="H89"/>
      <c r="I89"/>
      <c r="J89"/>
      <c r="K89" s="217"/>
      <c r="Z89" s="23"/>
      <c r="AA89"/>
      <c r="AB89"/>
      <c r="AC89"/>
    </row>
    <row r="90" spans="1:29" ht="14.45" customHeight="1" x14ac:dyDescent="0.25">
      <c r="A90" s="23"/>
      <c r="B90"/>
      <c r="C90"/>
      <c r="D90"/>
      <c r="E90"/>
      <c r="F90"/>
      <c r="G90"/>
      <c r="H90"/>
      <c r="I90"/>
      <c r="J90"/>
      <c r="K90" s="217"/>
      <c r="Z90" s="23"/>
      <c r="AA90"/>
      <c r="AB90"/>
      <c r="AC90"/>
    </row>
    <row r="91" spans="1:29" ht="14.45" customHeight="1" x14ac:dyDescent="0.25">
      <c r="A91" s="23"/>
      <c r="B91"/>
      <c r="C91"/>
      <c r="D91"/>
      <c r="E91"/>
      <c r="F91"/>
      <c r="G91"/>
      <c r="H91"/>
      <c r="I91"/>
      <c r="J91"/>
      <c r="K91" s="217"/>
      <c r="Z91" s="23"/>
      <c r="AA91"/>
      <c r="AB91"/>
      <c r="AC91"/>
    </row>
    <row r="92" spans="1:29" ht="14.45" customHeight="1" x14ac:dyDescent="0.25">
      <c r="A92" s="23"/>
      <c r="B92"/>
      <c r="C92"/>
      <c r="D92"/>
      <c r="E92"/>
      <c r="F92"/>
      <c r="G92"/>
      <c r="H92"/>
      <c r="I92"/>
      <c r="J92"/>
      <c r="K92" s="217"/>
      <c r="Z92" s="23"/>
      <c r="AA92"/>
      <c r="AB92"/>
      <c r="AC92"/>
    </row>
    <row r="93" spans="1:29" ht="14.45" customHeight="1" x14ac:dyDescent="0.25">
      <c r="A93" s="23"/>
      <c r="B93"/>
      <c r="C93"/>
      <c r="D93"/>
      <c r="E93"/>
      <c r="F93"/>
      <c r="G93"/>
      <c r="H93"/>
      <c r="I93"/>
      <c r="J93"/>
      <c r="K93" s="217"/>
      <c r="Z93" s="23"/>
      <c r="AA93"/>
      <c r="AB93"/>
      <c r="AC93"/>
    </row>
    <row r="94" spans="1:29" ht="14.45" customHeight="1" x14ac:dyDescent="0.25">
      <c r="A94" s="23"/>
      <c r="B94"/>
      <c r="C94"/>
      <c r="D94"/>
      <c r="E94"/>
      <c r="F94"/>
      <c r="G94"/>
      <c r="H94"/>
      <c r="I94"/>
      <c r="J94"/>
      <c r="K94" s="217"/>
      <c r="Z94" s="23"/>
      <c r="AA94"/>
      <c r="AB94"/>
      <c r="AC94"/>
    </row>
    <row r="95" spans="1:29" ht="14.45" customHeight="1" x14ac:dyDescent="0.25">
      <c r="A95" s="23"/>
      <c r="B95"/>
      <c r="C95"/>
      <c r="D95"/>
      <c r="E95"/>
      <c r="F95"/>
      <c r="G95"/>
      <c r="H95"/>
      <c r="I95"/>
      <c r="J95"/>
      <c r="K95" s="217"/>
      <c r="Z95" s="23"/>
      <c r="AA95"/>
      <c r="AB95"/>
      <c r="AC95"/>
    </row>
    <row r="96" spans="1:29" ht="14.45" customHeight="1" x14ac:dyDescent="0.25">
      <c r="A96" s="23"/>
      <c r="B96"/>
      <c r="C96"/>
      <c r="D96"/>
      <c r="E96"/>
      <c r="F96"/>
      <c r="G96"/>
      <c r="H96"/>
      <c r="I96"/>
      <c r="J96"/>
      <c r="K96" s="217"/>
      <c r="Z96" s="23"/>
      <c r="AA96"/>
      <c r="AB96"/>
      <c r="AC96"/>
    </row>
    <row r="97" spans="1:29" ht="14.45" customHeight="1" x14ac:dyDescent="0.25">
      <c r="A97" s="23"/>
      <c r="B97"/>
      <c r="C97"/>
      <c r="D97"/>
      <c r="E97"/>
      <c r="F97"/>
      <c r="G97"/>
      <c r="H97"/>
      <c r="I97"/>
      <c r="J97"/>
      <c r="K97" s="217"/>
      <c r="Z97" s="23"/>
      <c r="AA97"/>
      <c r="AB97"/>
      <c r="AC97"/>
    </row>
    <row r="98" spans="1:29" ht="14.45" customHeight="1" x14ac:dyDescent="0.25">
      <c r="A98" s="23"/>
      <c r="B98"/>
      <c r="C98"/>
      <c r="D98"/>
      <c r="E98"/>
      <c r="F98"/>
      <c r="G98"/>
      <c r="H98"/>
      <c r="I98"/>
      <c r="J98"/>
      <c r="K98" s="217"/>
      <c r="Z98" s="23"/>
      <c r="AA98"/>
      <c r="AB98"/>
      <c r="AC98"/>
    </row>
    <row r="99" spans="1:29" ht="14.45" customHeight="1" x14ac:dyDescent="0.25">
      <c r="A99" s="23"/>
      <c r="B99"/>
      <c r="C99"/>
      <c r="D99"/>
      <c r="E99"/>
      <c r="F99"/>
      <c r="G99"/>
      <c r="H99"/>
      <c r="I99"/>
      <c r="J99"/>
      <c r="K99" s="217"/>
      <c r="Z99" s="23"/>
      <c r="AA99"/>
      <c r="AB99"/>
      <c r="AC99"/>
    </row>
    <row r="100" spans="1:29" ht="14.45" customHeight="1" x14ac:dyDescent="0.25">
      <c r="A100" s="23"/>
      <c r="B100"/>
      <c r="C100"/>
      <c r="D100"/>
      <c r="E100"/>
      <c r="F100"/>
      <c r="G100"/>
      <c r="H100"/>
      <c r="I100"/>
      <c r="J100"/>
      <c r="K100" s="217"/>
      <c r="Z100" s="23"/>
      <c r="AA100"/>
      <c r="AB100"/>
      <c r="AC100"/>
    </row>
    <row r="101" spans="1:29" ht="14.45" customHeight="1" x14ac:dyDescent="0.25">
      <c r="A101" s="23"/>
      <c r="B101"/>
      <c r="C101"/>
      <c r="D101"/>
      <c r="E101"/>
      <c r="F101"/>
      <c r="G101"/>
      <c r="H101"/>
      <c r="I101"/>
      <c r="J101"/>
      <c r="K101" s="217"/>
      <c r="Z101" s="23"/>
      <c r="AA101"/>
      <c r="AB101"/>
      <c r="AC101"/>
    </row>
    <row r="102" spans="1:29" ht="14.45" customHeight="1" x14ac:dyDescent="0.25">
      <c r="A102" s="23"/>
      <c r="B102"/>
      <c r="C102"/>
      <c r="D102"/>
      <c r="E102"/>
      <c r="F102"/>
      <c r="G102"/>
      <c r="H102"/>
      <c r="I102"/>
      <c r="J102"/>
      <c r="K102" s="217"/>
      <c r="Z102" s="23"/>
      <c r="AA102"/>
      <c r="AB102"/>
      <c r="AC102"/>
    </row>
    <row r="103" spans="1:29" ht="14.45" customHeight="1" x14ac:dyDescent="0.25">
      <c r="A103" s="23"/>
      <c r="B103"/>
      <c r="C103"/>
      <c r="D103"/>
      <c r="E103"/>
      <c r="F103"/>
      <c r="G103"/>
      <c r="H103"/>
      <c r="I103"/>
      <c r="J103"/>
      <c r="K103" s="217"/>
      <c r="Z103" s="23"/>
      <c r="AA103"/>
      <c r="AB103"/>
      <c r="AC103"/>
    </row>
    <row r="104" spans="1:29" ht="14.45" customHeight="1" x14ac:dyDescent="0.25">
      <c r="A104" s="23"/>
      <c r="B104"/>
      <c r="C104"/>
      <c r="D104"/>
      <c r="E104"/>
      <c r="F104"/>
      <c r="G104"/>
      <c r="H104"/>
      <c r="I104"/>
      <c r="J104"/>
      <c r="K104" s="217"/>
      <c r="Z104" s="23"/>
      <c r="AA104"/>
      <c r="AB104"/>
      <c r="AC104"/>
    </row>
    <row r="105" spans="1:29" ht="14.45" customHeight="1" x14ac:dyDescent="0.25">
      <c r="A105" s="23"/>
      <c r="B105"/>
      <c r="C105"/>
      <c r="D105"/>
      <c r="E105"/>
      <c r="F105"/>
      <c r="G105"/>
      <c r="H105"/>
      <c r="I105"/>
      <c r="J105"/>
      <c r="K105" s="217"/>
      <c r="Z105" s="23"/>
      <c r="AA105"/>
      <c r="AB105"/>
      <c r="AC105"/>
    </row>
    <row r="106" spans="1:29" ht="14.45" customHeight="1" x14ac:dyDescent="0.25">
      <c r="A106" s="23"/>
      <c r="B106"/>
      <c r="C106"/>
      <c r="D106"/>
      <c r="E106"/>
      <c r="F106"/>
      <c r="G106"/>
      <c r="H106"/>
      <c r="I106"/>
      <c r="J106"/>
      <c r="K106" s="217"/>
      <c r="Z106" s="23"/>
      <c r="AA106"/>
      <c r="AB106"/>
      <c r="AC106"/>
    </row>
    <row r="107" spans="1:29" ht="14.45" customHeight="1" x14ac:dyDescent="0.25">
      <c r="A107" s="23"/>
      <c r="B107"/>
      <c r="C107"/>
      <c r="D107"/>
      <c r="E107"/>
      <c r="F107"/>
      <c r="G107"/>
      <c r="H107"/>
      <c r="I107"/>
      <c r="J107"/>
      <c r="K107" s="217"/>
      <c r="Z107" s="23"/>
      <c r="AA107"/>
      <c r="AB107"/>
      <c r="AC107"/>
    </row>
    <row r="108" spans="1:29" ht="14.45" customHeight="1" x14ac:dyDescent="0.25">
      <c r="A108" s="23"/>
      <c r="B108"/>
      <c r="C108"/>
      <c r="D108"/>
      <c r="E108"/>
      <c r="F108"/>
      <c r="G108"/>
      <c r="H108"/>
      <c r="I108"/>
      <c r="J108"/>
      <c r="K108" s="217"/>
      <c r="Z108" s="23"/>
      <c r="AA108"/>
      <c r="AB108"/>
      <c r="AC108"/>
    </row>
    <row r="109" spans="1:29" ht="14.45" customHeight="1" x14ac:dyDescent="0.25">
      <c r="A109" s="23"/>
      <c r="B109"/>
      <c r="C109"/>
      <c r="D109"/>
      <c r="E109"/>
      <c r="F109"/>
      <c r="G109"/>
      <c r="H109"/>
      <c r="I109"/>
      <c r="J109"/>
      <c r="K109" s="217"/>
      <c r="Z109" s="23"/>
      <c r="AA109"/>
      <c r="AB109"/>
      <c r="AC109"/>
    </row>
    <row r="110" spans="1:29" ht="14.45" customHeight="1" x14ac:dyDescent="0.25">
      <c r="A110" s="23"/>
      <c r="B110"/>
      <c r="C110"/>
      <c r="D110"/>
      <c r="E110"/>
      <c r="F110"/>
      <c r="G110"/>
      <c r="H110"/>
      <c r="I110"/>
      <c r="J110"/>
      <c r="K110" s="217"/>
      <c r="Z110" s="23"/>
      <c r="AA110"/>
      <c r="AB110"/>
      <c r="AC110"/>
    </row>
    <row r="111" spans="1:29" ht="14.45" customHeight="1" x14ac:dyDescent="0.25">
      <c r="A111" s="23"/>
      <c r="B111"/>
      <c r="C111"/>
      <c r="D111"/>
      <c r="E111"/>
      <c r="F111"/>
      <c r="G111"/>
      <c r="H111"/>
      <c r="I111"/>
      <c r="J111"/>
      <c r="K111" s="217"/>
      <c r="Z111" s="23"/>
      <c r="AA111"/>
      <c r="AB111"/>
      <c r="AC111"/>
    </row>
    <row r="112" spans="1:29" ht="14.45" customHeight="1" x14ac:dyDescent="0.25">
      <c r="A112" s="23"/>
      <c r="B112"/>
      <c r="C112"/>
      <c r="D112"/>
      <c r="E112"/>
      <c r="F112"/>
      <c r="G112"/>
      <c r="H112"/>
      <c r="I112"/>
      <c r="J112"/>
      <c r="K112" s="217"/>
      <c r="Z112" s="23"/>
      <c r="AA112"/>
      <c r="AB112"/>
      <c r="AC112"/>
    </row>
    <row r="113" spans="1:29" ht="14.45" customHeight="1" x14ac:dyDescent="0.25">
      <c r="A113" s="23"/>
      <c r="B113"/>
      <c r="C113"/>
      <c r="D113"/>
      <c r="E113"/>
      <c r="F113"/>
      <c r="G113"/>
      <c r="H113"/>
      <c r="I113"/>
      <c r="J113"/>
      <c r="K113" s="217"/>
      <c r="Z113" s="23"/>
      <c r="AA113"/>
      <c r="AB113"/>
      <c r="AC113"/>
    </row>
    <row r="114" spans="1:29" ht="14.45" customHeight="1" x14ac:dyDescent="0.25">
      <c r="A114" s="23"/>
      <c r="B114"/>
      <c r="C114"/>
      <c r="D114"/>
      <c r="E114"/>
      <c r="F114"/>
      <c r="G114"/>
      <c r="H114"/>
      <c r="I114"/>
      <c r="J114"/>
      <c r="K114" s="217"/>
      <c r="Z114" s="23"/>
      <c r="AA114"/>
      <c r="AB114"/>
      <c r="AC114"/>
    </row>
    <row r="115" spans="1:29" ht="14.45" customHeight="1" x14ac:dyDescent="0.25">
      <c r="A115" s="23"/>
      <c r="B115"/>
      <c r="C115"/>
      <c r="D115"/>
      <c r="E115"/>
      <c r="F115"/>
      <c r="G115"/>
      <c r="H115"/>
      <c r="I115"/>
      <c r="J115"/>
      <c r="K115" s="217"/>
      <c r="Z115" s="23"/>
      <c r="AA115"/>
      <c r="AB115"/>
      <c r="AC115"/>
    </row>
    <row r="116" spans="1:29" ht="14.45" customHeight="1" x14ac:dyDescent="0.25">
      <c r="A116" s="23"/>
      <c r="B116"/>
      <c r="C116"/>
      <c r="D116"/>
      <c r="E116"/>
      <c r="F116"/>
      <c r="G116"/>
      <c r="H116"/>
      <c r="I116"/>
      <c r="J116"/>
      <c r="K116" s="217"/>
      <c r="Z116" s="23"/>
      <c r="AA116"/>
      <c r="AB116"/>
      <c r="AC116"/>
    </row>
    <row r="117" spans="1:29" ht="14.45" customHeight="1" x14ac:dyDescent="0.25">
      <c r="A117" s="23"/>
      <c r="B117"/>
      <c r="C117"/>
      <c r="D117"/>
      <c r="E117"/>
      <c r="F117"/>
      <c r="G117"/>
      <c r="H117"/>
      <c r="I117"/>
      <c r="J117"/>
      <c r="K117" s="217"/>
      <c r="Z117" s="23"/>
      <c r="AA117"/>
      <c r="AB117"/>
      <c r="AC117"/>
    </row>
    <row r="118" spans="1:29" ht="14.45" customHeight="1" x14ac:dyDescent="0.25">
      <c r="A118" s="23"/>
      <c r="B118"/>
      <c r="C118"/>
      <c r="D118"/>
      <c r="E118"/>
      <c r="F118"/>
      <c r="G118"/>
      <c r="H118"/>
      <c r="I118"/>
      <c r="J118"/>
      <c r="K118" s="217"/>
      <c r="Z118" s="23"/>
      <c r="AA118"/>
      <c r="AB118"/>
      <c r="AC118"/>
    </row>
    <row r="119" spans="1:29" ht="14.45" customHeight="1" x14ac:dyDescent="0.25">
      <c r="A119" s="23"/>
      <c r="B119"/>
      <c r="C119"/>
      <c r="D119"/>
      <c r="E119"/>
      <c r="F119"/>
      <c r="G119"/>
      <c r="H119"/>
      <c r="I119"/>
      <c r="J119"/>
      <c r="K119" s="217"/>
      <c r="Z119" s="23"/>
      <c r="AA119"/>
      <c r="AB119"/>
      <c r="AC119"/>
    </row>
    <row r="120" spans="1:29" ht="14.45" customHeight="1" x14ac:dyDescent="0.25">
      <c r="A120" s="23"/>
      <c r="B120"/>
      <c r="C120"/>
      <c r="D120"/>
      <c r="E120"/>
      <c r="F120"/>
      <c r="G120"/>
      <c r="H120"/>
      <c r="I120"/>
      <c r="J120"/>
      <c r="K120" s="217"/>
      <c r="Z120" s="23"/>
      <c r="AA120"/>
      <c r="AB120"/>
      <c r="AC120"/>
    </row>
    <row r="121" spans="1:29" ht="14.45" customHeight="1" x14ac:dyDescent="0.25">
      <c r="A121" s="23"/>
      <c r="B121"/>
      <c r="C121"/>
      <c r="D121"/>
      <c r="E121"/>
      <c r="F121"/>
      <c r="G121"/>
      <c r="H121"/>
      <c r="I121"/>
      <c r="J121"/>
      <c r="K121" s="217"/>
      <c r="Z121" s="23"/>
      <c r="AA121"/>
      <c r="AB121"/>
      <c r="AC121"/>
    </row>
    <row r="122" spans="1:29" ht="14.45" customHeight="1" x14ac:dyDescent="0.25">
      <c r="A122" s="23"/>
      <c r="B122"/>
      <c r="C122"/>
      <c r="D122"/>
      <c r="E122"/>
      <c r="F122"/>
      <c r="G122"/>
      <c r="H122"/>
      <c r="I122"/>
      <c r="J122"/>
      <c r="K122" s="217"/>
      <c r="Z122" s="23"/>
      <c r="AA122"/>
      <c r="AB122"/>
      <c r="AC122"/>
    </row>
    <row r="123" spans="1:29" ht="14.45" customHeight="1" x14ac:dyDescent="0.25">
      <c r="A123" s="146"/>
      <c r="B123" s="146"/>
      <c r="C123" s="146"/>
      <c r="D123" s="146"/>
      <c r="E123" s="146"/>
      <c r="F123" s="146"/>
      <c r="G123" s="146"/>
      <c r="H123" s="146"/>
      <c r="I123" s="146"/>
      <c r="J123" s="146"/>
      <c r="K123" s="146"/>
      <c r="L123" s="146"/>
      <c r="X123" s="146"/>
      <c r="Y123" s="146"/>
      <c r="Z123" s="146"/>
      <c r="AA123" s="146"/>
      <c r="AB123" s="146"/>
      <c r="AC123" s="146"/>
    </row>
    <row r="124" spans="1:29" ht="14.45" customHeight="1" x14ac:dyDescent="0.25">
      <c r="A124" s="146"/>
      <c r="B124" s="146"/>
      <c r="C124" s="146"/>
      <c r="D124" s="146"/>
      <c r="E124" s="146"/>
      <c r="F124" s="146"/>
      <c r="G124" s="146"/>
      <c r="H124" s="146"/>
      <c r="I124" s="146"/>
      <c r="J124" s="146"/>
      <c r="K124" s="146"/>
      <c r="L124" s="146"/>
      <c r="X124" s="146"/>
      <c r="Y124" s="146"/>
      <c r="AA124" s="202" t="str" cm="1">
        <f t="array" ref="AA124:AC124">AA6:AC6</f>
        <v>Pt Froid</v>
      </c>
      <c r="AB124" s="202" t="str">
        <v>Regulation</v>
      </c>
      <c r="AC124" s="202" t="str">
        <v>Pt Chaud</v>
      </c>
    </row>
    <row r="125" spans="1:29" ht="14.45" customHeight="1" x14ac:dyDescent="0.25">
      <c r="A125" s="23"/>
      <c r="B125"/>
      <c r="C125"/>
      <c r="D125"/>
      <c r="E125"/>
      <c r="F125"/>
      <c r="G125"/>
      <c r="H125"/>
      <c r="I125"/>
      <c r="J125"/>
      <c r="K125" s="205"/>
      <c r="Z125" s="198" t="s">
        <v>90</v>
      </c>
      <c r="AA125" s="43">
        <f>MAX(tab_four535[Pt Froid])</f>
        <v>0</v>
      </c>
      <c r="AB125" s="43">
        <f>MAX(tab_four535[Regulation])</f>
        <v>0</v>
      </c>
      <c r="AC125" s="43">
        <f>MAX(tab_four535[Pt Chaud])</f>
        <v>0</v>
      </c>
    </row>
    <row r="126" spans="1:29" ht="14.45" customHeight="1" x14ac:dyDescent="0.25">
      <c r="A126" s="23"/>
      <c r="B126"/>
      <c r="C126"/>
      <c r="D126"/>
      <c r="E126"/>
      <c r="F126"/>
      <c r="G126"/>
      <c r="H126"/>
      <c r="I126"/>
      <c r="J126"/>
      <c r="Z126" s="198" t="s">
        <v>91</v>
      </c>
      <c r="AA126" s="43" t="e">
        <f ca="1">MAX(OFFSET(INDEX(tab_four535[Pt Froid],1),COUNT(tab_four535[Pt Froid])-30,0,30))</f>
        <v>#REF!</v>
      </c>
      <c r="AB126" s="43" t="e">
        <f ca="1">MAX(OFFSET(INDEX(tab_four535[Regulation],1),COUNT(tab_four535[Regulation])-30,0,30))</f>
        <v>#REF!</v>
      </c>
      <c r="AC126" s="43" t="e">
        <f ca="1">MAX(OFFSET(INDEX(tab_four535[Pt Chaud],1),COUNT(tab_four535[Pt Chaud])-30,0,30))</f>
        <v>#REF!</v>
      </c>
    </row>
    <row r="127" spans="1:29" ht="14.45" customHeight="1" x14ac:dyDescent="0.25">
      <c r="A127" s="23"/>
      <c r="B127"/>
      <c r="C127"/>
      <c r="D127"/>
      <c r="E127"/>
      <c r="F127"/>
      <c r="G127"/>
      <c r="H127"/>
      <c r="I127"/>
      <c r="J127"/>
      <c r="Z127" s="198" t="s">
        <v>93</v>
      </c>
      <c r="AA127" s="43" t="e">
        <f ca="1">MIN(OFFSET(INDEX(tab_four535[Pt Froid],1),COUNT(tab_four535[Pt Froid])-30,0,30))</f>
        <v>#REF!</v>
      </c>
      <c r="AB127" s="43" t="e">
        <f ca="1">MIN(OFFSET(INDEX(tab_four535[Regulation],1),COUNT(tab_four535[Regulation])-30,0,30))</f>
        <v>#REF!</v>
      </c>
      <c r="AC127" s="43" t="e">
        <f ca="1">MIN(OFFSET(INDEX(tab_four535[Pt Chaud],1),COUNT(tab_four535[Pt Chaud])-30,0,30))</f>
        <v>#REF!</v>
      </c>
    </row>
    <row r="128" spans="1:29" ht="14.45" customHeight="1" x14ac:dyDescent="0.25">
      <c r="A128" s="23"/>
      <c r="B128"/>
      <c r="C128"/>
      <c r="D128"/>
      <c r="E128"/>
      <c r="F128"/>
      <c r="G128"/>
      <c r="H128"/>
      <c r="I128"/>
      <c r="J128"/>
      <c r="Z128" s="198" t="s">
        <v>95</v>
      </c>
      <c r="AA128" s="43" t="e">
        <f ca="1">AVERAGE(OFFSET(INDEX(tab_four535[Pt Froid],1),COUNT(tab_four535[Pt Froid])-30,0,30))</f>
        <v>#REF!</v>
      </c>
      <c r="AB128" s="43" t="e">
        <f ca="1">AVERAGE(OFFSET(INDEX(tab_four535[Regulation],1),COUNT(tab_four535[Regulation])-30,0,30))</f>
        <v>#REF!</v>
      </c>
      <c r="AC128" s="43" t="e">
        <f ca="1">AVERAGE(OFFSET(INDEX(tab_four535[Pt Chaud],1),COUNT(tab_four535[Pt Chaud])-30,0,30))</f>
        <v>#REF!</v>
      </c>
    </row>
    <row r="129" spans="1:10" ht="14.45" customHeight="1" x14ac:dyDescent="0.25">
      <c r="A129" s="23"/>
      <c r="B129"/>
      <c r="C129"/>
      <c r="D129"/>
      <c r="E129"/>
      <c r="F129"/>
      <c r="G129"/>
      <c r="H129"/>
      <c r="I129"/>
      <c r="J129"/>
    </row>
    <row r="130" spans="1:10" ht="14.45" customHeight="1" x14ac:dyDescent="0.25">
      <c r="A130" s="23"/>
      <c r="B130"/>
      <c r="C130"/>
      <c r="D130"/>
      <c r="E130"/>
      <c r="F130"/>
      <c r="G130"/>
      <c r="H130"/>
      <c r="I130"/>
      <c r="J130"/>
    </row>
    <row r="131" spans="1:10" x14ac:dyDescent="0.25">
      <c r="A131" s="23"/>
      <c r="B131"/>
      <c r="C131"/>
      <c r="D131"/>
      <c r="E131"/>
      <c r="F131"/>
      <c r="G131"/>
      <c r="H131"/>
      <c r="I131"/>
      <c r="J131"/>
    </row>
    <row r="133" spans="1:10" x14ac:dyDescent="0.25">
      <c r="J133"/>
    </row>
    <row r="134" spans="1:10" x14ac:dyDescent="0.25">
      <c r="J134"/>
    </row>
  </sheetData>
  <sheetProtection algorithmName="SHA-512" hashValue="4UHjWTsmiaODp5Z+KlnpxWCx/gYxof6Ogv3aqaTd4PbtGBZz+qbEGnZevtCCpzaydwRmyoutEBB4XQMif8FyJA==" saltValue="1DHtqUheejxi7ewn+H4C0Q==" spinCount="100000" sheet="1" objects="1" scenarios="1"/>
  <mergeCells count="8">
    <mergeCell ref="A1:AC1"/>
    <mergeCell ref="A5:J5"/>
    <mergeCell ref="M5:V5"/>
    <mergeCell ref="N73:V73"/>
    <mergeCell ref="N74:V74"/>
    <mergeCell ref="A66:W66"/>
    <mergeCell ref="M35:M65"/>
    <mergeCell ref="M7:M34"/>
  </mergeCells>
  <conditionalFormatting sqref="N68:V68">
    <cfRule type="cellIs" dxfId="82" priority="6" operator="equal">
      <formula>#REF!</formula>
    </cfRule>
  </conditionalFormatting>
  <conditionalFormatting sqref="N69:V69">
    <cfRule type="cellIs" dxfId="81" priority="2" operator="equal">
      <formula>$W$69</formula>
    </cfRule>
    <cfRule type="cellIs" dxfId="80" priority="5" operator="equal">
      <formula>#REF!</formula>
    </cfRule>
  </conditionalFormatting>
  <conditionalFormatting sqref="N70:V70">
    <cfRule type="cellIs" dxfId="79" priority="1" operator="equal">
      <formula>$W$70</formula>
    </cfRule>
    <cfRule type="cellIs" dxfId="78" priority="3" operator="equal">
      <formula>#REF!</formula>
    </cfRule>
    <cfRule type="cellIs" dxfId="77" priority="4" operator="equal">
      <formula>#REF!</formula>
    </cfRule>
  </conditionalFormatting>
  <conditionalFormatting sqref="N68:V68">
    <cfRule type="cellIs" dxfId="76" priority="7" operator="equal">
      <formula>$W$68</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view="pageBreakPreview" topLeftCell="A4"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378" t="s">
        <v>345</v>
      </c>
      <c r="C5" s="378"/>
      <c r="D5" s="378"/>
      <c r="E5" s="378"/>
      <c r="F5" s="378"/>
      <c r="G5" s="378"/>
      <c r="H5" s="221"/>
      <c r="I5" s="220"/>
    </row>
    <row r="6" spans="2:9" ht="15.75" customHeight="1" x14ac:dyDescent="0.4">
      <c r="B6" s="220"/>
      <c r="C6" s="220"/>
      <c r="D6" s="220"/>
      <c r="E6" s="220"/>
      <c r="F6" s="220"/>
      <c r="G6" s="220"/>
    </row>
    <row r="7" spans="2:9" ht="15.75" customHeight="1" x14ac:dyDescent="0.25"/>
    <row r="8" spans="2:9" ht="21" x14ac:dyDescent="0.25">
      <c r="C8" s="379" t="s">
        <v>138</v>
      </c>
      <c r="D8" s="379"/>
      <c r="E8" s="380" t="str">
        <f>IF(D11&lt;&gt;"",+D11,"")</f>
        <v/>
      </c>
      <c r="F8" s="380"/>
    </row>
    <row r="9" spans="2:9" ht="15.75" customHeight="1" x14ac:dyDescent="0.25">
      <c r="C9" s="90"/>
      <c r="D9" s="90"/>
      <c r="E9" s="91"/>
      <c r="F9" s="91"/>
    </row>
    <row r="10" spans="2:9" ht="15.75" customHeight="1" x14ac:dyDescent="0.25"/>
    <row r="11" spans="2:9" ht="15.75" x14ac:dyDescent="0.25">
      <c r="C11" s="222" t="s">
        <v>346</v>
      </c>
      <c r="D11" s="223" t="str">
        <f>IF(+Mesures_Four!B6&lt;&gt;"",Mesures_Four!B6,"")</f>
        <v/>
      </c>
      <c r="F11" s="224" t="s">
        <v>347</v>
      </c>
      <c r="G11" s="98" t="s">
        <v>348</v>
      </c>
    </row>
    <row r="12" spans="2:9" ht="15.75" x14ac:dyDescent="0.25">
      <c r="C12" s="97" t="s">
        <v>349</v>
      </c>
      <c r="D12" s="225" t="str">
        <f>IF(ISTEXT(Mesures_Four!B7),Mesures_Four!B7,"")</f>
        <v/>
      </c>
      <c r="F12" t="s">
        <v>350</v>
      </c>
      <c r="G12" s="226" t="str">
        <f>IF(Mesures_Four!B5="","",Mesures_Four!B5)</f>
        <v/>
      </c>
    </row>
    <row r="13" spans="2:9" ht="15.75" x14ac:dyDescent="0.25">
      <c r="C13" s="97"/>
      <c r="D13" s="225" t="str">
        <f>IF(ISTEXT(Mesures_Four!B8),Mesures_Four!B8,"")</f>
        <v/>
      </c>
    </row>
    <row r="14" spans="2:9" ht="15.75" x14ac:dyDescent="0.25">
      <c r="C14" s="97"/>
      <c r="D14" s="225" t="str">
        <f>IF(ISTEXT(Mesures_Four!B9),Mesures_Four!B9,"")</f>
        <v/>
      </c>
    </row>
    <row r="15" spans="2:9" ht="15.75" x14ac:dyDescent="0.25">
      <c r="C15" s="97"/>
      <c r="D15" s="98"/>
      <c r="F15" s="97" t="s">
        <v>351</v>
      </c>
      <c r="G15" s="227" t="str">
        <f>IF(ISTEXT(Mesures_Four!B12),Mesures_Four!B12,"")</f>
        <v/>
      </c>
    </row>
    <row r="16" spans="2:9" ht="15.75" x14ac:dyDescent="0.25">
      <c r="C16" s="97"/>
      <c r="D16" s="98"/>
    </row>
    <row r="17" spans="1:9" ht="15.75" x14ac:dyDescent="0.25">
      <c r="C17" s="222" t="s">
        <v>352</v>
      </c>
      <c r="D17" s="223" t="str">
        <f>IF(+Mesures_Four!B11&lt;&gt;"",Mesures_Four!B11,"")</f>
        <v/>
      </c>
    </row>
    <row r="18" spans="1:9" ht="15.75" x14ac:dyDescent="0.25">
      <c r="C18" s="97" t="s">
        <v>353</v>
      </c>
      <c r="D18" s="225" t="str">
        <f>IF(ISTEXT(Mesures_Four!B10),Mesures_Four!B10,"")</f>
        <v/>
      </c>
    </row>
    <row r="19" spans="1:9" ht="15.75" x14ac:dyDescent="0.25">
      <c r="C19" s="97"/>
      <c r="D19" s="98"/>
    </row>
    <row r="20" spans="1:9" ht="15.75" x14ac:dyDescent="0.25">
      <c r="C20" s="97"/>
      <c r="D20" s="98"/>
    </row>
    <row r="21" spans="1:9" ht="15.75" x14ac:dyDescent="0.25">
      <c r="C21" s="97"/>
      <c r="D21" s="98"/>
    </row>
    <row r="22" spans="1:9" ht="15.75" x14ac:dyDescent="0.25">
      <c r="C22" s="97"/>
      <c r="D22" s="98"/>
    </row>
    <row r="23" spans="1:9" ht="15.75" x14ac:dyDescent="0.25">
      <c r="C23" s="97"/>
      <c r="D23" s="98"/>
    </row>
    <row r="24" spans="1:9" ht="15.75" x14ac:dyDescent="0.25">
      <c r="C24" s="97"/>
      <c r="D24" s="98"/>
    </row>
    <row r="25" spans="1:9" ht="15.75" x14ac:dyDescent="0.25">
      <c r="C25" s="97"/>
      <c r="D25" s="98"/>
    </row>
    <row r="26" spans="1:9" ht="15.75" x14ac:dyDescent="0.25">
      <c r="C26" s="97"/>
      <c r="D26" s="98"/>
    </row>
    <row r="27" spans="1:9" ht="15.75" x14ac:dyDescent="0.25">
      <c r="C27" s="97"/>
      <c r="D27" s="98"/>
    </row>
    <row r="28" spans="1:9" ht="15.75" x14ac:dyDescent="0.25">
      <c r="C28" s="97"/>
      <c r="D28" s="98"/>
    </row>
    <row r="29" spans="1:9" ht="15.75" x14ac:dyDescent="0.25">
      <c r="C29" s="97"/>
      <c r="D29" s="98"/>
    </row>
    <row r="30" spans="1:9" ht="18.75" customHeight="1" x14ac:dyDescent="0.25">
      <c r="A30" s="381" t="s">
        <v>354</v>
      </c>
      <c r="B30" s="381"/>
      <c r="C30" s="381"/>
      <c r="D30" s="381"/>
      <c r="E30" s="381"/>
      <c r="F30" s="381"/>
      <c r="G30" s="381"/>
      <c r="H30" s="381"/>
      <c r="I30" s="381"/>
    </row>
    <row r="31" spans="1:9" ht="15.75" customHeight="1" x14ac:dyDescent="0.25">
      <c r="A31" s="381"/>
      <c r="B31" s="381"/>
      <c r="C31" s="381"/>
      <c r="D31" s="381"/>
      <c r="E31" s="381"/>
      <c r="F31" s="381"/>
      <c r="G31" s="381"/>
      <c r="H31" s="381"/>
      <c r="I31" s="381"/>
    </row>
    <row r="32" spans="1:9" ht="15" customHeight="1" x14ac:dyDescent="0.25">
      <c r="A32" s="381"/>
      <c r="B32" s="381"/>
      <c r="C32" s="381"/>
      <c r="D32" s="381"/>
      <c r="E32" s="381"/>
      <c r="F32" s="381"/>
      <c r="G32" s="381"/>
      <c r="H32" s="381"/>
      <c r="I32" s="381"/>
    </row>
    <row r="33" spans="1:9" ht="15" customHeight="1" x14ac:dyDescent="0.25">
      <c r="A33" s="381"/>
      <c r="B33" s="381"/>
      <c r="C33" s="381"/>
      <c r="D33" s="381"/>
      <c r="E33" s="381"/>
      <c r="F33" s="381"/>
      <c r="G33" s="381"/>
      <c r="H33" s="381"/>
      <c r="I33" s="381"/>
    </row>
    <row r="34" spans="1:9" ht="15" customHeight="1" x14ac:dyDescent="0.25">
      <c r="A34" s="381"/>
      <c r="B34" s="381"/>
      <c r="C34" s="381"/>
      <c r="D34" s="381"/>
      <c r="E34" s="381"/>
      <c r="F34" s="381"/>
      <c r="G34" s="381"/>
      <c r="H34" s="381"/>
      <c r="I34" s="381"/>
    </row>
    <row r="35" spans="1:9" ht="15" customHeight="1" x14ac:dyDescent="0.25">
      <c r="A35" s="381"/>
      <c r="B35" s="381"/>
      <c r="C35" s="381"/>
      <c r="D35" s="381"/>
      <c r="E35" s="381"/>
      <c r="F35" s="381"/>
      <c r="G35" s="381"/>
      <c r="H35" s="381"/>
      <c r="I35" s="381"/>
    </row>
    <row r="36" spans="1:9" ht="15" customHeight="1" x14ac:dyDescent="0.25">
      <c r="A36" s="381"/>
      <c r="B36" s="381"/>
      <c r="C36" s="381"/>
      <c r="D36" s="381"/>
      <c r="E36" s="381"/>
      <c r="F36" s="381"/>
      <c r="G36" s="381"/>
      <c r="H36" s="381"/>
      <c r="I36" s="381"/>
    </row>
    <row r="37" spans="1:9" ht="15" customHeight="1" x14ac:dyDescent="0.25">
      <c r="A37" s="381"/>
      <c r="B37" s="381"/>
      <c r="C37" s="381"/>
      <c r="D37" s="381"/>
      <c r="E37" s="381"/>
      <c r="F37" s="381"/>
      <c r="G37" s="381"/>
      <c r="H37" s="381"/>
      <c r="I37" s="381"/>
    </row>
    <row r="38" spans="1:9" ht="15" customHeight="1" x14ac:dyDescent="0.25">
      <c r="A38" s="381"/>
      <c r="B38" s="381"/>
      <c r="C38" s="381"/>
      <c r="D38" s="381"/>
      <c r="E38" s="381"/>
      <c r="F38" s="381"/>
      <c r="G38" s="381"/>
      <c r="H38" s="381"/>
      <c r="I38" s="381"/>
    </row>
    <row r="39" spans="1:9" ht="15" customHeight="1" x14ac:dyDescent="0.25">
      <c r="A39" s="381"/>
      <c r="B39" s="381"/>
      <c r="C39" s="381"/>
      <c r="D39" s="381"/>
      <c r="E39" s="381"/>
      <c r="F39" s="381"/>
      <c r="G39" s="381"/>
      <c r="H39" s="381"/>
      <c r="I39" s="381"/>
    </row>
    <row r="40" spans="1:9" ht="15" customHeight="1" x14ac:dyDescent="0.25">
      <c r="A40" s="381"/>
      <c r="B40" s="381"/>
      <c r="C40" s="381"/>
      <c r="D40" s="381"/>
      <c r="E40" s="381"/>
      <c r="F40" s="381"/>
      <c r="G40" s="381"/>
      <c r="H40" s="381"/>
      <c r="I40" s="381"/>
    </row>
    <row r="41" spans="1:9" ht="15" customHeight="1" x14ac:dyDescent="0.25">
      <c r="A41" s="381"/>
      <c r="B41" s="381"/>
      <c r="C41" s="381"/>
      <c r="D41" s="381"/>
      <c r="E41" s="381"/>
      <c r="F41" s="381"/>
      <c r="G41" s="381"/>
      <c r="H41" s="381"/>
      <c r="I41" s="381"/>
    </row>
    <row r="42" spans="1:9" ht="15" customHeight="1" x14ac:dyDescent="0.25">
      <c r="A42" s="381"/>
      <c r="B42" s="381"/>
      <c r="C42" s="381"/>
      <c r="D42" s="381"/>
      <c r="E42" s="381"/>
      <c r="F42" s="381"/>
      <c r="G42" s="381"/>
      <c r="H42" s="381"/>
      <c r="I42" s="381"/>
    </row>
    <row r="43" spans="1:9" ht="15" customHeight="1" x14ac:dyDescent="0.25">
      <c r="A43" s="381"/>
      <c r="B43" s="381"/>
      <c r="C43" s="381"/>
      <c r="D43" s="381"/>
      <c r="E43" s="381"/>
      <c r="F43" s="381"/>
      <c r="G43" s="381"/>
      <c r="H43" s="381"/>
      <c r="I43" s="381"/>
    </row>
    <row r="44" spans="1:9" ht="15" customHeight="1" x14ac:dyDescent="0.25">
      <c r="A44" s="381"/>
      <c r="B44" s="381"/>
      <c r="C44" s="381"/>
      <c r="D44" s="381"/>
      <c r="E44" s="381"/>
      <c r="F44" s="381"/>
      <c r="G44" s="381"/>
      <c r="H44" s="381"/>
      <c r="I44" s="381"/>
    </row>
    <row r="45" spans="1:9" ht="15" customHeight="1" x14ac:dyDescent="0.25">
      <c r="A45" s="381"/>
      <c r="B45" s="381"/>
      <c r="C45" s="381"/>
      <c r="D45" s="381"/>
      <c r="E45" s="381"/>
      <c r="F45" s="381"/>
      <c r="G45" s="381"/>
      <c r="H45" s="381"/>
      <c r="I45" s="381"/>
    </row>
    <row r="46" spans="1:9" ht="15" customHeight="1" x14ac:dyDescent="0.25">
      <c r="A46" s="381"/>
      <c r="B46" s="381"/>
      <c r="C46" s="381"/>
      <c r="D46" s="381"/>
      <c r="E46" s="381"/>
      <c r="F46" s="381"/>
      <c r="G46" s="381"/>
      <c r="H46" s="381"/>
      <c r="I46" s="381"/>
    </row>
    <row r="47" spans="1:9" ht="15" customHeight="1" x14ac:dyDescent="0.25">
      <c r="A47" s="381"/>
      <c r="B47" s="381"/>
      <c r="C47" s="381"/>
      <c r="D47" s="381"/>
      <c r="E47" s="381"/>
      <c r="F47" s="381"/>
      <c r="G47" s="381"/>
      <c r="H47" s="381"/>
      <c r="I47" s="381"/>
    </row>
    <row r="48" spans="1:9" ht="15" customHeight="1" x14ac:dyDescent="0.25">
      <c r="C48" s="166"/>
      <c r="D48" s="166"/>
      <c r="E48" s="166"/>
      <c r="F48" s="166"/>
      <c r="G48" s="166"/>
    </row>
    <row r="49" spans="2:7" ht="15" customHeight="1" x14ac:dyDescent="0.25">
      <c r="C49" s="166"/>
      <c r="D49" s="166"/>
      <c r="E49" s="166"/>
      <c r="F49" s="166"/>
      <c r="G49" s="166"/>
    </row>
    <row r="50" spans="2:7" ht="15" customHeight="1" x14ac:dyDescent="0.25">
      <c r="C50" s="166"/>
      <c r="D50" s="166"/>
      <c r="E50" s="166"/>
      <c r="F50" s="166"/>
      <c r="G50" s="166"/>
    </row>
    <row r="51" spans="2:7" ht="15" customHeight="1" x14ac:dyDescent="0.25">
      <c r="C51" s="166"/>
      <c r="D51" s="166"/>
      <c r="E51" s="166"/>
      <c r="F51" s="166"/>
      <c r="G51" s="166"/>
    </row>
    <row r="52" spans="2:7" ht="15" customHeight="1" x14ac:dyDescent="0.25">
      <c r="C52" s="166"/>
      <c r="D52" s="166"/>
      <c r="E52" s="166"/>
      <c r="F52" s="166"/>
      <c r="G52" s="166"/>
    </row>
    <row r="53" spans="2:7" ht="15" customHeight="1" x14ac:dyDescent="0.25">
      <c r="B53" s="164" t="s">
        <v>253</v>
      </c>
      <c r="C53" s="165"/>
      <c r="E53" s="166"/>
      <c r="F53" s="166"/>
      <c r="G53" s="166"/>
    </row>
    <row r="54" spans="2:7" ht="15" customHeight="1" x14ac:dyDescent="0.25">
      <c r="C54" s="166"/>
      <c r="D54" s="166"/>
      <c r="E54" s="166"/>
      <c r="F54" s="166"/>
      <c r="G54" s="166"/>
    </row>
    <row r="55" spans="2:7" ht="18.75" x14ac:dyDescent="0.25">
      <c r="B55" s="382" t="s">
        <v>254</v>
      </c>
      <c r="C55" s="382"/>
      <c r="D55" s="166"/>
      <c r="E55" s="166"/>
      <c r="F55" s="167" t="s">
        <v>255</v>
      </c>
      <c r="G55" s="166"/>
    </row>
    <row r="56" spans="2:7" ht="15" customHeight="1" x14ac:dyDescent="0.25">
      <c r="B56" s="381" t="s">
        <v>256</v>
      </c>
      <c r="C56" s="381"/>
      <c r="D56" s="158" t="s">
        <v>355</v>
      </c>
      <c r="E56" s="166"/>
      <c r="F56" s="166" t="s">
        <v>258</v>
      </c>
      <c r="G56" s="166" t="s">
        <v>356</v>
      </c>
    </row>
    <row r="57" spans="2:7" ht="15" customHeight="1" x14ac:dyDescent="0.25">
      <c r="B57" s="381" t="s">
        <v>259</v>
      </c>
      <c r="C57" s="381"/>
      <c r="D57" s="158" t="s">
        <v>357</v>
      </c>
      <c r="E57" s="166"/>
      <c r="F57" s="166" t="s">
        <v>261</v>
      </c>
      <c r="G57" s="166" t="s">
        <v>358</v>
      </c>
    </row>
    <row r="58" spans="2:7" ht="15" customHeight="1" x14ac:dyDescent="0.25">
      <c r="B58" s="381" t="s">
        <v>262</v>
      </c>
      <c r="C58" s="381"/>
      <c r="D58" s="158" t="s">
        <v>359</v>
      </c>
      <c r="E58" s="166"/>
      <c r="F58" s="166" t="s">
        <v>264</v>
      </c>
      <c r="G58" s="166" t="s">
        <v>360</v>
      </c>
    </row>
    <row r="59" spans="2:7" ht="15" customHeight="1" x14ac:dyDescent="0.25">
      <c r="B59" s="381" t="s">
        <v>265</v>
      </c>
      <c r="C59" s="381"/>
      <c r="D59" s="158" t="s">
        <v>361</v>
      </c>
      <c r="E59" s="166"/>
      <c r="F59" s="166"/>
      <c r="G59" s="166"/>
    </row>
    <row r="60" spans="2:7" ht="15" customHeight="1" x14ac:dyDescent="0.25">
      <c r="B60" s="381" t="s">
        <v>266</v>
      </c>
      <c r="C60" s="381"/>
      <c r="D60" s="168">
        <v>42634</v>
      </c>
      <c r="E60" s="166"/>
      <c r="F60" s="166"/>
      <c r="G60" s="166"/>
    </row>
    <row r="61" spans="2:7" ht="15" customHeight="1" x14ac:dyDescent="0.25">
      <c r="B61" s="381" t="s">
        <v>267</v>
      </c>
      <c r="C61" s="381"/>
      <c r="D61" s="158" t="s">
        <v>362</v>
      </c>
      <c r="E61" s="166"/>
      <c r="F61" s="166"/>
      <c r="G61" s="166"/>
    </row>
    <row r="62" spans="2:7" ht="15" customHeight="1" x14ac:dyDescent="0.25">
      <c r="B62" s="381" t="s">
        <v>269</v>
      </c>
      <c r="C62" s="381"/>
      <c r="D62" s="158" t="s">
        <v>270</v>
      </c>
      <c r="E62" s="166"/>
      <c r="F62" s="166"/>
      <c r="G62" s="166"/>
    </row>
    <row r="63" spans="2:7" ht="15" customHeight="1" x14ac:dyDescent="0.25">
      <c r="B63" s="381" t="s">
        <v>271</v>
      </c>
      <c r="C63" s="381"/>
      <c r="D63" s="158" t="s">
        <v>363</v>
      </c>
      <c r="E63" s="166"/>
      <c r="F63" s="166"/>
      <c r="G63" s="166"/>
    </row>
    <row r="64" spans="2:7" ht="15" customHeight="1" x14ac:dyDescent="0.25">
      <c r="D64" s="166"/>
      <c r="E64" s="166"/>
      <c r="F64" s="166"/>
      <c r="G64" s="166"/>
    </row>
    <row r="65" spans="2:7" ht="15" customHeight="1" x14ac:dyDescent="0.25">
      <c r="B65" s="166"/>
      <c r="C65" s="166"/>
      <c r="D65" s="166"/>
      <c r="E65" s="166"/>
      <c r="F65" s="166"/>
      <c r="G65" s="166"/>
    </row>
    <row r="66" spans="2:7" ht="15" customHeight="1" x14ac:dyDescent="0.25">
      <c r="B66" s="166"/>
      <c r="C66" s="166"/>
      <c r="D66" s="166"/>
      <c r="E66" s="166"/>
      <c r="F66" s="166"/>
      <c r="G66" s="166"/>
    </row>
    <row r="67" spans="2:7" ht="15" customHeight="1" x14ac:dyDescent="0.25">
      <c r="B67" s="166"/>
      <c r="C67" s="166"/>
      <c r="D67" s="166"/>
      <c r="E67" s="166"/>
      <c r="F67" s="166"/>
      <c r="G67" s="166"/>
    </row>
    <row r="68" spans="2:7" ht="15" customHeight="1" x14ac:dyDescent="0.25">
      <c r="B68" s="166"/>
      <c r="C68" s="166"/>
      <c r="D68" s="166"/>
      <c r="E68" s="166"/>
      <c r="F68" s="166"/>
      <c r="G68" s="166"/>
    </row>
    <row r="69" spans="2:7" ht="15" customHeight="1" x14ac:dyDescent="0.25">
      <c r="C69" s="158"/>
      <c r="D69" s="158"/>
      <c r="E69" s="166"/>
      <c r="F69" s="158"/>
      <c r="G69" s="158"/>
    </row>
    <row r="70" spans="2:7" ht="18.75" x14ac:dyDescent="0.25">
      <c r="B70" s="228" t="s">
        <v>272</v>
      </c>
    </row>
    <row r="72" spans="2:7" ht="15" customHeight="1" x14ac:dyDescent="0.25">
      <c r="B72" s="89" t="s">
        <v>364</v>
      </c>
      <c r="D72" s="229"/>
      <c r="E72" s="229"/>
    </row>
    <row r="73" spans="2:7" x14ac:dyDescent="0.25">
      <c r="C73" s="230" t="s">
        <v>365</v>
      </c>
      <c r="D73" s="170" t="str">
        <f>Mesures_Four!C53</f>
        <v>JO1854/1C</v>
      </c>
      <c r="E73" s="171">
        <f>Mesures_Four!E53</f>
        <v>42901</v>
      </c>
    </row>
    <row r="74" spans="2:7" x14ac:dyDescent="0.25">
      <c r="C74" s="169" t="s">
        <v>366</v>
      </c>
      <c r="D74" s="170" t="str">
        <f>Mesures_Four!C54</f>
        <v>CF26299-A-001</v>
      </c>
      <c r="E74" s="171">
        <f>Mesures_Four!E54</f>
        <v>44785</v>
      </c>
    </row>
    <row r="75" spans="2:7" x14ac:dyDescent="0.25">
      <c r="C75" s="169" t="s">
        <v>273</v>
      </c>
      <c r="D75" s="170" t="str">
        <f>Mesures_Four!C55</f>
        <v>CF27160-A-001</v>
      </c>
      <c r="E75" s="171">
        <f>Mesures_Four!E55</f>
        <v>44865</v>
      </c>
    </row>
    <row r="76" spans="2:7" x14ac:dyDescent="0.25">
      <c r="C76" s="89"/>
      <c r="D76" s="89"/>
      <c r="E76" s="89"/>
    </row>
    <row r="77" spans="2:7" x14ac:dyDescent="0.25">
      <c r="B77" s="89" t="s">
        <v>367</v>
      </c>
      <c r="D77" s="89"/>
      <c r="E77" s="89"/>
    </row>
    <row r="78" spans="2:7" x14ac:dyDescent="0.25">
      <c r="C78" s="89"/>
      <c r="D78" s="89"/>
      <c r="E78" s="89"/>
    </row>
    <row r="79" spans="2:7" x14ac:dyDescent="0.25">
      <c r="C79" s="89"/>
      <c r="D79" s="89"/>
      <c r="E79" s="89"/>
    </row>
    <row r="80" spans="2:7" x14ac:dyDescent="0.25">
      <c r="B80" s="172" t="s">
        <v>275</v>
      </c>
      <c r="D80" s="89"/>
      <c r="E80" s="89"/>
    </row>
    <row r="81" spans="2:5" x14ac:dyDescent="0.25">
      <c r="B81" s="173" t="s">
        <v>276</v>
      </c>
      <c r="C81" s="173">
        <v>1500</v>
      </c>
      <c r="D81" s="89"/>
      <c r="E81" s="89"/>
    </row>
    <row r="82" spans="2:5" x14ac:dyDescent="0.25">
      <c r="B82" s="173" t="s">
        <v>277</v>
      </c>
      <c r="C82" s="174">
        <v>1500</v>
      </c>
      <c r="D82" s="89"/>
      <c r="E82" s="89"/>
    </row>
    <row r="83" spans="2:5" x14ac:dyDescent="0.25">
      <c r="B83" s="173" t="s">
        <v>278</v>
      </c>
      <c r="C83" s="173">
        <v>3500</v>
      </c>
      <c r="D83" s="89"/>
      <c r="E83" s="89"/>
    </row>
    <row r="84" spans="2:5" x14ac:dyDescent="0.25">
      <c r="B84" s="174" t="s">
        <v>279</v>
      </c>
      <c r="C84" s="173">
        <f>+C81*C82*C83*10^-6</f>
        <v>7875</v>
      </c>
      <c r="D84" s="89"/>
      <c r="E84" s="89"/>
    </row>
    <row r="85" spans="2:5" x14ac:dyDescent="0.25">
      <c r="B85" s="89"/>
      <c r="D85" s="89"/>
      <c r="E85" s="89"/>
    </row>
    <row r="86" spans="2:5" x14ac:dyDescent="0.25">
      <c r="B86" s="172" t="s">
        <v>280</v>
      </c>
      <c r="D86" s="89"/>
      <c r="E86" s="89"/>
    </row>
    <row r="87" spans="2:5" x14ac:dyDescent="0.25">
      <c r="B87" s="173" t="s">
        <v>276</v>
      </c>
      <c r="C87" s="173">
        <v>1100</v>
      </c>
      <c r="D87" s="89"/>
      <c r="E87" s="89"/>
    </row>
    <row r="88" spans="2:5" x14ac:dyDescent="0.25">
      <c r="B88" s="173" t="s">
        <v>277</v>
      </c>
      <c r="C88" s="173">
        <v>1100</v>
      </c>
      <c r="D88" s="89"/>
      <c r="E88" s="89"/>
    </row>
    <row r="89" spans="2:5" x14ac:dyDescent="0.25">
      <c r="B89" s="173" t="s">
        <v>278</v>
      </c>
      <c r="C89" s="173">
        <v>3400</v>
      </c>
      <c r="D89" s="89"/>
      <c r="E89" s="89"/>
    </row>
    <row r="90" spans="2:5" x14ac:dyDescent="0.25">
      <c r="B90" s="174" t="s">
        <v>279</v>
      </c>
      <c r="C90" s="173">
        <f>+C87*C88*C89*10^-6</f>
        <v>4114</v>
      </c>
      <c r="D90" s="89"/>
      <c r="E90" s="89"/>
    </row>
    <row r="91" spans="2:5" x14ac:dyDescent="0.25">
      <c r="C91" s="89"/>
      <c r="D91" s="89"/>
      <c r="E91" s="89"/>
    </row>
    <row r="92" spans="2:5" x14ac:dyDescent="0.25">
      <c r="C92" s="89"/>
    </row>
    <row r="93" spans="2:5" x14ac:dyDescent="0.25">
      <c r="C93" s="89"/>
    </row>
    <row r="94" spans="2:5" x14ac:dyDescent="0.25">
      <c r="C94" s="89"/>
    </row>
    <row r="98" spans="2:9" ht="18.75" x14ac:dyDescent="0.3">
      <c r="B98" s="231" t="s">
        <v>368</v>
      </c>
    </row>
    <row r="100" spans="2:9" ht="18.75" x14ac:dyDescent="0.3">
      <c r="C100" s="232" t="s">
        <v>369</v>
      </c>
      <c r="F100" s="232" t="s">
        <v>370</v>
      </c>
    </row>
    <row r="102" spans="2:9" x14ac:dyDescent="0.25">
      <c r="C102" s="233" t="s">
        <v>256</v>
      </c>
      <c r="D102" s="99" t="s">
        <v>371</v>
      </c>
      <c r="E102" s="99"/>
      <c r="F102" s="234" t="s">
        <v>372</v>
      </c>
      <c r="G102" s="99" t="s">
        <v>373</v>
      </c>
    </row>
    <row r="103" spans="2:9" x14ac:dyDescent="0.25">
      <c r="C103" s="233" t="s">
        <v>374</v>
      </c>
      <c r="D103" s="235" t="s">
        <v>375</v>
      </c>
      <c r="E103" s="99"/>
      <c r="F103" s="234" t="s">
        <v>376</v>
      </c>
      <c r="G103" s="99" t="s">
        <v>183</v>
      </c>
    </row>
    <row r="104" spans="2:9" x14ac:dyDescent="0.25">
      <c r="C104" s="233" t="s">
        <v>377</v>
      </c>
      <c r="D104" s="99" t="s">
        <v>378</v>
      </c>
      <c r="E104" s="99"/>
      <c r="F104" s="234" t="s">
        <v>379</v>
      </c>
      <c r="G104" s="236" t="str">
        <f>IF(+Mesures_Four!C16&lt;&gt;"",Mesures_Four!C16,"")</f>
        <v>PL1707000191-0817-PL3 Z19</v>
      </c>
    </row>
    <row r="105" spans="2:9" x14ac:dyDescent="0.25">
      <c r="C105" s="237" t="s">
        <v>380</v>
      </c>
      <c r="D105" s="99">
        <v>9</v>
      </c>
      <c r="F105" s="234" t="s">
        <v>381</v>
      </c>
      <c r="G105" s="238" t="str">
        <f>IF(+Mesures_Four!D16&lt;&gt;"",Mesures_Four!D16,"CC MANQUANT")</f>
        <v>CC MANQUANT</v>
      </c>
    </row>
    <row r="106" spans="2:9" x14ac:dyDescent="0.25">
      <c r="C106" s="233" t="s">
        <v>262</v>
      </c>
      <c r="D106" s="99" t="s">
        <v>382</v>
      </c>
      <c r="E106" s="99" t="str">
        <f>IF(+Mesures_Four!C18&lt;&gt;"","sonde TUS deuxième lot","")</f>
        <v/>
      </c>
      <c r="F106" s="234" t="s">
        <v>383</v>
      </c>
      <c r="G106" s="239" t="str">
        <f>IF(+Mesures_Four!E16&lt;&gt;"",Mesures_Four!E16,"")</f>
        <v/>
      </c>
    </row>
    <row r="107" spans="2:9" x14ac:dyDescent="0.25">
      <c r="C107" s="233" t="s">
        <v>384</v>
      </c>
      <c r="D107" s="226" t="str">
        <f>IF(+Mesures_Four!C17&lt;&gt;"",Mesures_Four!C17,"N°SERIE MANQUANT")</f>
        <v>N°SERIE MANQUANT</v>
      </c>
      <c r="E107" s="226" t="str">
        <f>IF(+Mesures_Four!C18&lt;&gt;"",Mesures_Four!C18,"")</f>
        <v/>
      </c>
      <c r="F107" s="234" t="s">
        <v>385</v>
      </c>
      <c r="G107" s="99">
        <v>3</v>
      </c>
      <c r="I107" s="108"/>
    </row>
    <row r="108" spans="2:9" x14ac:dyDescent="0.25">
      <c r="C108" s="233" t="s">
        <v>381</v>
      </c>
      <c r="D108" s="238" t="str">
        <f>IF(+Mesures_Four!D17&lt;&gt;"",Mesures_Four!D17,"CC MANQUANT")</f>
        <v>CC MANQUANT</v>
      </c>
      <c r="E108" s="238" t="str">
        <f>IF(+Mesures_Four!D18&lt;&gt;"",Mesures_Four!D18,"")</f>
        <v/>
      </c>
      <c r="F108" s="240" t="s">
        <v>386</v>
      </c>
      <c r="G108" s="241" t="str">
        <f>+IF(G106&lt;&gt;"",EDATE(G106,G107),"")</f>
        <v/>
      </c>
    </row>
    <row r="109" spans="2:9" x14ac:dyDescent="0.25">
      <c r="C109" s="233" t="s">
        <v>383</v>
      </c>
      <c r="D109" s="239" t="str">
        <f>IF(+Mesures_Four!E17&lt;&gt;"",Mesures_Four!E17,"")</f>
        <v/>
      </c>
      <c r="E109" s="239" t="str">
        <f>IF(+Mesures_Four!E18&lt;&gt;"",Mesures_Four!E18,"")</f>
        <v/>
      </c>
    </row>
    <row r="110" spans="2:9" x14ac:dyDescent="0.25">
      <c r="C110" s="233" t="s">
        <v>387</v>
      </c>
      <c r="D110" s="239" t="str">
        <f>IF(+Mesures_Four!F17&lt;&gt;"",Mesures_Four!F17,"")</f>
        <v/>
      </c>
      <c r="E110" s="239" t="str">
        <f>IF(+Mesures_Four!F18&lt;&gt;"",Mesures_Four!F18,"")</f>
        <v/>
      </c>
    </row>
    <row r="111" spans="2:9" x14ac:dyDescent="0.25">
      <c r="C111" s="233" t="s">
        <v>388</v>
      </c>
      <c r="D111" s="99">
        <v>3</v>
      </c>
      <c r="E111" s="99" t="str">
        <f>IF(+Mesures_Four!C18&lt;&gt;"","3","")</f>
        <v/>
      </c>
    </row>
    <row r="112" spans="2:9" x14ac:dyDescent="0.25">
      <c r="C112" s="233" t="s">
        <v>389</v>
      </c>
      <c r="D112" s="241" t="str">
        <f>IF(D110&lt;&gt;"",EDATE(D110,D111),"")</f>
        <v/>
      </c>
      <c r="E112" s="241" t="str">
        <f>IF(E110&lt;&gt;"",EDATE(E110,E111),"")</f>
        <v/>
      </c>
    </row>
    <row r="113" spans="2:8" x14ac:dyDescent="0.25">
      <c r="C113" s="233"/>
    </row>
    <row r="114" spans="2:8" x14ac:dyDescent="0.25">
      <c r="E114" s="242"/>
      <c r="F114" s="242"/>
      <c r="G114" s="242"/>
    </row>
    <row r="115" spans="2:8" x14ac:dyDescent="0.25">
      <c r="B115" s="243" t="s">
        <v>390</v>
      </c>
      <c r="D115" s="242"/>
      <c r="E115" s="242"/>
      <c r="F115" s="242"/>
      <c r="G115" s="242"/>
    </row>
    <row r="116" spans="2:8" x14ac:dyDescent="0.25">
      <c r="B116" s="383" t="str">
        <f>IF(+Mesures_Four!B58&lt;&gt;"",Mesures_Four!B58,"")</f>
        <v/>
      </c>
      <c r="C116" s="383"/>
      <c r="D116" s="383"/>
      <c r="E116" s="383"/>
      <c r="F116" s="383"/>
      <c r="G116" s="383"/>
      <c r="H116" s="383"/>
    </row>
    <row r="117" spans="2:8" x14ac:dyDescent="0.25">
      <c r="B117" s="383"/>
      <c r="C117" s="383"/>
      <c r="D117" s="383"/>
      <c r="E117" s="383"/>
      <c r="F117" s="383"/>
      <c r="G117" s="383"/>
      <c r="H117" s="383"/>
    </row>
    <row r="119" spans="2:8" ht="18.75" customHeight="1" x14ac:dyDescent="0.3">
      <c r="B119" s="231" t="s">
        <v>391</v>
      </c>
    </row>
    <row r="120" spans="2:8" ht="15" customHeight="1" x14ac:dyDescent="0.25"/>
    <row r="121" spans="2:8" ht="15" customHeight="1" x14ac:dyDescent="0.25">
      <c r="B121" s="384" t="s">
        <v>392</v>
      </c>
      <c r="C121" s="384"/>
      <c r="D121" s="384"/>
      <c r="E121" s="384"/>
      <c r="F121" s="384"/>
      <c r="G121" s="384"/>
      <c r="H121" s="384"/>
    </row>
    <row r="122" spans="2:8" ht="15" customHeight="1" x14ac:dyDescent="0.25">
      <c r="B122" s="384"/>
      <c r="C122" s="384"/>
      <c r="D122" s="384"/>
      <c r="E122" s="384"/>
      <c r="F122" s="384"/>
      <c r="G122" s="384"/>
      <c r="H122" s="384"/>
    </row>
    <row r="123" spans="2:8" ht="15" customHeight="1" x14ac:dyDescent="0.25">
      <c r="B123" s="384"/>
      <c r="C123" s="384"/>
      <c r="D123" s="384"/>
      <c r="E123" s="384"/>
      <c r="F123" s="384"/>
      <c r="G123" s="384"/>
      <c r="H123" s="384"/>
    </row>
    <row r="124" spans="2:8" ht="15" customHeight="1" x14ac:dyDescent="0.25">
      <c r="B124" s="384"/>
      <c r="C124" s="384"/>
      <c r="D124" s="384"/>
      <c r="E124" s="384"/>
      <c r="F124" s="384"/>
      <c r="G124" s="384"/>
      <c r="H124" s="384"/>
    </row>
    <row r="125" spans="2:8" ht="15" customHeight="1" x14ac:dyDescent="0.25">
      <c r="B125" s="384"/>
      <c r="C125" s="384"/>
      <c r="D125" s="384"/>
      <c r="E125" s="384"/>
      <c r="F125" s="384"/>
      <c r="G125" s="384"/>
      <c r="H125" s="384"/>
    </row>
    <row r="126" spans="2:8" ht="15" customHeight="1" x14ac:dyDescent="0.25">
      <c r="B126" s="384"/>
      <c r="C126" s="384"/>
      <c r="D126" s="384"/>
      <c r="E126" s="384"/>
      <c r="F126" s="384"/>
      <c r="G126" s="384"/>
      <c r="H126" s="384"/>
    </row>
    <row r="127" spans="2:8" ht="15" customHeight="1" x14ac:dyDescent="0.25">
      <c r="B127" s="384"/>
      <c r="C127" s="384"/>
      <c r="D127" s="384"/>
      <c r="E127" s="384"/>
      <c r="F127" s="384"/>
      <c r="G127" s="384"/>
      <c r="H127" s="384"/>
    </row>
    <row r="128" spans="2:8" ht="15" customHeight="1" x14ac:dyDescent="0.25">
      <c r="B128" s="384"/>
      <c r="C128" s="384"/>
      <c r="D128" s="384"/>
      <c r="E128" s="384"/>
      <c r="F128" s="384"/>
      <c r="G128" s="384"/>
      <c r="H128" s="384"/>
    </row>
    <row r="129" spans="2:8" ht="15" customHeight="1" x14ac:dyDescent="0.25">
      <c r="B129" s="384"/>
      <c r="C129" s="384"/>
      <c r="D129" s="384"/>
      <c r="E129" s="384"/>
      <c r="F129" s="384"/>
      <c r="G129" s="384"/>
      <c r="H129" s="384"/>
    </row>
    <row r="130" spans="2:8" ht="15" customHeight="1" x14ac:dyDescent="0.25">
      <c r="B130" s="384"/>
      <c r="C130" s="384"/>
      <c r="D130" s="384"/>
      <c r="E130" s="384"/>
      <c r="F130" s="384"/>
      <c r="G130" s="384"/>
      <c r="H130" s="384"/>
    </row>
    <row r="131" spans="2:8" ht="15" customHeight="1" x14ac:dyDescent="0.25">
      <c r="B131" s="384"/>
      <c r="C131" s="384"/>
      <c r="D131" s="384"/>
      <c r="E131" s="384"/>
      <c r="F131" s="384"/>
      <c r="G131" s="384"/>
      <c r="H131" s="384"/>
    </row>
    <row r="132" spans="2:8" ht="15" customHeight="1" x14ac:dyDescent="0.25">
      <c r="B132" s="384"/>
      <c r="C132" s="384"/>
      <c r="D132" s="384"/>
      <c r="E132" s="384"/>
      <c r="F132" s="384"/>
      <c r="G132" s="384"/>
      <c r="H132" s="384"/>
    </row>
    <row r="133" spans="2:8" ht="15" customHeight="1" x14ac:dyDescent="0.25">
      <c r="B133" s="384"/>
      <c r="C133" s="384"/>
      <c r="D133" s="384"/>
      <c r="E133" s="384"/>
      <c r="F133" s="384"/>
      <c r="G133" s="384"/>
      <c r="H133" s="384"/>
    </row>
    <row r="134" spans="2:8" ht="15" customHeight="1" x14ac:dyDescent="0.25">
      <c r="B134" s="384"/>
      <c r="C134" s="384"/>
      <c r="D134" s="384"/>
      <c r="E134" s="384"/>
      <c r="F134" s="384"/>
      <c r="G134" s="384"/>
      <c r="H134" s="384"/>
    </row>
    <row r="135" spans="2:8" ht="15" customHeight="1" x14ac:dyDescent="0.25">
      <c r="B135" s="384"/>
      <c r="C135" s="384"/>
      <c r="D135" s="384"/>
      <c r="E135" s="384"/>
      <c r="F135" s="384"/>
      <c r="G135" s="384"/>
      <c r="H135" s="384"/>
    </row>
    <row r="136" spans="2:8" ht="15" customHeight="1" x14ac:dyDescent="0.25">
      <c r="B136" s="244"/>
      <c r="C136" s="244"/>
      <c r="D136" s="244"/>
      <c r="E136" s="244"/>
      <c r="F136" s="244"/>
      <c r="G136" s="244"/>
      <c r="H136" s="244"/>
    </row>
    <row r="137" spans="2:8" ht="15" customHeight="1" x14ac:dyDescent="0.25">
      <c r="B137" s="244"/>
      <c r="C137" s="244"/>
      <c r="D137" s="244"/>
      <c r="E137" s="244"/>
      <c r="F137" s="244"/>
      <c r="G137" s="244"/>
      <c r="H137" s="244"/>
    </row>
    <row r="138" spans="2:8" x14ac:dyDescent="0.25">
      <c r="C138" s="229"/>
      <c r="D138" s="229"/>
      <c r="E138" s="229"/>
      <c r="F138" s="229"/>
      <c r="G138" s="229"/>
    </row>
    <row r="142" spans="2:8" ht="18.75" x14ac:dyDescent="0.3">
      <c r="B142" s="231" t="s">
        <v>393</v>
      </c>
    </row>
    <row r="146" spans="2:4" x14ac:dyDescent="0.25">
      <c r="B146" s="35" t="s">
        <v>394</v>
      </c>
      <c r="C146" s="245" t="s">
        <v>395</v>
      </c>
      <c r="D146" s="245" t="s">
        <v>396</v>
      </c>
    </row>
    <row r="147" spans="2:4" x14ac:dyDescent="0.25">
      <c r="B147" s="35" t="str">
        <f>SUBSTITUTE(Mesures_Four!A28,"Emplacement ","")</f>
        <v>1</v>
      </c>
      <c r="C147" s="317">
        <f>Mesures_Four!B28</f>
        <v>0</v>
      </c>
      <c r="D147" s="318">
        <f>Mesures_Four!C28</f>
        <v>0</v>
      </c>
    </row>
    <row r="148" spans="2:4" x14ac:dyDescent="0.25">
      <c r="B148" s="35" t="str">
        <f>SUBSTITUTE(Mesures_Four!A29,"Emplacement ","")</f>
        <v>2</v>
      </c>
      <c r="C148" s="317">
        <f>Mesures_Four!B29</f>
        <v>0</v>
      </c>
      <c r="D148" s="318">
        <f>Mesures_Four!C29</f>
        <v>0</v>
      </c>
    </row>
    <row r="149" spans="2:4" x14ac:dyDescent="0.25">
      <c r="B149" s="35" t="str">
        <f>SUBSTITUTE(Mesures_Four!A30,"Emplacement ","")</f>
        <v>3</v>
      </c>
      <c r="C149" s="317">
        <f>Mesures_Four!B30</f>
        <v>0</v>
      </c>
      <c r="D149" s="318">
        <f>Mesures_Four!C30</f>
        <v>0</v>
      </c>
    </row>
    <row r="150" spans="2:4" x14ac:dyDescent="0.25">
      <c r="B150" s="35" t="str">
        <f>SUBSTITUTE(Mesures_Four!A31,"Emplacement ","")</f>
        <v>4</v>
      </c>
      <c r="C150" s="317">
        <f>Mesures_Four!B31</f>
        <v>0</v>
      </c>
      <c r="D150" s="318">
        <f>Mesures_Four!C31</f>
        <v>0</v>
      </c>
    </row>
    <row r="151" spans="2:4" x14ac:dyDescent="0.25">
      <c r="B151" s="35" t="str">
        <f>SUBSTITUTE(Mesures_Four!A32,"Emplacement ","")</f>
        <v>5</v>
      </c>
      <c r="C151" s="317">
        <f>Mesures_Four!B32</f>
        <v>0</v>
      </c>
      <c r="D151" s="318">
        <f>Mesures_Four!C32</f>
        <v>0</v>
      </c>
    </row>
    <row r="152" spans="2:4" x14ac:dyDescent="0.25">
      <c r="B152" s="35" t="str">
        <f>SUBSTITUTE(Mesures_Four!A33,"Emplacement ","")</f>
        <v>6</v>
      </c>
      <c r="C152" s="317">
        <f>Mesures_Four!B33</f>
        <v>0</v>
      </c>
      <c r="D152" s="318">
        <f>Mesures_Four!C33</f>
        <v>0</v>
      </c>
    </row>
    <row r="153" spans="2:4" x14ac:dyDescent="0.25">
      <c r="B153" s="35" t="str">
        <f>SUBSTITUTE(Mesures_Four!A34,"Emplacement ","")</f>
        <v>7</v>
      </c>
      <c r="C153" s="317">
        <f>Mesures_Four!B34</f>
        <v>0</v>
      </c>
      <c r="D153" s="318">
        <f>Mesures_Four!C34</f>
        <v>0</v>
      </c>
    </row>
    <row r="154" spans="2:4" x14ac:dyDescent="0.25">
      <c r="B154" s="35" t="str">
        <f>SUBSTITUTE(Mesures_Four!A35,"Emplacement ","")</f>
        <v>8</v>
      </c>
      <c r="C154" s="317">
        <f>Mesures_Four!B35</f>
        <v>0</v>
      </c>
      <c r="D154" s="318">
        <f>Mesures_Four!C35</f>
        <v>0</v>
      </c>
    </row>
    <row r="155" spans="2:4" x14ac:dyDescent="0.25">
      <c r="B155" s="35" t="str">
        <f>SUBSTITUTE(Mesures_Four!A36,"Emplacement ","")</f>
        <v>9</v>
      </c>
      <c r="C155" s="317">
        <f>Mesures_Four!B36</f>
        <v>0</v>
      </c>
      <c r="D155" s="318">
        <f>Mesures_Four!C36</f>
        <v>0</v>
      </c>
    </row>
    <row r="178" spans="2:6" ht="18.75" x14ac:dyDescent="0.3">
      <c r="B178" s="231" t="str">
        <f>_xlfn.CONCAT("6- Résultats et exploitations des résultats à ",B181)</f>
        <v>6- Résultats et exploitations des résultats à 80°C</v>
      </c>
    </row>
    <row r="180" spans="2:6" x14ac:dyDescent="0.25">
      <c r="B180" s="246" t="s">
        <v>241</v>
      </c>
      <c r="C180" s="246" t="s">
        <v>397</v>
      </c>
      <c r="E180" s="246" t="s">
        <v>398</v>
      </c>
      <c r="F180" s="246" t="s">
        <v>399</v>
      </c>
    </row>
    <row r="181" spans="2:6" x14ac:dyDescent="0.25">
      <c r="B181" s="247" t="str">
        <f>Mesures_Four!D27</f>
        <v>80°C</v>
      </c>
      <c r="C181" s="248" t="str">
        <f>_xlfn.CONCAT("± ",Mesures_Four!F21,"°C")</f>
        <v>± 3°C</v>
      </c>
      <c r="E181" s="247" t="s">
        <v>400</v>
      </c>
      <c r="F181" s="130">
        <f>Mesures_Four!C21</f>
        <v>-0.6</v>
      </c>
    </row>
    <row r="182" spans="2:6" x14ac:dyDescent="0.25">
      <c r="E182" s="247" t="s">
        <v>401</v>
      </c>
      <c r="F182" s="130">
        <f>Mesures_Four!D21</f>
        <v>-0.27</v>
      </c>
    </row>
    <row r="183" spans="2:6" x14ac:dyDescent="0.25">
      <c r="B183" s="246" t="s">
        <v>402</v>
      </c>
      <c r="C183" s="246" t="s">
        <v>403</v>
      </c>
      <c r="E183" s="247" t="s">
        <v>404</v>
      </c>
      <c r="F183" s="130">
        <f>Mesures_Four!E21</f>
        <v>0.5</v>
      </c>
    </row>
    <row r="184" spans="2:6" x14ac:dyDescent="0.25">
      <c r="B184" s="249">
        <f>INDEX(tab_four80[Date/Heure],1)</f>
        <v>0</v>
      </c>
      <c r="C184" s="249">
        <f ca="1">OFFSET(INDEX(tab_four80[Date/Heure],1),COUNTA(tab_four80[Date/Heure])+COUNTBLANK(tab_four80[Date/Heure])-1,0,1)</f>
        <v>0</v>
      </c>
    </row>
    <row r="186" spans="2:6" ht="18.75" x14ac:dyDescent="0.3">
      <c r="B186" s="231" t="s">
        <v>405</v>
      </c>
    </row>
    <row r="188" spans="2:6" x14ac:dyDescent="0.25">
      <c r="C188" s="246" t="s">
        <v>406</v>
      </c>
      <c r="D188" s="246" t="s">
        <v>407</v>
      </c>
      <c r="E188" s="246" t="s">
        <v>408</v>
      </c>
      <c r="F188" s="246" t="s">
        <v>409</v>
      </c>
    </row>
    <row r="189" spans="2:6" x14ac:dyDescent="0.25">
      <c r="C189" s="247" t="s">
        <v>410</v>
      </c>
      <c r="D189" s="250" t="e">
        <f ca="1">'80°C'!AB354</f>
        <v>#REF!</v>
      </c>
      <c r="E189" s="250" t="e">
        <f ca="1">'80°C'!AB355</f>
        <v>#REF!</v>
      </c>
      <c r="F189" s="250" t="e">
        <f ca="1">'80°C'!AB356</f>
        <v>#REF!</v>
      </c>
    </row>
    <row r="190" spans="2:6" x14ac:dyDescent="0.25">
      <c r="C190" s="247" t="s">
        <v>411</v>
      </c>
      <c r="D190" s="250" t="e">
        <f ca="1">'80°C'!AC354</f>
        <v>#REF!</v>
      </c>
      <c r="E190" s="250" t="e">
        <f ca="1">'80°C'!AC355</f>
        <v>#REF!</v>
      </c>
      <c r="F190" s="250" t="e">
        <f ca="1">'80°C'!AC356</f>
        <v>#REF!</v>
      </c>
    </row>
    <row r="191" spans="2:6" x14ac:dyDescent="0.25">
      <c r="C191" s="247" t="s">
        <v>412</v>
      </c>
      <c r="D191" s="250" t="e">
        <f ca="1">'80°C'!AA354</f>
        <v>#REF!</v>
      </c>
      <c r="E191" s="250" t="e">
        <f ca="1">'80°C'!AA355</f>
        <v>#REF!</v>
      </c>
      <c r="F191" s="250" t="e">
        <f ca="1">'80°C'!AA356</f>
        <v>#REF!</v>
      </c>
    </row>
    <row r="193" spans="2:5" ht="18.75" x14ac:dyDescent="0.3">
      <c r="B193" s="231" t="s">
        <v>413</v>
      </c>
    </row>
    <row r="195" spans="2:5" x14ac:dyDescent="0.25">
      <c r="B195" s="385" t="s">
        <v>301</v>
      </c>
      <c r="C195" s="385"/>
      <c r="D195" s="246" t="s">
        <v>414</v>
      </c>
      <c r="E195" s="246" t="s">
        <v>415</v>
      </c>
    </row>
    <row r="196" spans="2:5" x14ac:dyDescent="0.25">
      <c r="B196" s="386" t="s">
        <v>416</v>
      </c>
      <c r="C196" s="386"/>
      <c r="D196" s="251" t="str">
        <f>B181</f>
        <v>80°C</v>
      </c>
      <c r="E196" s="251" t="s">
        <v>201</v>
      </c>
    </row>
    <row r="197" spans="2:5" x14ac:dyDescent="0.25">
      <c r="B197" s="386" t="s">
        <v>202</v>
      </c>
      <c r="C197" s="386"/>
      <c r="D197" s="251" t="str">
        <f>B181</f>
        <v>80°C</v>
      </c>
      <c r="E197" s="251" t="s">
        <v>201</v>
      </c>
    </row>
    <row r="198" spans="2:5" x14ac:dyDescent="0.25">
      <c r="B198" s="386" t="s">
        <v>417</v>
      </c>
      <c r="C198" s="386"/>
      <c r="D198" s="250">
        <f>'80°C'!W181</f>
        <v>0</v>
      </c>
      <c r="E198" s="252" t="e">
        <f>VLOOKUP(SUBSTITUTE(HLOOKUP(D198,'80°C'!$N181:$V$188,8,FALSE),"Connecteur ",""),Mesures_Four!B28:C36,2,FALSE)</f>
        <v>#N/A</v>
      </c>
    </row>
    <row r="199" spans="2:5" ht="30" customHeight="1" x14ac:dyDescent="0.25">
      <c r="B199" s="393" t="s">
        <v>418</v>
      </c>
      <c r="C199" s="393"/>
      <c r="D199" s="250" t="e">
        <f ca="1">'80°C'!W182</f>
        <v>#REF!</v>
      </c>
      <c r="E199" s="252" t="e">
        <f ca="1">VLOOKUP(SUBSTITUTE(HLOOKUP(D199,'80°C'!$N182:$V$188,7,FALSE),"Connecteur ",""),Mesures_Four!B28:C36,2,FALSE)</f>
        <v>#REF!</v>
      </c>
    </row>
    <row r="200" spans="2:5" ht="30" customHeight="1" x14ac:dyDescent="0.25">
      <c r="B200" s="393" t="s">
        <v>419</v>
      </c>
      <c r="C200" s="393"/>
      <c r="D200" s="250" t="e">
        <f ca="1">'80°C'!W183</f>
        <v>#REF!</v>
      </c>
      <c r="E200" s="252" t="e">
        <f ca="1">VLOOKUP(SUBSTITUTE(HLOOKUP(D200,'80°C'!$N183:$V$188,6,FALSE),"Connecteur ",""),Mesures_Four!B28:C36,2,FALSE)</f>
        <v>#REF!</v>
      </c>
    </row>
    <row r="201" spans="2:5" ht="30" customHeight="1" x14ac:dyDescent="0.25">
      <c r="B201" s="393" t="s">
        <v>420</v>
      </c>
      <c r="C201" s="393"/>
      <c r="D201" s="250" t="e">
        <f ca="1">'80°C'!W187</f>
        <v>#REF!</v>
      </c>
      <c r="E201" s="251" t="s">
        <v>201</v>
      </c>
    </row>
    <row r="209" spans="2:8" ht="18.75" x14ac:dyDescent="0.3">
      <c r="B209" s="231" t="s">
        <v>421</v>
      </c>
    </row>
    <row r="210" spans="2:8" ht="18.75" x14ac:dyDescent="0.3">
      <c r="B210" s="231"/>
    </row>
    <row r="211" spans="2:8" x14ac:dyDescent="0.25">
      <c r="B211" s="394" t="s">
        <v>422</v>
      </c>
      <c r="C211" s="394" t="s">
        <v>415</v>
      </c>
      <c r="D211" s="385" t="s">
        <v>423</v>
      </c>
      <c r="E211" s="385"/>
      <c r="F211" s="385"/>
      <c r="G211" s="385"/>
      <c r="H211" s="246" t="s">
        <v>342</v>
      </c>
    </row>
    <row r="212" spans="2:8" x14ac:dyDescent="0.25">
      <c r="B212" s="395"/>
      <c r="C212" s="395"/>
      <c r="D212" s="247" t="s">
        <v>424</v>
      </c>
      <c r="E212" s="247" t="s">
        <v>425</v>
      </c>
      <c r="F212" s="247" t="s">
        <v>213</v>
      </c>
      <c r="G212" s="247" t="s">
        <v>214</v>
      </c>
      <c r="H212" s="247" t="s">
        <v>426</v>
      </c>
    </row>
    <row r="213" spans="2:8" x14ac:dyDescent="0.25">
      <c r="B213" s="253" t="s">
        <v>427</v>
      </c>
      <c r="C213" s="247" t="e">
        <f>VLOOKUP($B213,$C$147:$D$155,2,FALSE)</f>
        <v>#N/A</v>
      </c>
      <c r="D213" s="250" t="e">
        <f ca="1">'80°C'!N182</f>
        <v>#REF!</v>
      </c>
      <c r="E213" s="250" t="e">
        <f ca="1">'80°C'!N183</f>
        <v>#REF!</v>
      </c>
      <c r="F213" s="250" t="e">
        <f ca="1">'80°C'!N184</f>
        <v>#REF!</v>
      </c>
      <c r="G213" s="250" t="e">
        <f t="shared" ref="G213:G221" ca="1" si="0">D213-E213</f>
        <v>#REF!</v>
      </c>
      <c r="H213" s="250">
        <f>'80°C'!N181</f>
        <v>0</v>
      </c>
    </row>
    <row r="214" spans="2:8" x14ac:dyDescent="0.25">
      <c r="B214" s="253" t="s">
        <v>428</v>
      </c>
      <c r="C214" s="247" t="e">
        <f t="shared" ref="C214:C221" si="1">VLOOKUP($B214,$C$147:$D$155,2,FALSE)</f>
        <v>#N/A</v>
      </c>
      <c r="D214" s="250" t="e">
        <f ca="1">'80°C'!O182</f>
        <v>#REF!</v>
      </c>
      <c r="E214" s="250" t="e">
        <f ca="1">'80°C'!O183</f>
        <v>#REF!</v>
      </c>
      <c r="F214" s="250" t="e">
        <f ca="1">'80°C'!O184</f>
        <v>#REF!</v>
      </c>
      <c r="G214" s="250" t="e">
        <f t="shared" ca="1" si="0"/>
        <v>#REF!</v>
      </c>
      <c r="H214" s="250">
        <f>'80°C'!O181</f>
        <v>0</v>
      </c>
    </row>
    <row r="215" spans="2:8" x14ac:dyDescent="0.25">
      <c r="B215" s="253" t="s">
        <v>429</v>
      </c>
      <c r="C215" s="247" t="e">
        <f t="shared" si="1"/>
        <v>#N/A</v>
      </c>
      <c r="D215" s="250" t="e">
        <f ca="1">'80°C'!P182</f>
        <v>#REF!</v>
      </c>
      <c r="E215" s="250" t="e">
        <f ca="1">'80°C'!P183</f>
        <v>#REF!</v>
      </c>
      <c r="F215" s="250" t="e">
        <f ca="1">'80°C'!P184</f>
        <v>#REF!</v>
      </c>
      <c r="G215" s="250" t="e">
        <f t="shared" ca="1" si="0"/>
        <v>#REF!</v>
      </c>
      <c r="H215" s="250">
        <f>'80°C'!P181</f>
        <v>0</v>
      </c>
    </row>
    <row r="216" spans="2:8" x14ac:dyDescent="0.25">
      <c r="B216" s="253" t="s">
        <v>430</v>
      </c>
      <c r="C216" s="247" t="e">
        <f t="shared" si="1"/>
        <v>#N/A</v>
      </c>
      <c r="D216" s="250" t="e">
        <f ca="1">'80°C'!Q182</f>
        <v>#REF!</v>
      </c>
      <c r="E216" s="250" t="e">
        <f ca="1">'80°C'!Q183</f>
        <v>#REF!</v>
      </c>
      <c r="F216" s="250" t="e">
        <f ca="1">'80°C'!Q184</f>
        <v>#REF!</v>
      </c>
      <c r="G216" s="250" t="e">
        <f t="shared" ca="1" si="0"/>
        <v>#REF!</v>
      </c>
      <c r="H216" s="250">
        <f>'80°C'!Q181</f>
        <v>0</v>
      </c>
    </row>
    <row r="217" spans="2:8" x14ac:dyDescent="0.25">
      <c r="B217" s="253" t="s">
        <v>431</v>
      </c>
      <c r="C217" s="247" t="e">
        <f t="shared" si="1"/>
        <v>#N/A</v>
      </c>
      <c r="D217" s="250" t="e">
        <f ca="1">'80°C'!R182</f>
        <v>#REF!</v>
      </c>
      <c r="E217" s="250" t="e">
        <f ca="1">'80°C'!R183</f>
        <v>#REF!</v>
      </c>
      <c r="F217" s="250" t="e">
        <f ca="1">'80°C'!R184</f>
        <v>#REF!</v>
      </c>
      <c r="G217" s="250" t="e">
        <f t="shared" ca="1" si="0"/>
        <v>#REF!</v>
      </c>
      <c r="H217" s="250">
        <f>'80°C'!R181</f>
        <v>0</v>
      </c>
    </row>
    <row r="218" spans="2:8" x14ac:dyDescent="0.25">
      <c r="B218" s="253" t="s">
        <v>432</v>
      </c>
      <c r="C218" s="247" t="e">
        <f t="shared" si="1"/>
        <v>#N/A</v>
      </c>
      <c r="D218" s="250" t="e">
        <f ca="1">'80°C'!S182</f>
        <v>#REF!</v>
      </c>
      <c r="E218" s="250" t="e">
        <f ca="1">'80°C'!S183</f>
        <v>#REF!</v>
      </c>
      <c r="F218" s="250" t="e">
        <f ca="1">'80°C'!S184</f>
        <v>#REF!</v>
      </c>
      <c r="G218" s="250" t="e">
        <f t="shared" ca="1" si="0"/>
        <v>#REF!</v>
      </c>
      <c r="H218" s="250">
        <f>'80°C'!S181</f>
        <v>0</v>
      </c>
    </row>
    <row r="219" spans="2:8" x14ac:dyDescent="0.25">
      <c r="B219" s="253" t="s">
        <v>433</v>
      </c>
      <c r="C219" s="247" t="e">
        <f t="shared" si="1"/>
        <v>#N/A</v>
      </c>
      <c r="D219" s="250" t="e">
        <f ca="1">'80°C'!T182</f>
        <v>#REF!</v>
      </c>
      <c r="E219" s="250" t="e">
        <f ca="1">'80°C'!T183</f>
        <v>#REF!</v>
      </c>
      <c r="F219" s="250" t="e">
        <f ca="1">'80°C'!T184</f>
        <v>#REF!</v>
      </c>
      <c r="G219" s="250" t="e">
        <f t="shared" ca="1" si="0"/>
        <v>#REF!</v>
      </c>
      <c r="H219" s="250">
        <f>'80°C'!T181</f>
        <v>0</v>
      </c>
    </row>
    <row r="220" spans="2:8" x14ac:dyDescent="0.25">
      <c r="B220" s="253" t="s">
        <v>434</v>
      </c>
      <c r="C220" s="247" t="e">
        <f t="shared" si="1"/>
        <v>#N/A</v>
      </c>
      <c r="D220" s="250" t="e">
        <f ca="1">'80°C'!U182</f>
        <v>#REF!</v>
      </c>
      <c r="E220" s="250" t="e">
        <f ca="1">'80°C'!U183</f>
        <v>#REF!</v>
      </c>
      <c r="F220" s="250" t="e">
        <f ca="1">'80°C'!U184</f>
        <v>#REF!</v>
      </c>
      <c r="G220" s="250" t="e">
        <f t="shared" ca="1" si="0"/>
        <v>#REF!</v>
      </c>
      <c r="H220" s="250">
        <f>'80°C'!U181</f>
        <v>0</v>
      </c>
    </row>
    <row r="221" spans="2:8" x14ac:dyDescent="0.25">
      <c r="B221" s="253" t="s">
        <v>435</v>
      </c>
      <c r="C221" s="247" t="e">
        <f t="shared" si="1"/>
        <v>#N/A</v>
      </c>
      <c r="D221" s="250" t="e">
        <f ca="1">'80°C'!V182</f>
        <v>#REF!</v>
      </c>
      <c r="E221" s="250" t="e">
        <f ca="1">'80°C'!V183</f>
        <v>#REF!</v>
      </c>
      <c r="F221" s="250" t="e">
        <f ca="1">'80°C'!V184</f>
        <v>#REF!</v>
      </c>
      <c r="G221" s="250" t="e">
        <f t="shared" ca="1" si="0"/>
        <v>#REF!</v>
      </c>
      <c r="H221" s="250">
        <f>'80°C'!V181</f>
        <v>0</v>
      </c>
    </row>
    <row r="223" spans="2:8" ht="18.75" x14ac:dyDescent="0.3">
      <c r="B223" s="231" t="s">
        <v>436</v>
      </c>
    </row>
    <row r="252" spans="2:6" ht="18.75" x14ac:dyDescent="0.3">
      <c r="B252" s="231" t="s">
        <v>437</v>
      </c>
    </row>
    <row r="253" spans="2:6" ht="18.75" x14ac:dyDescent="0.3">
      <c r="B253" s="231"/>
      <c r="C253" s="387" t="s">
        <v>438</v>
      </c>
      <c r="D253" s="387"/>
      <c r="E253" s="387"/>
      <c r="F253" s="387"/>
    </row>
    <row r="254" spans="2:6" ht="28.9" customHeight="1" x14ac:dyDescent="0.25">
      <c r="C254" s="388" t="str">
        <f>_xlfn.CONCAT("Dépassement de la consigne durant la phase de montée ou de maintien en température (&gt; ",B181,")")</f>
        <v>Dépassement de la consigne durant la phase de montée ou de maintien en température (&gt; 80°C)</v>
      </c>
      <c r="D254" s="388"/>
      <c r="E254" s="389" t="str">
        <f>IF('80°C'!W181-Mesures_Four!B21&gt;0,'80°C'!W181-Mesures_Four!B21,"PAS DE DÉPASSEMENT")</f>
        <v>PAS DE DÉPASSEMENT</v>
      </c>
      <c r="F254" s="390"/>
    </row>
    <row r="255" spans="2:6" ht="18.75" x14ac:dyDescent="0.3">
      <c r="B255" s="231"/>
      <c r="C255" s="391" t="str">
        <f>_xlfn.CONCAT("Dépassement supérieur à la tolérance maximale (",C181,")")</f>
        <v>Dépassement supérieur à la tolérance maximale (± 3°C)</v>
      </c>
      <c r="D255" s="391"/>
      <c r="E255" s="392" t="str">
        <f>IF(OR(E254="PAS DE DÉPASSEMENT",E254&lt;=Mesures_Four!F21),"NON","OUI")</f>
        <v>NON</v>
      </c>
      <c r="F255" s="392"/>
    </row>
    <row r="257" spans="2:7" x14ac:dyDescent="0.25">
      <c r="C257" s="387" t="s">
        <v>439</v>
      </c>
      <c r="D257" s="387"/>
      <c r="E257" s="387"/>
      <c r="F257" s="387"/>
    </row>
    <row r="258" spans="2:7" ht="28.9" customHeight="1" x14ac:dyDescent="0.25">
      <c r="C258" s="388" t="s">
        <v>440</v>
      </c>
      <c r="D258" s="388"/>
      <c r="E258" s="389" t="e">
        <f ca="1">'80°C'!N192</f>
        <v>#REF!</v>
      </c>
      <c r="F258" s="389"/>
    </row>
    <row r="259" spans="2:7" ht="28.9" customHeight="1" x14ac:dyDescent="0.25">
      <c r="C259" s="388" t="s">
        <v>441</v>
      </c>
      <c r="D259" s="388"/>
      <c r="E259" s="389" t="e">
        <f ca="1">'80°C'!N191</f>
        <v>#REF!</v>
      </c>
      <c r="F259" s="389"/>
    </row>
    <row r="260" spans="2:7" x14ac:dyDescent="0.25">
      <c r="C260" s="397" t="s">
        <v>442</v>
      </c>
      <c r="D260" s="397"/>
      <c r="E260" s="402" t="e">
        <f ca="1">'80°C'!N186</f>
        <v>#REF!</v>
      </c>
      <c r="F260" s="403"/>
    </row>
    <row r="261" spans="2:7" x14ac:dyDescent="0.25">
      <c r="C261" s="397" t="s">
        <v>443</v>
      </c>
      <c r="D261" s="397"/>
      <c r="E261" s="398">
        <f>Mesures_Four!G21</f>
        <v>6</v>
      </c>
      <c r="F261" s="398"/>
    </row>
    <row r="262" spans="2:7" x14ac:dyDescent="0.25">
      <c r="C262" s="391" t="s">
        <v>444</v>
      </c>
      <c r="D262" s="391"/>
      <c r="E262" s="399" t="e">
        <f ca="1">IF(AND(ABS(E258)&lt;=E261/2,(ABS(E259)&lt;=E261/2)),"CONFORME","NON CONFORME")</f>
        <v>#REF!</v>
      </c>
      <c r="F262" s="399"/>
    </row>
    <row r="264" spans="2:7" x14ac:dyDescent="0.25">
      <c r="C264" s="385" t="s">
        <v>445</v>
      </c>
      <c r="D264" s="385"/>
      <c r="E264" s="246" t="s">
        <v>404</v>
      </c>
      <c r="F264" s="246" t="s">
        <v>401</v>
      </c>
    </row>
    <row r="265" spans="2:7" ht="28.9" customHeight="1" x14ac:dyDescent="0.25">
      <c r="B265" s="254" t="s">
        <v>446</v>
      </c>
      <c r="C265" s="400" t="s">
        <v>447</v>
      </c>
      <c r="D265" s="401"/>
      <c r="E265" s="154" t="e">
        <f ca="1">IF(ABS(E258)&lt;Mesures_Four!F21/2,"OUI","NON")</f>
        <v>#REF!</v>
      </c>
      <c r="F265" s="154" t="e">
        <f ca="1">IF(ABS(E259)&lt;Mesures_Four!F21/2,"OUI","NON")</f>
        <v>#REF!</v>
      </c>
    </row>
    <row r="266" spans="2:7" ht="28.9" customHeight="1" x14ac:dyDescent="0.25">
      <c r="B266" s="408" t="s">
        <v>448</v>
      </c>
      <c r="C266" s="400" t="s">
        <v>449</v>
      </c>
      <c r="D266" s="401"/>
      <c r="E266" s="154" t="e">
        <f ca="1">IF(ABS('80°C'!AA355-'80°C'!W183)&lt;1.1,"OUI","NON")</f>
        <v>#REF!</v>
      </c>
      <c r="F266" s="154" t="s">
        <v>201</v>
      </c>
    </row>
    <row r="267" spans="2:7" ht="28.9" customHeight="1" x14ac:dyDescent="0.25">
      <c r="B267" s="408"/>
      <c r="C267" s="400" t="s">
        <v>450</v>
      </c>
      <c r="D267" s="401"/>
      <c r="E267" s="154" t="s">
        <v>201</v>
      </c>
      <c r="F267" s="154" t="e">
        <f ca="1">IF(ABS('80°C'!AC354-'80°C'!W182)&lt;1.1,"OUI","NON")</f>
        <v>#REF!</v>
      </c>
    </row>
    <row r="268" spans="2:7" ht="28.9" customHeight="1" x14ac:dyDescent="0.25">
      <c r="C268" s="409" t="s">
        <v>451</v>
      </c>
      <c r="D268" s="409"/>
      <c r="E268" s="154" t="e">
        <f ca="1">IF(E265="OUI","NON",IF(E266="OUI","NON","OUI"))</f>
        <v>#REF!</v>
      </c>
      <c r="F268" s="154" t="e">
        <f ca="1">IF(F265="OUI","NON",IF(F267="OUI","NON","OUI"))</f>
        <v>#REF!</v>
      </c>
    </row>
    <row r="269" spans="2:7" x14ac:dyDescent="0.25">
      <c r="C269" s="207"/>
      <c r="D269" s="207"/>
    </row>
    <row r="270" spans="2:7" ht="18.75" x14ac:dyDescent="0.25">
      <c r="B270" s="410" t="str">
        <f>_xlfn.CONCAT("A ",B181,", avec une consigne à ",B181,", le four est ")</f>
        <v xml:space="preserve">A 80°C, avec une consigne à 80°C, le four est </v>
      </c>
      <c r="C270" s="410"/>
      <c r="D270" s="410"/>
      <c r="E270" s="255" t="e">
        <f ca="1">IF(AND(E255="NON",E262="CONFORME"),"CONFORME","NON CONFORME")</f>
        <v>#REF!</v>
      </c>
      <c r="F270" s="396" t="str">
        <f>_xlfn.CONCAT("à la tolérance requise de ± ",Mesures_Four!F21,"°C")</f>
        <v>à la tolérance requise de ± 3°C</v>
      </c>
      <c r="G270" s="396"/>
    </row>
    <row r="278" spans="2:6" ht="18.75" x14ac:dyDescent="0.3">
      <c r="B278" s="231" t="str">
        <f>_xlfn.CONCAT("6- Résultats et exploitations des résultats à ",B281)</f>
        <v>6- Résultats et exploitations des résultats à 200°C</v>
      </c>
    </row>
    <row r="280" spans="2:6" x14ac:dyDescent="0.25">
      <c r="B280" s="246" t="s">
        <v>241</v>
      </c>
      <c r="C280" s="246" t="s">
        <v>397</v>
      </c>
      <c r="E280" s="246" t="s">
        <v>398</v>
      </c>
      <c r="F280" s="246" t="s">
        <v>399</v>
      </c>
    </row>
    <row r="281" spans="2:6" x14ac:dyDescent="0.25">
      <c r="B281" s="247" t="str">
        <f>Mesures_Four!E27</f>
        <v>200°C</v>
      </c>
      <c r="C281" s="248" t="str">
        <f>_xlfn.CONCAT("± ",Mesures_Four!F22,"°C")</f>
        <v>± 3°C</v>
      </c>
      <c r="E281" s="247" t="s">
        <v>400</v>
      </c>
      <c r="F281" s="130">
        <f>Mesures_Four!C22</f>
        <v>-0.6</v>
      </c>
    </row>
    <row r="282" spans="2:6" x14ac:dyDescent="0.25">
      <c r="E282" s="247" t="s">
        <v>401</v>
      </c>
      <c r="F282" s="130">
        <f>Mesures_Four!D22</f>
        <v>-0.27</v>
      </c>
    </row>
    <row r="283" spans="2:6" x14ac:dyDescent="0.25">
      <c r="B283" s="246" t="s">
        <v>402</v>
      </c>
      <c r="C283" s="246" t="s">
        <v>403</v>
      </c>
      <c r="E283" s="247" t="s">
        <v>404</v>
      </c>
      <c r="F283" s="130">
        <f>Mesures_Four!E22</f>
        <v>0.5</v>
      </c>
    </row>
    <row r="284" spans="2:6" x14ac:dyDescent="0.25">
      <c r="B284" s="249">
        <f>INDEX(tab_four200[Date/Heure],1)</f>
        <v>0</v>
      </c>
      <c r="C284" s="249">
        <f ca="1">OFFSET(INDEX(tab_four200[Date/Heure],1),COUNTA(tab_four200[Date/Heure])+COUNTBLANK(tab_four200[Date/Heure])-1,0,1)</f>
        <v>0</v>
      </c>
    </row>
    <row r="286" spans="2:6" ht="18.75" x14ac:dyDescent="0.3">
      <c r="B286" s="231" t="s">
        <v>405</v>
      </c>
    </row>
    <row r="288" spans="2:6" x14ac:dyDescent="0.25">
      <c r="C288" s="246" t="s">
        <v>406</v>
      </c>
      <c r="D288" s="246" t="s">
        <v>407</v>
      </c>
      <c r="E288" s="246" t="s">
        <v>408</v>
      </c>
      <c r="F288" s="246" t="s">
        <v>409</v>
      </c>
    </row>
    <row r="289" spans="2:6" x14ac:dyDescent="0.25">
      <c r="C289" s="247" t="s">
        <v>410</v>
      </c>
      <c r="D289" s="250" t="e">
        <f ca="1">'200°C'!AB194</f>
        <v>#REF!</v>
      </c>
      <c r="E289" s="250" t="e">
        <f ca="1">'200°C'!AB195</f>
        <v>#REF!</v>
      </c>
      <c r="F289" s="250" t="e">
        <f ca="1">'200°C'!AB196</f>
        <v>#REF!</v>
      </c>
    </row>
    <row r="290" spans="2:6" x14ac:dyDescent="0.25">
      <c r="C290" s="247" t="s">
        <v>411</v>
      </c>
      <c r="D290" s="250" t="e">
        <f ca="1">'200°C'!AC194</f>
        <v>#REF!</v>
      </c>
      <c r="E290" s="250" t="e">
        <f ca="1">'200°C'!AC195</f>
        <v>#REF!</v>
      </c>
      <c r="F290" s="250" t="e">
        <f ca="1">'200°C'!AC196</f>
        <v>#REF!</v>
      </c>
    </row>
    <row r="291" spans="2:6" x14ac:dyDescent="0.25">
      <c r="C291" s="247" t="s">
        <v>412</v>
      </c>
      <c r="D291" s="250" t="e">
        <f ca="1">'200°C'!AA194</f>
        <v>#REF!</v>
      </c>
      <c r="E291" s="250" t="e">
        <f ca="1">'200°C'!AA195</f>
        <v>#REF!</v>
      </c>
      <c r="F291" s="250" t="e">
        <f ca="1">'200°C'!AA196</f>
        <v>#REF!</v>
      </c>
    </row>
    <row r="293" spans="2:6" ht="18.75" x14ac:dyDescent="0.3">
      <c r="B293" s="231" t="s">
        <v>413</v>
      </c>
    </row>
    <row r="295" spans="2:6" x14ac:dyDescent="0.25">
      <c r="B295" s="404" t="s">
        <v>301</v>
      </c>
      <c r="C295" s="405"/>
      <c r="D295" s="246" t="s">
        <v>414</v>
      </c>
      <c r="E295" s="246" t="s">
        <v>415</v>
      </c>
    </row>
    <row r="296" spans="2:6" x14ac:dyDescent="0.25">
      <c r="B296" s="406" t="s">
        <v>416</v>
      </c>
      <c r="C296" s="407"/>
      <c r="D296" s="251" t="str">
        <f>B281</f>
        <v>200°C</v>
      </c>
      <c r="E296" s="251" t="s">
        <v>201</v>
      </c>
    </row>
    <row r="297" spans="2:6" x14ac:dyDescent="0.25">
      <c r="B297" s="406" t="s">
        <v>202</v>
      </c>
      <c r="C297" s="407"/>
      <c r="D297" s="251" t="str">
        <f>B281</f>
        <v>200°C</v>
      </c>
      <c r="E297" s="251" t="s">
        <v>201</v>
      </c>
    </row>
    <row r="298" spans="2:6" x14ac:dyDescent="0.25">
      <c r="B298" s="406" t="s">
        <v>417</v>
      </c>
      <c r="C298" s="407"/>
      <c r="D298" s="250">
        <f>'200°C'!W102</f>
        <v>0</v>
      </c>
      <c r="E298" s="252" t="e">
        <f>VLOOKUP(SUBSTITUTE(HLOOKUP(D298,'200°C'!$N102:$V$109,8,FALSE),"Connecteur ",""),Mesures_Four!B28:C36,2,FALSE)</f>
        <v>#N/A</v>
      </c>
    </row>
    <row r="299" spans="2:6" ht="30" customHeight="1" x14ac:dyDescent="0.25">
      <c r="B299" s="400" t="s">
        <v>418</v>
      </c>
      <c r="C299" s="401"/>
      <c r="D299" s="250" t="e">
        <f ca="1">'200°C'!W103</f>
        <v>#REF!</v>
      </c>
      <c r="E299" s="252" t="e">
        <f ca="1">VLOOKUP(SUBSTITUTE(HLOOKUP(D299,'200°C'!$N103:$V$109,7,FALSE),"Connecteur ",""),Mesures_Four!B28:C36,2,FALSE)</f>
        <v>#REF!</v>
      </c>
    </row>
    <row r="300" spans="2:6" ht="30" customHeight="1" x14ac:dyDescent="0.25">
      <c r="B300" s="400" t="s">
        <v>419</v>
      </c>
      <c r="C300" s="401"/>
      <c r="D300" s="250" t="e">
        <f ca="1">'200°C'!W104</f>
        <v>#REF!</v>
      </c>
      <c r="E300" s="252" t="e">
        <f ca="1">VLOOKUP(SUBSTITUTE(HLOOKUP(D300,'200°C'!$N104:$V$109,6,FALSE),"Connecteur ",""),Mesures_Four!B28:C36,2,FALSE)</f>
        <v>#REF!</v>
      </c>
    </row>
    <row r="301" spans="2:6" ht="30" customHeight="1" x14ac:dyDescent="0.25">
      <c r="B301" s="400" t="s">
        <v>420</v>
      </c>
      <c r="C301" s="401"/>
      <c r="D301" s="250" t="e">
        <f ca="1">'200°C'!W108</f>
        <v>#REF!</v>
      </c>
      <c r="E301" s="251" t="s">
        <v>201</v>
      </c>
    </row>
    <row r="308" spans="2:8" ht="18.75" x14ac:dyDescent="0.3">
      <c r="B308" s="231" t="s">
        <v>421</v>
      </c>
    </row>
    <row r="309" spans="2:8" ht="18.75" x14ac:dyDescent="0.3">
      <c r="B309" s="231"/>
    </row>
    <row r="310" spans="2:8" x14ac:dyDescent="0.25">
      <c r="B310" s="385" t="s">
        <v>422</v>
      </c>
      <c r="C310" s="385" t="s">
        <v>415</v>
      </c>
      <c r="D310" s="404" t="s">
        <v>423</v>
      </c>
      <c r="E310" s="412"/>
      <c r="F310" s="412"/>
      <c r="G310" s="405"/>
      <c r="H310" s="246" t="s">
        <v>342</v>
      </c>
    </row>
    <row r="311" spans="2:8" x14ac:dyDescent="0.25">
      <c r="B311" s="385"/>
      <c r="C311" s="385"/>
      <c r="D311" s="247" t="s">
        <v>424</v>
      </c>
      <c r="E311" s="247" t="s">
        <v>425</v>
      </c>
      <c r="F311" s="247" t="s">
        <v>213</v>
      </c>
      <c r="G311" s="247" t="s">
        <v>214</v>
      </c>
      <c r="H311" s="247" t="s">
        <v>426</v>
      </c>
    </row>
    <row r="312" spans="2:8" x14ac:dyDescent="0.25">
      <c r="B312" s="253" t="s">
        <v>427</v>
      </c>
      <c r="C312" s="247" t="e">
        <f>VLOOKUP($B312,$C$147:$D$155,2,FALSE)</f>
        <v>#N/A</v>
      </c>
      <c r="D312" s="250" t="e">
        <f ca="1">'200°C'!$N$103</f>
        <v>#REF!</v>
      </c>
      <c r="E312" s="250" t="e">
        <f ca="1">'200°C'!$N$104</f>
        <v>#REF!</v>
      </c>
      <c r="F312" s="250" t="e">
        <f ca="1">'200°C'!$N$105</f>
        <v>#REF!</v>
      </c>
      <c r="G312" s="250" t="e">
        <f t="shared" ref="G312:G320" ca="1" si="2">D312-E312</f>
        <v>#REF!</v>
      </c>
      <c r="H312" s="250">
        <f>'200°C'!$N$102</f>
        <v>0</v>
      </c>
    </row>
    <row r="313" spans="2:8" x14ac:dyDescent="0.25">
      <c r="B313" s="253" t="s">
        <v>428</v>
      </c>
      <c r="C313" s="247" t="e">
        <f t="shared" ref="C313:C320" si="3">VLOOKUP($B313,$C$147:$D$155,2,FALSE)</f>
        <v>#N/A</v>
      </c>
      <c r="D313" s="250" t="e">
        <f ca="1">'200°C'!$O$103</f>
        <v>#REF!</v>
      </c>
      <c r="E313" s="250" t="e">
        <f ca="1">'200°C'!$O$104</f>
        <v>#REF!</v>
      </c>
      <c r="F313" s="250" t="e">
        <f ca="1">'200°C'!$O$105</f>
        <v>#REF!</v>
      </c>
      <c r="G313" s="250" t="e">
        <f t="shared" ca="1" si="2"/>
        <v>#REF!</v>
      </c>
      <c r="H313" s="250">
        <f>'200°C'!$O$102</f>
        <v>0</v>
      </c>
    </row>
    <row r="314" spans="2:8" x14ac:dyDescent="0.25">
      <c r="B314" s="253" t="s">
        <v>429</v>
      </c>
      <c r="C314" s="247" t="e">
        <f t="shared" si="3"/>
        <v>#N/A</v>
      </c>
      <c r="D314" s="250" t="e">
        <f ca="1">'200°C'!$P$103</f>
        <v>#REF!</v>
      </c>
      <c r="E314" s="250" t="e">
        <f ca="1">'200°C'!$P$104</f>
        <v>#REF!</v>
      </c>
      <c r="F314" s="250" t="e">
        <f ca="1">'200°C'!$P$105</f>
        <v>#REF!</v>
      </c>
      <c r="G314" s="250" t="e">
        <f t="shared" ca="1" si="2"/>
        <v>#REF!</v>
      </c>
      <c r="H314" s="250">
        <f>'200°C'!$P$102</f>
        <v>0</v>
      </c>
    </row>
    <row r="315" spans="2:8" x14ac:dyDescent="0.25">
      <c r="B315" s="253" t="s">
        <v>430</v>
      </c>
      <c r="C315" s="247" t="e">
        <f t="shared" si="3"/>
        <v>#N/A</v>
      </c>
      <c r="D315" s="250" t="e">
        <f ca="1">'200°C'!$Q$103</f>
        <v>#REF!</v>
      </c>
      <c r="E315" s="250" t="e">
        <f ca="1">'200°C'!$Q$104</f>
        <v>#REF!</v>
      </c>
      <c r="F315" s="250" t="e">
        <f ca="1">'200°C'!$Q$105</f>
        <v>#REF!</v>
      </c>
      <c r="G315" s="250" t="e">
        <f t="shared" ca="1" si="2"/>
        <v>#REF!</v>
      </c>
      <c r="H315" s="250">
        <f>'200°C'!$Q$102</f>
        <v>0</v>
      </c>
    </row>
    <row r="316" spans="2:8" x14ac:dyDescent="0.25">
      <c r="B316" s="253" t="s">
        <v>431</v>
      </c>
      <c r="C316" s="247" t="e">
        <f t="shared" si="3"/>
        <v>#N/A</v>
      </c>
      <c r="D316" s="250" t="e">
        <f ca="1">'200°C'!$R$103</f>
        <v>#REF!</v>
      </c>
      <c r="E316" s="250" t="e">
        <f ca="1">'200°C'!$R$104</f>
        <v>#REF!</v>
      </c>
      <c r="F316" s="250" t="e">
        <f ca="1">'200°C'!$R$105</f>
        <v>#REF!</v>
      </c>
      <c r="G316" s="250" t="e">
        <f t="shared" ca="1" si="2"/>
        <v>#REF!</v>
      </c>
      <c r="H316" s="250">
        <f>'200°C'!$R$102</f>
        <v>0</v>
      </c>
    </row>
    <row r="317" spans="2:8" x14ac:dyDescent="0.25">
      <c r="B317" s="253" t="s">
        <v>432</v>
      </c>
      <c r="C317" s="247" t="e">
        <f t="shared" si="3"/>
        <v>#N/A</v>
      </c>
      <c r="D317" s="250" t="e">
        <f ca="1">'200°C'!$S$103</f>
        <v>#REF!</v>
      </c>
      <c r="E317" s="250" t="e">
        <f ca="1">'200°C'!$S$104</f>
        <v>#REF!</v>
      </c>
      <c r="F317" s="250" t="e">
        <f ca="1">'200°C'!$S$105</f>
        <v>#REF!</v>
      </c>
      <c r="G317" s="250" t="e">
        <f t="shared" ca="1" si="2"/>
        <v>#REF!</v>
      </c>
      <c r="H317" s="250">
        <f>'200°C'!$S$102</f>
        <v>0</v>
      </c>
    </row>
    <row r="318" spans="2:8" x14ac:dyDescent="0.25">
      <c r="B318" s="253" t="s">
        <v>433</v>
      </c>
      <c r="C318" s="247" t="e">
        <f t="shared" si="3"/>
        <v>#N/A</v>
      </c>
      <c r="D318" s="250" t="e">
        <f ca="1">'200°C'!$T$103</f>
        <v>#REF!</v>
      </c>
      <c r="E318" s="250" t="e">
        <f ca="1">'200°C'!$T$104</f>
        <v>#REF!</v>
      </c>
      <c r="F318" s="250" t="e">
        <f ca="1">'200°C'!$T$105</f>
        <v>#REF!</v>
      </c>
      <c r="G318" s="250" t="e">
        <f t="shared" ca="1" si="2"/>
        <v>#REF!</v>
      </c>
      <c r="H318" s="250">
        <f>'200°C'!$T$102</f>
        <v>0</v>
      </c>
    </row>
    <row r="319" spans="2:8" x14ac:dyDescent="0.25">
      <c r="B319" s="253" t="s">
        <v>434</v>
      </c>
      <c r="C319" s="247" t="e">
        <f t="shared" si="3"/>
        <v>#N/A</v>
      </c>
      <c r="D319" s="250" t="e">
        <f ca="1">'200°C'!$U$103</f>
        <v>#REF!</v>
      </c>
      <c r="E319" s="250" t="e">
        <f ca="1">'200°C'!$U$104</f>
        <v>#REF!</v>
      </c>
      <c r="F319" s="250" t="e">
        <f ca="1">'200°C'!$U$105</f>
        <v>#REF!</v>
      </c>
      <c r="G319" s="250" t="e">
        <f t="shared" ca="1" si="2"/>
        <v>#REF!</v>
      </c>
      <c r="H319" s="250">
        <f>'200°C'!$U$102</f>
        <v>0</v>
      </c>
    </row>
    <row r="320" spans="2:8" x14ac:dyDescent="0.25">
      <c r="B320" s="253" t="s">
        <v>435</v>
      </c>
      <c r="C320" s="247" t="e">
        <f t="shared" si="3"/>
        <v>#N/A</v>
      </c>
      <c r="D320" s="250" t="e">
        <f ca="1">'200°C'!$V$103</f>
        <v>#REF!</v>
      </c>
      <c r="E320" s="250" t="e">
        <f ca="1">'200°C'!$V$104</f>
        <v>#REF!</v>
      </c>
      <c r="F320" s="250" t="e">
        <f ca="1">'200°C'!$V$105</f>
        <v>#REF!</v>
      </c>
      <c r="G320" s="250" t="e">
        <f t="shared" ca="1" si="2"/>
        <v>#REF!</v>
      </c>
      <c r="H320" s="250">
        <f>'200°C'!$V$102</f>
        <v>0</v>
      </c>
    </row>
    <row r="322" spans="2:2" ht="18.75" x14ac:dyDescent="0.3">
      <c r="B322" s="231" t="s">
        <v>436</v>
      </c>
    </row>
    <row r="354" spans="2:6" ht="18.75" x14ac:dyDescent="0.3">
      <c r="B354" s="231" t="s">
        <v>437</v>
      </c>
    </row>
    <row r="355" spans="2:6" ht="18.75" x14ac:dyDescent="0.3">
      <c r="B355" s="231"/>
      <c r="C355" s="387" t="s">
        <v>438</v>
      </c>
      <c r="D355" s="387"/>
      <c r="E355" s="387"/>
      <c r="F355" s="387"/>
    </row>
    <row r="356" spans="2:6" ht="28.9" customHeight="1" x14ac:dyDescent="0.25">
      <c r="C356" s="388" t="str">
        <f>_xlfn.CONCAT("Dépassement de la consigne durant la phase de montée ou de maintien en température (&gt; ",B281,")")</f>
        <v>Dépassement de la consigne durant la phase de montée ou de maintien en température (&gt; 200°C)</v>
      </c>
      <c r="D356" s="388"/>
      <c r="E356" s="389" t="str">
        <f>IF('200°C'!W102-Mesures_Four!B22&gt;0,'200°C'!W102-Mesures_Four!B22,"PAS DE DÉPASSEMENT")</f>
        <v>PAS DE DÉPASSEMENT</v>
      </c>
      <c r="F356" s="390"/>
    </row>
    <row r="357" spans="2:6" x14ac:dyDescent="0.25">
      <c r="C357" s="411" t="str">
        <f>_xlfn.CONCAT("Dépassement supérieur à la tolérance maximale (",C281,")")</f>
        <v>Dépassement supérieur à la tolérance maximale (± 3°C)</v>
      </c>
      <c r="D357" s="411"/>
      <c r="E357" s="392" t="str">
        <f>IF(OR(E356="PAS DE DÉPASSEMENT",E356&lt;=Mesures_Four!F22),"NON","OUI")</f>
        <v>NON</v>
      </c>
      <c r="F357" s="392"/>
    </row>
    <row r="359" spans="2:6" x14ac:dyDescent="0.25">
      <c r="C359" s="387" t="s">
        <v>439</v>
      </c>
      <c r="D359" s="387"/>
      <c r="E359" s="387"/>
      <c r="F359" s="387"/>
    </row>
    <row r="360" spans="2:6" ht="28.9" customHeight="1" x14ac:dyDescent="0.25">
      <c r="C360" s="388" t="s">
        <v>440</v>
      </c>
      <c r="D360" s="388"/>
      <c r="E360" s="389" t="e">
        <f ca="1">'200°C'!N113</f>
        <v>#REF!</v>
      </c>
      <c r="F360" s="389"/>
    </row>
    <row r="361" spans="2:6" ht="28.9" customHeight="1" x14ac:dyDescent="0.25">
      <c r="C361" s="388" t="s">
        <v>441</v>
      </c>
      <c r="D361" s="388"/>
      <c r="E361" s="389" t="e">
        <f ca="1">'200°C'!N112</f>
        <v>#REF!</v>
      </c>
      <c r="F361" s="389"/>
    </row>
    <row r="362" spans="2:6" x14ac:dyDescent="0.25">
      <c r="C362" s="397" t="s">
        <v>442</v>
      </c>
      <c r="D362" s="397"/>
      <c r="E362" s="402" t="e">
        <f ca="1">'200°C'!N107</f>
        <v>#REF!</v>
      </c>
      <c r="F362" s="403"/>
    </row>
    <row r="363" spans="2:6" x14ac:dyDescent="0.25">
      <c r="C363" s="397" t="s">
        <v>443</v>
      </c>
      <c r="D363" s="397"/>
      <c r="E363" s="398">
        <f>Mesures_Four!G22</f>
        <v>6</v>
      </c>
      <c r="F363" s="398"/>
    </row>
    <row r="364" spans="2:6" x14ac:dyDescent="0.25">
      <c r="C364" s="391" t="s">
        <v>452</v>
      </c>
      <c r="D364" s="391"/>
      <c r="E364" s="399" t="e">
        <f ca="1">IF(AND(ABS(E360)&lt;=E363/2,(ABS(E361)&lt;=E363/2)),"CONFORME","NON CONFORME")</f>
        <v>#REF!</v>
      </c>
      <c r="F364" s="399"/>
    </row>
    <row r="366" spans="2:6" x14ac:dyDescent="0.25">
      <c r="C366" s="404" t="s">
        <v>445</v>
      </c>
      <c r="D366" s="405"/>
      <c r="E366" s="246" t="s">
        <v>404</v>
      </c>
      <c r="F366" s="246" t="s">
        <v>401</v>
      </c>
    </row>
    <row r="367" spans="2:6" ht="28.9" customHeight="1" x14ac:dyDescent="0.25">
      <c r="B367" s="254" t="s">
        <v>446</v>
      </c>
      <c r="C367" s="400" t="s">
        <v>447</v>
      </c>
      <c r="D367" s="401"/>
      <c r="E367" s="154" t="e">
        <f ca="1">IF(ABS(E360)&lt;Mesures_Four!F22/2,"OUI","NON")</f>
        <v>#REF!</v>
      </c>
      <c r="F367" s="154" t="e">
        <f ca="1">IF(ABS(E361)&lt;Mesures_Four!F22/2,"OUI","NON")</f>
        <v>#REF!</v>
      </c>
    </row>
    <row r="368" spans="2:6" ht="28.9" customHeight="1" x14ac:dyDescent="0.25">
      <c r="B368" s="408" t="s">
        <v>448</v>
      </c>
      <c r="C368" s="400" t="s">
        <v>449</v>
      </c>
      <c r="D368" s="401"/>
      <c r="E368" s="154" t="e">
        <f ca="1">IF(ABS('200°C'!AA195-'200°C'!W104)&lt;1.1,"OUI","NON")</f>
        <v>#REF!</v>
      </c>
      <c r="F368" s="154" t="s">
        <v>201</v>
      </c>
    </row>
    <row r="369" spans="2:7" ht="28.9" customHeight="1" x14ac:dyDescent="0.25">
      <c r="B369" s="408"/>
      <c r="C369" s="400" t="s">
        <v>450</v>
      </c>
      <c r="D369" s="401"/>
      <c r="E369" s="154" t="s">
        <v>201</v>
      </c>
      <c r="F369" s="154" t="e">
        <f ca="1">IF(ABS('200°C'!AC194-'200°C'!W103)&lt;1.1,"OUI","NON")</f>
        <v>#REF!</v>
      </c>
    </row>
    <row r="370" spans="2:7" ht="28.9" customHeight="1" x14ac:dyDescent="0.25">
      <c r="C370" s="409" t="s">
        <v>451</v>
      </c>
      <c r="D370" s="409"/>
      <c r="E370" s="154" t="e">
        <f ca="1">IF(E367="OUI","NON",IF(E368="OUI","NON","OUI"))</f>
        <v>#REF!</v>
      </c>
      <c r="F370" s="154" t="e">
        <f ca="1">IF(F367="OUI","NON",IF(F369="OUI","NON","OUI"))</f>
        <v>#REF!</v>
      </c>
    </row>
    <row r="372" spans="2:7" ht="18.75" x14ac:dyDescent="0.25">
      <c r="B372" s="410" t="str">
        <f>_xlfn.CONCAT("A ",B281,", avec une consigne à ",B281,", le four est ")</f>
        <v xml:space="preserve">A 200°C, avec une consigne à 200°C, le four est </v>
      </c>
      <c r="C372" s="410"/>
      <c r="D372" s="413"/>
      <c r="E372" s="256" t="e">
        <f ca="1">IF(AND(E357="NON",E364="CONFORME"),"CONFORME","NON CONFORME")</f>
        <v>#REF!</v>
      </c>
      <c r="F372" s="414" t="str">
        <f>_xlfn.CONCAT("à la tolérance requise de ± ",Mesures_Four!F22,"°C")</f>
        <v>à la tolérance requise de ± 3°C</v>
      </c>
      <c r="G372" s="396"/>
    </row>
    <row r="380" spans="2:7" ht="18.75" x14ac:dyDescent="0.3">
      <c r="B380" s="231" t="str">
        <f>_xlfn.CONCAT("6- Résultats et exploitations des résultats à ",B383)</f>
        <v>6- Résultats et exploitations des résultats à 385°C</v>
      </c>
    </row>
    <row r="382" spans="2:7" x14ac:dyDescent="0.25">
      <c r="B382" s="246" t="s">
        <v>241</v>
      </c>
      <c r="C382" s="246" t="s">
        <v>397</v>
      </c>
      <c r="E382" s="246" t="s">
        <v>398</v>
      </c>
      <c r="F382" s="246" t="s">
        <v>399</v>
      </c>
    </row>
    <row r="383" spans="2:7" x14ac:dyDescent="0.25">
      <c r="B383" s="247" t="str">
        <f>Mesures_Four!F27</f>
        <v>385°C</v>
      </c>
      <c r="C383" s="248" t="str">
        <f>_xlfn.CONCAT("± ",Mesures_Four!F23,"°C")</f>
        <v>± 5°C</v>
      </c>
      <c r="E383" s="247" t="s">
        <v>400</v>
      </c>
      <c r="F383" s="130">
        <f>Mesures_Four!C23</f>
        <v>-0.6</v>
      </c>
    </row>
    <row r="384" spans="2:7" x14ac:dyDescent="0.25">
      <c r="E384" s="247" t="s">
        <v>401</v>
      </c>
      <c r="F384" s="130">
        <f>Mesures_Four!D23</f>
        <v>-0.27</v>
      </c>
    </row>
    <row r="385" spans="2:6" x14ac:dyDescent="0.25">
      <c r="B385" s="246" t="s">
        <v>402</v>
      </c>
      <c r="C385" s="246" t="s">
        <v>403</v>
      </c>
      <c r="E385" s="247" t="s">
        <v>404</v>
      </c>
      <c r="F385" s="130">
        <f>Mesures_Four!E23</f>
        <v>0.5</v>
      </c>
    </row>
    <row r="386" spans="2:6" x14ac:dyDescent="0.25">
      <c r="B386" s="249">
        <f>INDEX(tab_four385[Date/Heure],1)</f>
        <v>0</v>
      </c>
      <c r="C386" s="249">
        <f ca="1">OFFSET(INDEX(tab_four385[Date/Heure],1),COUNTA(tab_four385[Date/Heure])+COUNTBLANK(tab_four385[Date/Heure])-1,0,1)</f>
        <v>0</v>
      </c>
    </row>
    <row r="388" spans="2:6" ht="18.75" x14ac:dyDescent="0.3">
      <c r="B388" s="231" t="s">
        <v>405</v>
      </c>
    </row>
    <row r="390" spans="2:6" x14ac:dyDescent="0.25">
      <c r="C390" s="246" t="s">
        <v>406</v>
      </c>
      <c r="D390" s="246" t="s">
        <v>407</v>
      </c>
      <c r="E390" s="246" t="s">
        <v>408</v>
      </c>
      <c r="F390" s="246" t="s">
        <v>409</v>
      </c>
    </row>
    <row r="391" spans="2:6" x14ac:dyDescent="0.25">
      <c r="C391" s="247" t="s">
        <v>410</v>
      </c>
      <c r="D391" s="250" t="e">
        <f ca="1">'385°C'!AB120</f>
        <v>#REF!</v>
      </c>
      <c r="E391" s="250" t="e">
        <f ca="1">'385°C'!AB121</f>
        <v>#REF!</v>
      </c>
      <c r="F391" s="250" t="e">
        <f ca="1">'385°C'!AB122</f>
        <v>#REF!</v>
      </c>
    </row>
    <row r="392" spans="2:6" x14ac:dyDescent="0.25">
      <c r="C392" s="247" t="s">
        <v>411</v>
      </c>
      <c r="D392" s="250" t="e">
        <f ca="1">'385°C'!AC120</f>
        <v>#REF!</v>
      </c>
      <c r="E392" s="250" t="e">
        <f ca="1">'385°C'!AC121</f>
        <v>#REF!</v>
      </c>
      <c r="F392" s="250" t="e">
        <f ca="1">'385°C'!AC122</f>
        <v>#REF!</v>
      </c>
    </row>
    <row r="393" spans="2:6" x14ac:dyDescent="0.25">
      <c r="C393" s="247" t="s">
        <v>412</v>
      </c>
      <c r="D393" s="250" t="e">
        <f ca="1">'385°C'!AA120</f>
        <v>#REF!</v>
      </c>
      <c r="E393" s="250" t="e">
        <f ca="1">'385°C'!AA121</f>
        <v>#REF!</v>
      </c>
      <c r="F393" s="250" t="e">
        <f ca="1">'385°C'!AA122</f>
        <v>#REF!</v>
      </c>
    </row>
    <row r="395" spans="2:6" ht="18.75" x14ac:dyDescent="0.3">
      <c r="B395" s="231" t="s">
        <v>413</v>
      </c>
    </row>
    <row r="397" spans="2:6" x14ac:dyDescent="0.25">
      <c r="B397" s="404" t="s">
        <v>301</v>
      </c>
      <c r="C397" s="405"/>
      <c r="D397" s="246" t="s">
        <v>414</v>
      </c>
      <c r="E397" s="246" t="s">
        <v>415</v>
      </c>
    </row>
    <row r="398" spans="2:6" x14ac:dyDescent="0.25">
      <c r="B398" s="406" t="s">
        <v>416</v>
      </c>
      <c r="C398" s="407"/>
      <c r="D398" s="251" t="str">
        <f>B383</f>
        <v>385°C</v>
      </c>
      <c r="E398" s="251" t="s">
        <v>201</v>
      </c>
    </row>
    <row r="399" spans="2:6" x14ac:dyDescent="0.25">
      <c r="B399" s="406" t="s">
        <v>202</v>
      </c>
      <c r="C399" s="407"/>
      <c r="D399" s="251" t="str">
        <f>B383</f>
        <v>385°C</v>
      </c>
      <c r="E399" s="251" t="s">
        <v>201</v>
      </c>
    </row>
    <row r="400" spans="2:6" x14ac:dyDescent="0.25">
      <c r="B400" s="406" t="s">
        <v>417</v>
      </c>
      <c r="C400" s="407"/>
      <c r="D400" s="250">
        <f>'385°C'!W65</f>
        <v>0</v>
      </c>
      <c r="E400" s="252" t="e">
        <f>VLOOKUP(SUBSTITUTE(HLOOKUP(D400,'385°C'!$N65:$V$72,8,FALSE),"Connecteur ",""),Mesures_Four!B28:C36,2,FALSE)</f>
        <v>#N/A</v>
      </c>
    </row>
    <row r="401" spans="2:8" ht="30" customHeight="1" x14ac:dyDescent="0.25">
      <c r="B401" s="400" t="s">
        <v>418</v>
      </c>
      <c r="C401" s="401"/>
      <c r="D401" s="250" t="e">
        <f ca="1">'385°C'!W66</f>
        <v>#REF!</v>
      </c>
      <c r="E401" s="252" t="e">
        <f ca="1">VLOOKUP(SUBSTITUTE(HLOOKUP(D401,'385°C'!$N66:$V$72,7,FALSE),"Connecteur ",""),Mesures_Four!B28:C36,2,FALSE)</f>
        <v>#REF!</v>
      </c>
      <c r="F401" s="257"/>
    </row>
    <row r="402" spans="2:8" ht="30" customHeight="1" x14ac:dyDescent="0.25">
      <c r="B402" s="400" t="s">
        <v>419</v>
      </c>
      <c r="C402" s="401"/>
      <c r="D402" s="250" t="e">
        <f ca="1">'385°C'!W67</f>
        <v>#REF!</v>
      </c>
      <c r="E402" s="252" t="e">
        <f ca="1">VLOOKUP(SUBSTITUTE(HLOOKUP(D402,'385°C'!$N67:$V$72,6,FALSE),"Connecteur ",""),Mesures_Four!B28:C36,2,FALSE)</f>
        <v>#REF!</v>
      </c>
    </row>
    <row r="403" spans="2:8" ht="30" customHeight="1" x14ac:dyDescent="0.25">
      <c r="B403" s="400" t="s">
        <v>420</v>
      </c>
      <c r="C403" s="401"/>
      <c r="D403" s="250" t="e">
        <f ca="1">'385°C'!W71</f>
        <v>#REF!</v>
      </c>
      <c r="E403" s="251" t="s">
        <v>201</v>
      </c>
    </row>
    <row r="410" spans="2:8" ht="18.75" x14ac:dyDescent="0.3">
      <c r="B410" s="231" t="s">
        <v>421</v>
      </c>
    </row>
    <row r="411" spans="2:8" ht="18.75" x14ac:dyDescent="0.3">
      <c r="B411" s="231"/>
    </row>
    <row r="412" spans="2:8" x14ac:dyDescent="0.25">
      <c r="B412" s="385" t="s">
        <v>422</v>
      </c>
      <c r="C412" s="385" t="s">
        <v>415</v>
      </c>
      <c r="D412" s="404" t="s">
        <v>423</v>
      </c>
      <c r="E412" s="412"/>
      <c r="F412" s="412"/>
      <c r="G412" s="405"/>
      <c r="H412" s="246" t="s">
        <v>342</v>
      </c>
    </row>
    <row r="413" spans="2:8" x14ac:dyDescent="0.25">
      <c r="B413" s="385"/>
      <c r="C413" s="385"/>
      <c r="D413" s="247" t="s">
        <v>424</v>
      </c>
      <c r="E413" s="247" t="s">
        <v>425</v>
      </c>
      <c r="F413" s="247" t="s">
        <v>213</v>
      </c>
      <c r="G413" s="247" t="s">
        <v>214</v>
      </c>
      <c r="H413" s="247" t="s">
        <v>426</v>
      </c>
    </row>
    <row r="414" spans="2:8" x14ac:dyDescent="0.25">
      <c r="B414" s="253" t="s">
        <v>427</v>
      </c>
      <c r="C414" s="247" t="e">
        <f>VLOOKUP($B414,$C$147:$D$155,2,FALSE)</f>
        <v>#N/A</v>
      </c>
      <c r="D414" s="250" t="e">
        <f ca="1">'385°C'!$N$66</f>
        <v>#REF!</v>
      </c>
      <c r="E414" s="250" t="e">
        <f ca="1">'385°C'!$N$67</f>
        <v>#REF!</v>
      </c>
      <c r="F414" s="250" t="e">
        <f ca="1">'385°C'!$N$68</f>
        <v>#REF!</v>
      </c>
      <c r="G414" s="250" t="e">
        <f t="shared" ref="G414:G422" ca="1" si="4">D414-E414</f>
        <v>#REF!</v>
      </c>
      <c r="H414" s="250">
        <f>'385°C'!$N$65</f>
        <v>0</v>
      </c>
    </row>
    <row r="415" spans="2:8" x14ac:dyDescent="0.25">
      <c r="B415" s="253" t="s">
        <v>428</v>
      </c>
      <c r="C415" s="247" t="e">
        <f t="shared" ref="C415:C422" si="5">VLOOKUP($B415,$C$147:$D$155,2,FALSE)</f>
        <v>#N/A</v>
      </c>
      <c r="D415" s="250" t="e">
        <f ca="1">'385°C'!$O$66</f>
        <v>#REF!</v>
      </c>
      <c r="E415" s="250" t="e">
        <f ca="1">'385°C'!$O$67</f>
        <v>#REF!</v>
      </c>
      <c r="F415" s="250" t="e">
        <f ca="1">'385°C'!$O$68</f>
        <v>#REF!</v>
      </c>
      <c r="G415" s="250" t="e">
        <f t="shared" ca="1" si="4"/>
        <v>#REF!</v>
      </c>
      <c r="H415" s="250">
        <f>'385°C'!$O$65</f>
        <v>0</v>
      </c>
    </row>
    <row r="416" spans="2:8" x14ac:dyDescent="0.25">
      <c r="B416" s="253" t="s">
        <v>429</v>
      </c>
      <c r="C416" s="247" t="e">
        <f t="shared" si="5"/>
        <v>#N/A</v>
      </c>
      <c r="D416" s="250" t="e">
        <f ca="1">'385°C'!$P$66</f>
        <v>#REF!</v>
      </c>
      <c r="E416" s="250" t="e">
        <f ca="1">'385°C'!$P$67</f>
        <v>#REF!</v>
      </c>
      <c r="F416" s="250" t="e">
        <f ca="1">'385°C'!$P$68</f>
        <v>#REF!</v>
      </c>
      <c r="G416" s="250" t="e">
        <f t="shared" ca="1" si="4"/>
        <v>#REF!</v>
      </c>
      <c r="H416" s="250">
        <f>'385°C'!$P$65</f>
        <v>0</v>
      </c>
    </row>
    <row r="417" spans="2:8" x14ac:dyDescent="0.25">
      <c r="B417" s="253" t="s">
        <v>430</v>
      </c>
      <c r="C417" s="247" t="e">
        <f t="shared" si="5"/>
        <v>#N/A</v>
      </c>
      <c r="D417" s="250" t="e">
        <f ca="1">'385°C'!$Q$66</f>
        <v>#REF!</v>
      </c>
      <c r="E417" s="250" t="e">
        <f ca="1">'385°C'!$Q$67</f>
        <v>#REF!</v>
      </c>
      <c r="F417" s="250" t="e">
        <f ca="1">'385°C'!$Q$68</f>
        <v>#REF!</v>
      </c>
      <c r="G417" s="250" t="e">
        <f t="shared" ca="1" si="4"/>
        <v>#REF!</v>
      </c>
      <c r="H417" s="250">
        <f>'385°C'!$Q$65</f>
        <v>0</v>
      </c>
    </row>
    <row r="418" spans="2:8" x14ac:dyDescent="0.25">
      <c r="B418" s="253" t="s">
        <v>431</v>
      </c>
      <c r="C418" s="247" t="e">
        <f t="shared" si="5"/>
        <v>#N/A</v>
      </c>
      <c r="D418" s="250" t="e">
        <f ca="1">'385°C'!$R$66</f>
        <v>#REF!</v>
      </c>
      <c r="E418" s="250" t="e">
        <f ca="1">'385°C'!$R$67</f>
        <v>#REF!</v>
      </c>
      <c r="F418" s="250" t="e">
        <f ca="1">'385°C'!$R$68</f>
        <v>#REF!</v>
      </c>
      <c r="G418" s="250" t="e">
        <f t="shared" ca="1" si="4"/>
        <v>#REF!</v>
      </c>
      <c r="H418" s="250">
        <f>'385°C'!$R$65</f>
        <v>0</v>
      </c>
    </row>
    <row r="419" spans="2:8" x14ac:dyDescent="0.25">
      <c r="B419" s="253" t="s">
        <v>432</v>
      </c>
      <c r="C419" s="247" t="e">
        <f t="shared" si="5"/>
        <v>#N/A</v>
      </c>
      <c r="D419" s="250" t="e">
        <f ca="1">'385°C'!$S$66</f>
        <v>#REF!</v>
      </c>
      <c r="E419" s="250" t="e">
        <f ca="1">'385°C'!$S$67</f>
        <v>#REF!</v>
      </c>
      <c r="F419" s="250" t="e">
        <f ca="1">'385°C'!$S$68</f>
        <v>#REF!</v>
      </c>
      <c r="G419" s="250" t="e">
        <f t="shared" ca="1" si="4"/>
        <v>#REF!</v>
      </c>
      <c r="H419" s="250">
        <f>'385°C'!$S$65</f>
        <v>0</v>
      </c>
    </row>
    <row r="420" spans="2:8" x14ac:dyDescent="0.25">
      <c r="B420" s="253" t="s">
        <v>433</v>
      </c>
      <c r="C420" s="247" t="e">
        <f t="shared" si="5"/>
        <v>#N/A</v>
      </c>
      <c r="D420" s="250" t="e">
        <f ca="1">'385°C'!$T$66</f>
        <v>#REF!</v>
      </c>
      <c r="E420" s="250" t="e">
        <f ca="1">'385°C'!$T$67</f>
        <v>#REF!</v>
      </c>
      <c r="F420" s="250" t="e">
        <f ca="1">'385°C'!$T$68</f>
        <v>#REF!</v>
      </c>
      <c r="G420" s="250" t="e">
        <f t="shared" ca="1" si="4"/>
        <v>#REF!</v>
      </c>
      <c r="H420" s="250">
        <f>'385°C'!$T$65</f>
        <v>0</v>
      </c>
    </row>
    <row r="421" spans="2:8" x14ac:dyDescent="0.25">
      <c r="B421" s="253" t="s">
        <v>434</v>
      </c>
      <c r="C421" s="247" t="e">
        <f t="shared" si="5"/>
        <v>#N/A</v>
      </c>
      <c r="D421" s="250" t="e">
        <f ca="1">'385°C'!$U$66</f>
        <v>#REF!</v>
      </c>
      <c r="E421" s="250" t="e">
        <f ca="1">'385°C'!$U$67</f>
        <v>#REF!</v>
      </c>
      <c r="F421" s="250" t="e">
        <f ca="1">'385°C'!$U$68</f>
        <v>#REF!</v>
      </c>
      <c r="G421" s="250" t="e">
        <f t="shared" ca="1" si="4"/>
        <v>#REF!</v>
      </c>
      <c r="H421" s="250">
        <f>'385°C'!$U$65</f>
        <v>0</v>
      </c>
    </row>
    <row r="422" spans="2:8" x14ac:dyDescent="0.25">
      <c r="B422" s="253" t="s">
        <v>435</v>
      </c>
      <c r="C422" s="247" t="e">
        <f t="shared" si="5"/>
        <v>#N/A</v>
      </c>
      <c r="D422" s="250" t="e">
        <f ca="1">'385°C'!$V$66</f>
        <v>#REF!</v>
      </c>
      <c r="E422" s="250" t="e">
        <f ca="1">'385°C'!$V$67</f>
        <v>#REF!</v>
      </c>
      <c r="F422" s="250" t="e">
        <f ca="1">'385°C'!$V$68</f>
        <v>#REF!</v>
      </c>
      <c r="G422" s="250" t="e">
        <f t="shared" ca="1" si="4"/>
        <v>#REF!</v>
      </c>
      <c r="H422" s="250">
        <f>'385°C'!$V$65</f>
        <v>0</v>
      </c>
    </row>
    <row r="424" spans="2:8" ht="18.75" x14ac:dyDescent="0.3">
      <c r="B424" s="231" t="s">
        <v>436</v>
      </c>
    </row>
    <row r="456" spans="2:6" ht="18.75" x14ac:dyDescent="0.3">
      <c r="B456" s="231" t="s">
        <v>437</v>
      </c>
    </row>
    <row r="457" spans="2:6" ht="18.75" x14ac:dyDescent="0.3">
      <c r="B457" s="231"/>
      <c r="C457" s="387" t="s">
        <v>438</v>
      </c>
      <c r="D457" s="387"/>
      <c r="E457" s="387"/>
      <c r="F457" s="387"/>
    </row>
    <row r="458" spans="2:6" ht="28.9" customHeight="1" x14ac:dyDescent="0.25">
      <c r="C458" s="388" t="str">
        <f>_xlfn.CONCAT("Dépassement de la consigne durant la phase de montée ou de maintien en température (&gt; ",B383,")")</f>
        <v>Dépassement de la consigne durant la phase de montée ou de maintien en température (&gt; 385°C)</v>
      </c>
      <c r="D458" s="388"/>
      <c r="E458" s="390" t="str">
        <f>IF('385°C'!W65-Mesures_Four!B23&gt;0,'385°C'!W65-Mesures_Four!B23,"PAS DE DÉPASSEMENT")</f>
        <v>PAS DE DÉPASSEMENT</v>
      </c>
      <c r="F458" s="390"/>
    </row>
    <row r="459" spans="2:6" x14ac:dyDescent="0.25">
      <c r="C459" s="411" t="str">
        <f>_xlfn.CONCAT("Dépassement supérieur à la tolérance maximale (",C383,")")</f>
        <v>Dépassement supérieur à la tolérance maximale (± 5°C)</v>
      </c>
      <c r="D459" s="411"/>
      <c r="E459" s="392" t="str">
        <f>IF(OR(E458="PAS DE DÉPASSEMENT",E458&lt;=Mesures_Four!F23),"NON","OUI")</f>
        <v>NON</v>
      </c>
      <c r="F459" s="392"/>
    </row>
    <row r="461" spans="2:6" x14ac:dyDescent="0.25">
      <c r="C461" s="387" t="s">
        <v>439</v>
      </c>
      <c r="D461" s="387"/>
      <c r="E461" s="387"/>
      <c r="F461" s="387"/>
    </row>
    <row r="462" spans="2:6" ht="28.9" customHeight="1" x14ac:dyDescent="0.25">
      <c r="C462" s="388" t="s">
        <v>440</v>
      </c>
      <c r="D462" s="388"/>
      <c r="E462" s="389" t="e">
        <f ca="1">'385°C'!N76</f>
        <v>#REF!</v>
      </c>
      <c r="F462" s="389"/>
    </row>
    <row r="463" spans="2:6" ht="28.9" customHeight="1" x14ac:dyDescent="0.25">
      <c r="C463" s="388" t="s">
        <v>441</v>
      </c>
      <c r="D463" s="388"/>
      <c r="E463" s="389" t="e">
        <f ca="1">'385°C'!N75</f>
        <v>#REF!</v>
      </c>
      <c r="F463" s="389"/>
    </row>
    <row r="464" spans="2:6" x14ac:dyDescent="0.25">
      <c r="C464" s="397" t="s">
        <v>442</v>
      </c>
      <c r="D464" s="397"/>
      <c r="E464" s="402" t="e">
        <f ca="1">'385°C'!N70</f>
        <v>#REF!</v>
      </c>
      <c r="F464" s="403"/>
    </row>
    <row r="465" spans="2:7" x14ac:dyDescent="0.25">
      <c r="C465" s="397" t="s">
        <v>443</v>
      </c>
      <c r="D465" s="397"/>
      <c r="E465" s="398">
        <f>Mesures_Four!G23</f>
        <v>10</v>
      </c>
      <c r="F465" s="398"/>
    </row>
    <row r="466" spans="2:7" x14ac:dyDescent="0.25">
      <c r="C466" s="391" t="s">
        <v>453</v>
      </c>
      <c r="D466" s="391"/>
      <c r="E466" s="399" t="e">
        <f ca="1">IF(AND(ABS(E462)&lt;=E465/2,(ABS(E463)&lt;=E465/2)),"CONFORME","NON CONFORME")</f>
        <v>#REF!</v>
      </c>
      <c r="F466" s="399"/>
    </row>
    <row r="468" spans="2:7" x14ac:dyDescent="0.25">
      <c r="C468" s="404" t="s">
        <v>445</v>
      </c>
      <c r="D468" s="405"/>
      <c r="E468" s="246" t="s">
        <v>404</v>
      </c>
      <c r="F468" s="246" t="s">
        <v>401</v>
      </c>
    </row>
    <row r="469" spans="2:7" ht="28.9" customHeight="1" x14ac:dyDescent="0.25">
      <c r="B469" s="254" t="s">
        <v>446</v>
      </c>
      <c r="C469" s="400" t="s">
        <v>447</v>
      </c>
      <c r="D469" s="401"/>
      <c r="E469" s="154" t="e">
        <f ca="1">IF(ABS(E462)&lt;Mesures_Four!F23/2,"OUI","NON")</f>
        <v>#REF!</v>
      </c>
      <c r="F469" s="154" t="e">
        <f ca="1">IF(ABS(E463)&lt;Mesures_Four!F23/2,"OUI","NON")</f>
        <v>#REF!</v>
      </c>
    </row>
    <row r="470" spans="2:7" ht="28.9" customHeight="1" x14ac:dyDescent="0.25">
      <c r="B470" s="408" t="s">
        <v>448</v>
      </c>
      <c r="C470" s="400" t="s">
        <v>454</v>
      </c>
      <c r="D470" s="401"/>
      <c r="E470" s="154" t="e">
        <f ca="1">IF(ABS('385°C'!AA121-'385°C'!W67)&lt;1.7,"OUI","NON")</f>
        <v>#REF!</v>
      </c>
      <c r="F470" s="154" t="s">
        <v>201</v>
      </c>
    </row>
    <row r="471" spans="2:7" ht="28.9" customHeight="1" x14ac:dyDescent="0.25">
      <c r="B471" s="408"/>
      <c r="C471" s="400" t="s">
        <v>455</v>
      </c>
      <c r="D471" s="401"/>
      <c r="E471" s="154" t="s">
        <v>201</v>
      </c>
      <c r="F471" s="154" t="e">
        <f ca="1">IF(ABS('385°C'!AC120-'385°C'!W66)&lt;1.7,"OUI","NON")</f>
        <v>#REF!</v>
      </c>
    </row>
    <row r="472" spans="2:7" ht="28.9" customHeight="1" x14ac:dyDescent="0.25">
      <c r="C472" s="409" t="s">
        <v>451</v>
      </c>
      <c r="D472" s="409"/>
      <c r="E472" s="154" t="e">
        <f ca="1">IF(E469="OUI","NON",IF(E470="OUI","NON","OUI"))</f>
        <v>#REF!</v>
      </c>
      <c r="F472" s="154" t="e">
        <f ca="1">IF(F469="OUI","NON",IF(F471="OUI","NON","OUI"))</f>
        <v>#REF!</v>
      </c>
    </row>
    <row r="473" spans="2:7" x14ac:dyDescent="0.25">
      <c r="C473" s="415"/>
      <c r="D473" s="415"/>
      <c r="E473" s="416"/>
      <c r="F473" s="415"/>
    </row>
    <row r="474" spans="2:7" ht="18.75" x14ac:dyDescent="0.25">
      <c r="B474" s="410" t="str">
        <f>_xlfn.CONCAT("A ",B383,", avec une consigne à ",B383,", le four est ")</f>
        <v xml:space="preserve">A 385°C, avec une consigne à 385°C, le four est </v>
      </c>
      <c r="C474" s="410"/>
      <c r="D474" s="410"/>
      <c r="E474" s="255" t="e">
        <f ca="1">IF(AND(E459="NON",E466="CONFORME"),"CONFORME","NON CONFORME")</f>
        <v>#REF!</v>
      </c>
      <c r="F474" s="396" t="str">
        <f>_xlfn.CONCAT("à la tolérance requise de ± ",Mesures_Four!F23,"°C")</f>
        <v>à la tolérance requise de ± 5°C</v>
      </c>
      <c r="G474" s="396"/>
    </row>
    <row r="482" spans="2:6" ht="18.75" x14ac:dyDescent="0.3">
      <c r="B482" s="231" t="str">
        <f>_xlfn.CONCAT("6- Résultats et exploitations des résultats à ",B485)</f>
        <v>6- Résultats et exploitations des résultats à 535°C</v>
      </c>
    </row>
    <row r="484" spans="2:6" x14ac:dyDescent="0.25">
      <c r="B484" s="246" t="s">
        <v>241</v>
      </c>
      <c r="C484" s="246" t="s">
        <v>397</v>
      </c>
      <c r="E484" s="246" t="s">
        <v>398</v>
      </c>
      <c r="F484" s="246" t="s">
        <v>399</v>
      </c>
    </row>
    <row r="485" spans="2:6" x14ac:dyDescent="0.25">
      <c r="B485" s="247" t="str">
        <f>Mesures_Four!G27</f>
        <v>535°C</v>
      </c>
      <c r="C485" s="248" t="str">
        <f>_xlfn.CONCAT("± ",Mesures_Four!F24,"°C")</f>
        <v>± 5°C</v>
      </c>
      <c r="E485" s="247" t="s">
        <v>400</v>
      </c>
      <c r="F485" s="258">
        <f>Mesures_Four!C24</f>
        <v>-0.6</v>
      </c>
    </row>
    <row r="486" spans="2:6" x14ac:dyDescent="0.25">
      <c r="E486" s="247" t="s">
        <v>401</v>
      </c>
      <c r="F486" s="258">
        <f>Mesures_Four!D24</f>
        <v>-0.27</v>
      </c>
    </row>
    <row r="487" spans="2:6" x14ac:dyDescent="0.25">
      <c r="B487" s="246" t="s">
        <v>402</v>
      </c>
      <c r="C487" s="246" t="s">
        <v>403</v>
      </c>
      <c r="E487" s="247" t="s">
        <v>404</v>
      </c>
      <c r="F487" s="258">
        <f>Mesures_Four!E24</f>
        <v>0.5</v>
      </c>
    </row>
    <row r="488" spans="2:6" x14ac:dyDescent="0.25">
      <c r="B488" s="249">
        <f>INDEX(tab_four535[Date/Heure],1)</f>
        <v>0</v>
      </c>
      <c r="C488" s="249">
        <f ca="1">OFFSET(INDEX(tab_four535[Date/Heure],1),COUNTA(tab_four535[Date/Heure])+COUNTBLANK(tab_four535[Date/Heure])-1,0,1)</f>
        <v>0</v>
      </c>
    </row>
    <row r="490" spans="2:6" ht="18.75" x14ac:dyDescent="0.3">
      <c r="B490" s="231" t="s">
        <v>405</v>
      </c>
    </row>
    <row r="492" spans="2:6" x14ac:dyDescent="0.25">
      <c r="C492" s="246" t="s">
        <v>406</v>
      </c>
      <c r="D492" s="246" t="s">
        <v>407</v>
      </c>
      <c r="E492" s="246" t="s">
        <v>408</v>
      </c>
      <c r="F492" s="246" t="s">
        <v>409</v>
      </c>
    </row>
    <row r="493" spans="2:6" x14ac:dyDescent="0.25">
      <c r="C493" s="247" t="s">
        <v>410</v>
      </c>
      <c r="D493" s="250" t="e">
        <f ca="1">'535°C'!AB126</f>
        <v>#REF!</v>
      </c>
      <c r="E493" s="250" t="e">
        <f ca="1">'535°C'!AB127</f>
        <v>#REF!</v>
      </c>
      <c r="F493" s="250" t="e">
        <f ca="1">'535°C'!AB128</f>
        <v>#REF!</v>
      </c>
    </row>
    <row r="494" spans="2:6" x14ac:dyDescent="0.25">
      <c r="C494" s="247" t="s">
        <v>411</v>
      </c>
      <c r="D494" s="250" t="e">
        <f ca="1">'535°C'!AC126</f>
        <v>#REF!</v>
      </c>
      <c r="E494" s="250" t="e">
        <f ca="1">'535°C'!AC127</f>
        <v>#REF!</v>
      </c>
      <c r="F494" s="250" t="e">
        <f ca="1">'535°C'!AC128</f>
        <v>#REF!</v>
      </c>
    </row>
    <row r="495" spans="2:6" x14ac:dyDescent="0.25">
      <c r="C495" s="247" t="s">
        <v>412</v>
      </c>
      <c r="D495" s="250" t="e">
        <f ca="1">'535°C'!AA126</f>
        <v>#REF!</v>
      </c>
      <c r="E495" s="250" t="e">
        <f ca="1">'535°C'!AA127</f>
        <v>#REF!</v>
      </c>
      <c r="F495" s="250" t="e">
        <f ca="1">'535°C'!AA128</f>
        <v>#REF!</v>
      </c>
    </row>
    <row r="497" spans="2:5" ht="18.75" x14ac:dyDescent="0.3">
      <c r="B497" s="231" t="s">
        <v>413</v>
      </c>
    </row>
    <row r="499" spans="2:5" x14ac:dyDescent="0.25">
      <c r="B499" s="404" t="s">
        <v>301</v>
      </c>
      <c r="C499" s="405"/>
      <c r="D499" s="246" t="s">
        <v>414</v>
      </c>
      <c r="E499" s="246" t="s">
        <v>415</v>
      </c>
    </row>
    <row r="500" spans="2:5" x14ac:dyDescent="0.25">
      <c r="B500" s="406" t="s">
        <v>416</v>
      </c>
      <c r="C500" s="407"/>
      <c r="D500" s="251" t="str">
        <f>B485</f>
        <v>535°C</v>
      </c>
      <c r="E500" s="251" t="s">
        <v>201</v>
      </c>
    </row>
    <row r="501" spans="2:5" x14ac:dyDescent="0.25">
      <c r="B501" s="406" t="s">
        <v>202</v>
      </c>
      <c r="C501" s="407"/>
      <c r="D501" s="251" t="str">
        <f>B485</f>
        <v>535°C</v>
      </c>
      <c r="E501" s="251" t="s">
        <v>201</v>
      </c>
    </row>
    <row r="502" spans="2:5" ht="15" customHeight="1" x14ac:dyDescent="0.25">
      <c r="B502" s="406" t="s">
        <v>417</v>
      </c>
      <c r="C502" s="407"/>
      <c r="D502" s="250">
        <f>'535°C'!W68</f>
        <v>0</v>
      </c>
      <c r="E502" s="252" t="e">
        <f>VLOOKUP(SUBSTITUTE(HLOOKUP(D502,'535°C'!$N68:$V$75,8,FALSE),"Connecteur ",""),Mesures_Four!B28:C36,2,FALSE)</f>
        <v>#N/A</v>
      </c>
    </row>
    <row r="503" spans="2:5" ht="30" customHeight="1" x14ac:dyDescent="0.25">
      <c r="B503" s="400" t="s">
        <v>418</v>
      </c>
      <c r="C503" s="401"/>
      <c r="D503" s="250" t="e">
        <f ca="1">'535°C'!W69</f>
        <v>#REF!</v>
      </c>
      <c r="E503" s="252" t="e">
        <f ca="1">VLOOKUP(SUBSTITUTE(HLOOKUP(D503,'535°C'!$N69:$V$75,7,FALSE),"Connecteur ",""),Mesures_Four!B28:C36,2,FALSE)</f>
        <v>#REF!</v>
      </c>
    </row>
    <row r="504" spans="2:5" ht="30" customHeight="1" x14ac:dyDescent="0.25">
      <c r="B504" s="400" t="s">
        <v>419</v>
      </c>
      <c r="C504" s="401"/>
      <c r="D504" s="250" t="e">
        <f ca="1">'535°C'!W70</f>
        <v>#REF!</v>
      </c>
      <c r="E504" s="252" t="e">
        <f ca="1">VLOOKUP(SUBSTITUTE(HLOOKUP(D504,'535°C'!$N70:$V$75,6,FALSE),"Connecteur ",""),Mesures_Four!B28:C36,2,FALSE)</f>
        <v>#REF!</v>
      </c>
    </row>
    <row r="505" spans="2:5" ht="30" customHeight="1" x14ac:dyDescent="0.25">
      <c r="B505" s="400" t="s">
        <v>420</v>
      </c>
      <c r="C505" s="401"/>
      <c r="D505" s="250" t="e">
        <f ca="1">'535°C'!W74</f>
        <v>#REF!</v>
      </c>
      <c r="E505" s="251" t="s">
        <v>201</v>
      </c>
    </row>
    <row r="512" spans="2:5" ht="18.75" x14ac:dyDescent="0.3">
      <c r="B512" s="231" t="s">
        <v>421</v>
      </c>
    </row>
    <row r="513" spans="2:8" ht="18.75" x14ac:dyDescent="0.3">
      <c r="B513" s="231"/>
    </row>
    <row r="514" spans="2:8" x14ac:dyDescent="0.25">
      <c r="B514" s="385" t="s">
        <v>422</v>
      </c>
      <c r="C514" s="385" t="s">
        <v>415</v>
      </c>
      <c r="D514" s="404" t="s">
        <v>423</v>
      </c>
      <c r="E514" s="412"/>
      <c r="F514" s="412"/>
      <c r="G514" s="405"/>
      <c r="H514" s="246" t="s">
        <v>342</v>
      </c>
    </row>
    <row r="515" spans="2:8" x14ac:dyDescent="0.25">
      <c r="B515" s="385"/>
      <c r="C515" s="385"/>
      <c r="D515" s="247" t="s">
        <v>424</v>
      </c>
      <c r="E515" s="247" t="s">
        <v>425</v>
      </c>
      <c r="F515" s="247" t="s">
        <v>213</v>
      </c>
      <c r="G515" s="247" t="s">
        <v>214</v>
      </c>
      <c r="H515" s="247" t="s">
        <v>426</v>
      </c>
    </row>
    <row r="516" spans="2:8" x14ac:dyDescent="0.25">
      <c r="B516" s="253" t="s">
        <v>427</v>
      </c>
      <c r="C516" s="247" t="e">
        <f>VLOOKUP($B516,$C$147:$D$155,2,FALSE)</f>
        <v>#N/A</v>
      </c>
      <c r="D516" s="250" t="e">
        <f ca="1">'535°C'!N69</f>
        <v>#REF!</v>
      </c>
      <c r="E516" s="250" t="e">
        <f ca="1">'535°C'!N70</f>
        <v>#REF!</v>
      </c>
      <c r="F516" s="250" t="e">
        <f ca="1">'535°C'!N71</f>
        <v>#REF!</v>
      </c>
      <c r="G516" s="250" t="e">
        <f t="shared" ref="G516:G524" ca="1" si="6">D516-E516</f>
        <v>#REF!</v>
      </c>
      <c r="H516" s="250">
        <f>'535°C'!N68</f>
        <v>0</v>
      </c>
    </row>
    <row r="517" spans="2:8" x14ac:dyDescent="0.25">
      <c r="B517" s="253" t="s">
        <v>428</v>
      </c>
      <c r="C517" s="247" t="e">
        <f t="shared" ref="C517:C524" si="7">VLOOKUP($B517,$C$147:$D$155,2,FALSE)</f>
        <v>#N/A</v>
      </c>
      <c r="D517" s="250" t="e">
        <f ca="1">'535°C'!O69</f>
        <v>#REF!</v>
      </c>
      <c r="E517" s="250" t="e">
        <f ca="1">'535°C'!O70</f>
        <v>#REF!</v>
      </c>
      <c r="F517" s="250" t="e">
        <f ca="1">'535°C'!O71</f>
        <v>#REF!</v>
      </c>
      <c r="G517" s="250" t="e">
        <f t="shared" ca="1" si="6"/>
        <v>#REF!</v>
      </c>
      <c r="H517" s="250">
        <f>'535°C'!O68</f>
        <v>0</v>
      </c>
    </row>
    <row r="518" spans="2:8" x14ac:dyDescent="0.25">
      <c r="B518" s="253" t="s">
        <v>429</v>
      </c>
      <c r="C518" s="247" t="e">
        <f t="shared" si="7"/>
        <v>#N/A</v>
      </c>
      <c r="D518" s="250" t="e">
        <f ca="1">'535°C'!P69</f>
        <v>#REF!</v>
      </c>
      <c r="E518" s="250" t="e">
        <f ca="1">'535°C'!P70</f>
        <v>#REF!</v>
      </c>
      <c r="F518" s="250" t="e">
        <f ca="1">'535°C'!P71</f>
        <v>#REF!</v>
      </c>
      <c r="G518" s="250" t="e">
        <f t="shared" ca="1" si="6"/>
        <v>#REF!</v>
      </c>
      <c r="H518" s="250">
        <f>'535°C'!P68</f>
        <v>0</v>
      </c>
    </row>
    <row r="519" spans="2:8" x14ac:dyDescent="0.25">
      <c r="B519" s="253" t="s">
        <v>430</v>
      </c>
      <c r="C519" s="247" t="e">
        <f t="shared" si="7"/>
        <v>#N/A</v>
      </c>
      <c r="D519" s="250" t="e">
        <f ca="1">'535°C'!Q69</f>
        <v>#REF!</v>
      </c>
      <c r="E519" s="250" t="e">
        <f ca="1">'535°C'!Q70</f>
        <v>#REF!</v>
      </c>
      <c r="F519" s="250" t="e">
        <f ca="1">'535°C'!Q71</f>
        <v>#REF!</v>
      </c>
      <c r="G519" s="250" t="e">
        <f t="shared" ca="1" si="6"/>
        <v>#REF!</v>
      </c>
      <c r="H519" s="250">
        <f>'535°C'!Q68</f>
        <v>0</v>
      </c>
    </row>
    <row r="520" spans="2:8" x14ac:dyDescent="0.25">
      <c r="B520" s="253" t="s">
        <v>431</v>
      </c>
      <c r="C520" s="247" t="e">
        <f t="shared" si="7"/>
        <v>#N/A</v>
      </c>
      <c r="D520" s="250" t="e">
        <f ca="1">'535°C'!R69</f>
        <v>#REF!</v>
      </c>
      <c r="E520" s="250" t="e">
        <f ca="1">'535°C'!R70</f>
        <v>#REF!</v>
      </c>
      <c r="F520" s="250" t="e">
        <f ca="1">'535°C'!R71</f>
        <v>#REF!</v>
      </c>
      <c r="G520" s="250" t="e">
        <f t="shared" ca="1" si="6"/>
        <v>#REF!</v>
      </c>
      <c r="H520" s="250">
        <f>'535°C'!R68</f>
        <v>0</v>
      </c>
    </row>
    <row r="521" spans="2:8" x14ac:dyDescent="0.25">
      <c r="B521" s="253" t="s">
        <v>432</v>
      </c>
      <c r="C521" s="247" t="e">
        <f t="shared" si="7"/>
        <v>#N/A</v>
      </c>
      <c r="D521" s="250" t="e">
        <f ca="1">'535°C'!S69</f>
        <v>#REF!</v>
      </c>
      <c r="E521" s="250" t="e">
        <f ca="1">'535°C'!S70</f>
        <v>#REF!</v>
      </c>
      <c r="F521" s="250" t="e">
        <f ca="1">'535°C'!S71</f>
        <v>#REF!</v>
      </c>
      <c r="G521" s="250" t="e">
        <f t="shared" ca="1" si="6"/>
        <v>#REF!</v>
      </c>
      <c r="H521" s="250">
        <f>'535°C'!S68</f>
        <v>0</v>
      </c>
    </row>
    <row r="522" spans="2:8" x14ac:dyDescent="0.25">
      <c r="B522" s="253" t="s">
        <v>433</v>
      </c>
      <c r="C522" s="247" t="e">
        <f t="shared" si="7"/>
        <v>#N/A</v>
      </c>
      <c r="D522" s="250" t="e">
        <f ca="1">'535°C'!T69</f>
        <v>#REF!</v>
      </c>
      <c r="E522" s="250" t="e">
        <f ca="1">'535°C'!T70</f>
        <v>#REF!</v>
      </c>
      <c r="F522" s="250" t="e">
        <f ca="1">'535°C'!T71</f>
        <v>#REF!</v>
      </c>
      <c r="G522" s="250" t="e">
        <f t="shared" ca="1" si="6"/>
        <v>#REF!</v>
      </c>
      <c r="H522" s="250">
        <f>'535°C'!T68</f>
        <v>0</v>
      </c>
    </row>
    <row r="523" spans="2:8" x14ac:dyDescent="0.25">
      <c r="B523" s="253" t="s">
        <v>434</v>
      </c>
      <c r="C523" s="247" t="e">
        <f t="shared" si="7"/>
        <v>#N/A</v>
      </c>
      <c r="D523" s="250" t="e">
        <f ca="1">'535°C'!U69</f>
        <v>#REF!</v>
      </c>
      <c r="E523" s="250" t="e">
        <f ca="1">'535°C'!U70</f>
        <v>#REF!</v>
      </c>
      <c r="F523" s="250" t="e">
        <f ca="1">'535°C'!U71</f>
        <v>#REF!</v>
      </c>
      <c r="G523" s="250" t="e">
        <f t="shared" ca="1" si="6"/>
        <v>#REF!</v>
      </c>
      <c r="H523" s="250">
        <f>'535°C'!U68</f>
        <v>0</v>
      </c>
    </row>
    <row r="524" spans="2:8" x14ac:dyDescent="0.25">
      <c r="B524" s="253" t="s">
        <v>435</v>
      </c>
      <c r="C524" s="247" t="e">
        <f t="shared" si="7"/>
        <v>#N/A</v>
      </c>
      <c r="D524" s="250" t="e">
        <f ca="1">'535°C'!V69</f>
        <v>#REF!</v>
      </c>
      <c r="E524" s="250" t="e">
        <f ca="1">'535°C'!V70</f>
        <v>#REF!</v>
      </c>
      <c r="F524" s="250" t="e">
        <f ca="1">'535°C'!V71</f>
        <v>#REF!</v>
      </c>
      <c r="G524" s="250" t="e">
        <f t="shared" ca="1" si="6"/>
        <v>#REF!</v>
      </c>
      <c r="H524" s="250">
        <f>'535°C'!V68</f>
        <v>0</v>
      </c>
    </row>
    <row r="526" spans="2:8" ht="18.75" x14ac:dyDescent="0.3">
      <c r="B526" s="231" t="s">
        <v>436</v>
      </c>
    </row>
    <row r="557" spans="2:6" ht="18.75" x14ac:dyDescent="0.3">
      <c r="B557" s="231" t="s">
        <v>437</v>
      </c>
    </row>
    <row r="558" spans="2:6" ht="18.75" x14ac:dyDescent="0.3">
      <c r="B558" s="231"/>
      <c r="C558" s="387" t="s">
        <v>438</v>
      </c>
      <c r="D558" s="387"/>
      <c r="E558" s="387"/>
      <c r="F558" s="387"/>
    </row>
    <row r="559" spans="2:6" ht="28.9" customHeight="1" x14ac:dyDescent="0.25">
      <c r="C559" s="388" t="str">
        <f>_xlfn.CONCAT("Dépassement de la consigne durant la phase de montée ou de maintien en température (&gt; ",B485,")")</f>
        <v>Dépassement de la consigne durant la phase de montée ou de maintien en température (&gt; 535°C)</v>
      </c>
      <c r="D559" s="388"/>
      <c r="E559" s="390" t="str">
        <f>IF('535°C'!W68-Mesures_Four!B24&gt;0,'535°C'!W68-Mesures_Four!B24,"PAS DE DÉPASSEMENT")</f>
        <v>PAS DE DÉPASSEMENT</v>
      </c>
      <c r="F559" s="390"/>
    </row>
    <row r="560" spans="2:6" x14ac:dyDescent="0.25">
      <c r="C560" s="411" t="str">
        <f>_xlfn.CONCAT("Dépassement supérieur à la tolérance maximale (",C485,")")</f>
        <v>Dépassement supérieur à la tolérance maximale (± 5°C)</v>
      </c>
      <c r="D560" s="411"/>
      <c r="E560" s="392" t="str">
        <f>IF(OR(E559="PAS DE DÉPASSEMENT",E559&lt;=Mesures_Four!F24),"NON","OUI")</f>
        <v>NON</v>
      </c>
      <c r="F560" s="392"/>
    </row>
    <row r="562" spans="2:7" x14ac:dyDescent="0.25">
      <c r="C562" s="417" t="s">
        <v>439</v>
      </c>
      <c r="D562" s="418"/>
      <c r="E562" s="418"/>
      <c r="F562" s="419"/>
    </row>
    <row r="563" spans="2:7" ht="28.9" customHeight="1" x14ac:dyDescent="0.25">
      <c r="C563" s="388" t="s">
        <v>456</v>
      </c>
      <c r="D563" s="388"/>
      <c r="E563" s="389" t="e">
        <f ca="1">'535°C'!N79</f>
        <v>#REF!</v>
      </c>
      <c r="F563" s="389"/>
    </row>
    <row r="564" spans="2:7" ht="28.9" customHeight="1" x14ac:dyDescent="0.25">
      <c r="C564" s="388" t="s">
        <v>457</v>
      </c>
      <c r="D564" s="388"/>
      <c r="E564" s="389" t="e">
        <f ca="1">'535°C'!N78</f>
        <v>#REF!</v>
      </c>
      <c r="F564" s="389"/>
    </row>
    <row r="565" spans="2:7" x14ac:dyDescent="0.25">
      <c r="C565" s="397" t="s">
        <v>442</v>
      </c>
      <c r="D565" s="397"/>
      <c r="E565" s="402" t="e">
        <f ca="1">'535°C'!N73</f>
        <v>#REF!</v>
      </c>
      <c r="F565" s="403"/>
    </row>
    <row r="566" spans="2:7" x14ac:dyDescent="0.25">
      <c r="C566" s="397" t="s">
        <v>443</v>
      </c>
      <c r="D566" s="397"/>
      <c r="E566" s="398">
        <f>Mesures_Four!G24</f>
        <v>10</v>
      </c>
      <c r="F566" s="398"/>
    </row>
    <row r="567" spans="2:7" x14ac:dyDescent="0.25">
      <c r="C567" s="391" t="s">
        <v>458</v>
      </c>
      <c r="D567" s="391"/>
      <c r="E567" s="399" t="e">
        <f ca="1">IF(AND(ABS(E563)&lt;=E566/2,(ABS(E564)&lt;=E566/2)),"CONFORME","NON CONFORME")</f>
        <v>#REF!</v>
      </c>
      <c r="F567" s="399"/>
    </row>
    <row r="569" spans="2:7" x14ac:dyDescent="0.25">
      <c r="C569" s="404" t="s">
        <v>445</v>
      </c>
      <c r="D569" s="405"/>
      <c r="E569" s="246" t="s">
        <v>459</v>
      </c>
      <c r="F569" s="246" t="s">
        <v>460</v>
      </c>
    </row>
    <row r="570" spans="2:7" ht="28.9" customHeight="1" x14ac:dyDescent="0.25">
      <c r="B570" s="254" t="s">
        <v>446</v>
      </c>
      <c r="C570" s="400" t="s">
        <v>447</v>
      </c>
      <c r="D570" s="401"/>
      <c r="E570" s="154" t="e">
        <f ca="1">IF(ABS(E563)&lt;Mesures_Four!F24/2,"OUI","NON")</f>
        <v>#REF!</v>
      </c>
      <c r="F570" s="154" t="e">
        <f ca="1">IF(ABS(E564)&lt;Mesures_Four!F24/2,"OUI","NON")</f>
        <v>#REF!</v>
      </c>
    </row>
    <row r="571" spans="2:7" ht="28.9" customHeight="1" x14ac:dyDescent="0.25">
      <c r="B571" s="408" t="s">
        <v>448</v>
      </c>
      <c r="C571" s="400" t="s">
        <v>454</v>
      </c>
      <c r="D571" s="401"/>
      <c r="E571" s="154" t="e">
        <f ca="1">IF(ABS('535°C'!AA127-'535°C'!W70)&lt;1.7,"OUI","NON")</f>
        <v>#REF!</v>
      </c>
      <c r="F571" s="154" t="s">
        <v>201</v>
      </c>
    </row>
    <row r="572" spans="2:7" ht="28.9" customHeight="1" x14ac:dyDescent="0.25">
      <c r="B572" s="408"/>
      <c r="C572" s="400" t="s">
        <v>455</v>
      </c>
      <c r="D572" s="401"/>
      <c r="E572" s="154" t="s">
        <v>201</v>
      </c>
      <c r="F572" s="154" t="e">
        <f ca="1">IF(ABS('535°C'!AC126-'535°C'!W69)&lt;1.7,"OUI","NON")</f>
        <v>#REF!</v>
      </c>
    </row>
    <row r="573" spans="2:7" ht="28.9" customHeight="1" x14ac:dyDescent="0.25">
      <c r="C573" s="420" t="s">
        <v>451</v>
      </c>
      <c r="D573" s="420"/>
      <c r="E573" s="259" t="e">
        <f ca="1">IF(E570="OUI","NON",IF(E571="OUI","NON","OUI"))</f>
        <v>#REF!</v>
      </c>
      <c r="F573" s="259" t="e">
        <f ca="1">IF(F570="OUI","NON",IF(F572="OUI","NON","OUI"))</f>
        <v>#REF!</v>
      </c>
    </row>
    <row r="575" spans="2:7" ht="18.75" x14ac:dyDescent="0.25">
      <c r="B575" s="410" t="str">
        <f>_xlfn.CONCAT("A ",B485,", avec une consigne à ",B485,", le four est ")</f>
        <v xml:space="preserve">A 535°C, avec une consigne à 535°C, le four est </v>
      </c>
      <c r="C575" s="410"/>
      <c r="D575" s="410"/>
      <c r="E575" s="255" t="e">
        <f ca="1">IF(AND(E560="NON",E567="CONFORME"),"CONFORME","NON CONFORME")</f>
        <v>#REF!</v>
      </c>
      <c r="F575" s="396" t="str">
        <f>_xlfn.CONCAT("à la tolérance requise de ± ",Mesures_Four!F24,"°C")</f>
        <v>à la tolérance requise de ± 5°C</v>
      </c>
      <c r="G575" s="396"/>
    </row>
    <row r="582" spans="1:11" ht="18.75" x14ac:dyDescent="0.3">
      <c r="B582" s="231" t="s">
        <v>461</v>
      </c>
    </row>
    <row r="583" spans="1:11" ht="18.75" x14ac:dyDescent="0.3">
      <c r="B583" s="231"/>
    </row>
    <row r="584" spans="1:11" ht="18.75" customHeight="1" x14ac:dyDescent="0.25">
      <c r="A584" s="417" t="s">
        <v>462</v>
      </c>
      <c r="B584" s="418"/>
      <c r="C584" s="419"/>
      <c r="D584" s="246" t="str">
        <f>B181</f>
        <v>80°C</v>
      </c>
      <c r="E584" s="246" t="str">
        <f>B281</f>
        <v>200°C</v>
      </c>
      <c r="F584" s="246" t="str">
        <f>B383</f>
        <v>385°C</v>
      </c>
      <c r="G584" s="246" t="str">
        <f>B485</f>
        <v>535°C</v>
      </c>
    </row>
    <row r="585" spans="1:11" x14ac:dyDescent="0.25">
      <c r="A585" s="424" t="s">
        <v>463</v>
      </c>
      <c r="B585" s="425"/>
      <c r="C585" s="426"/>
      <c r="D585" s="260" t="e">
        <f ca="1">OFFSET(INDEX(tab_four80[Consigne T°],1),COUNT(tab_four80[Consigne T°])-30,0,1)</f>
        <v>#REF!</v>
      </c>
      <c r="E585" s="260" t="e">
        <f ca="1">OFFSET(INDEX(tab_four200[Consigne T°],1),COUNT(tab_four200[Consigne T°])-30,0,1)</f>
        <v>#REF!</v>
      </c>
      <c r="F585" s="260" t="e">
        <f ca="1">OFFSET(INDEX(tab_four385[Consigne T°],1),COUNT(tab_four385[Consigne T°])-30,0,1)</f>
        <v>#REF!</v>
      </c>
      <c r="G585" s="261" t="e">
        <f ca="1">OFFSET(INDEX(tab_four535[Consigne T°],1),COUNT(tab_four535[Consigne T°])-30,0,1)</f>
        <v>#REF!</v>
      </c>
    </row>
    <row r="586" spans="1:11" ht="28.9" customHeight="1" x14ac:dyDescent="0.25">
      <c r="A586" s="421" t="s">
        <v>464</v>
      </c>
      <c r="B586" s="422"/>
      <c r="C586" s="423"/>
      <c r="D586" s="250" t="str">
        <f>E254</f>
        <v>PAS DE DÉPASSEMENT</v>
      </c>
      <c r="E586" s="250" t="str">
        <f>E356</f>
        <v>PAS DE DÉPASSEMENT</v>
      </c>
      <c r="F586" s="250" t="str">
        <f>E458</f>
        <v>PAS DE DÉPASSEMENT</v>
      </c>
      <c r="G586" s="250" t="str">
        <f>E559</f>
        <v>PAS DE DÉPASSEMENT</v>
      </c>
    </row>
    <row r="587" spans="1:11" x14ac:dyDescent="0.25">
      <c r="A587" s="424" t="s">
        <v>465</v>
      </c>
      <c r="B587" s="425"/>
      <c r="C587" s="426"/>
      <c r="D587" s="262">
        <f>Mesures_Four!F21</f>
        <v>3</v>
      </c>
      <c r="E587" s="262">
        <f>Mesures_Four!F22</f>
        <v>3</v>
      </c>
      <c r="F587" s="262">
        <f>Mesures_Four!F23</f>
        <v>5</v>
      </c>
      <c r="G587" s="262">
        <f>Mesures_Four!F24</f>
        <v>5</v>
      </c>
    </row>
    <row r="588" spans="1:11" ht="18.75" x14ac:dyDescent="0.3">
      <c r="A588" s="424" t="s">
        <v>466</v>
      </c>
      <c r="B588" s="425"/>
      <c r="C588" s="426"/>
      <c r="D588" s="263" t="str">
        <f>E255</f>
        <v>NON</v>
      </c>
      <c r="E588" s="263" t="str">
        <f>E357</f>
        <v>NON</v>
      </c>
      <c r="F588" s="263" t="str">
        <f>E459</f>
        <v>NON</v>
      </c>
      <c r="G588" s="263" t="str">
        <f>E560</f>
        <v>NON</v>
      </c>
    </row>
    <row r="589" spans="1:11" x14ac:dyDescent="0.25">
      <c r="A589" s="424" t="s">
        <v>467</v>
      </c>
      <c r="B589" s="425"/>
      <c r="C589" s="426"/>
      <c r="D589" s="259">
        <v>1</v>
      </c>
      <c r="E589" s="259">
        <v>1</v>
      </c>
      <c r="F589" s="154">
        <v>2</v>
      </c>
      <c r="G589" s="259">
        <v>2</v>
      </c>
    </row>
    <row r="590" spans="1:11" ht="31.15" customHeight="1" x14ac:dyDescent="0.25">
      <c r="A590" s="421" t="s">
        <v>440</v>
      </c>
      <c r="B590" s="422"/>
      <c r="C590" s="423"/>
      <c r="D590" s="261" t="e">
        <f ca="1">E258</f>
        <v>#REF!</v>
      </c>
      <c r="E590" s="261" t="e">
        <f ca="1">E360</f>
        <v>#REF!</v>
      </c>
      <c r="F590" s="153" t="e">
        <f ca="1">E462</f>
        <v>#REF!</v>
      </c>
      <c r="G590" s="261" t="e">
        <f ca="1">E563</f>
        <v>#REF!</v>
      </c>
      <c r="K590" s="264"/>
    </row>
    <row r="591" spans="1:11" ht="31.15" customHeight="1" x14ac:dyDescent="0.25">
      <c r="A591" s="421" t="s">
        <v>441</v>
      </c>
      <c r="B591" s="422"/>
      <c r="C591" s="423"/>
      <c r="D591" s="261" t="e">
        <f ca="1">E259</f>
        <v>#REF!</v>
      </c>
      <c r="E591" s="261" t="e">
        <f ca="1">E361</f>
        <v>#REF!</v>
      </c>
      <c r="F591" s="153" t="e">
        <f ca="1">E463</f>
        <v>#REF!</v>
      </c>
      <c r="G591" s="261" t="e">
        <f t="shared" ref="G591:G592" ca="1" si="8">E564</f>
        <v>#REF!</v>
      </c>
      <c r="K591" s="264"/>
    </row>
    <row r="592" spans="1:11" x14ac:dyDescent="0.25">
      <c r="A592" s="424" t="s">
        <v>468</v>
      </c>
      <c r="B592" s="425"/>
      <c r="C592" s="426"/>
      <c r="D592" s="261" t="e">
        <f ca="1">E260</f>
        <v>#REF!</v>
      </c>
      <c r="E592" s="261" t="e">
        <f ca="1">E362</f>
        <v>#REF!</v>
      </c>
      <c r="F592" s="153" t="e">
        <f ca="1">E464</f>
        <v>#REF!</v>
      </c>
      <c r="G592" s="261" t="e">
        <f t="shared" ca="1" si="8"/>
        <v>#REF!</v>
      </c>
    </row>
    <row r="593" spans="1:8" ht="18.75" x14ac:dyDescent="0.25">
      <c r="A593" s="424" t="s">
        <v>223</v>
      </c>
      <c r="B593" s="425"/>
      <c r="C593" s="426"/>
      <c r="D593" s="265" t="e">
        <f ca="1">E262</f>
        <v>#REF!</v>
      </c>
      <c r="E593" s="265" t="e">
        <f ca="1">E364</f>
        <v>#REF!</v>
      </c>
      <c r="F593" s="265" t="e">
        <f ca="1">E466</f>
        <v>#REF!</v>
      </c>
      <c r="G593" s="265" t="e">
        <f ca="1">E567</f>
        <v>#REF!</v>
      </c>
    </row>
    <row r="594" spans="1:8" ht="18.75" x14ac:dyDescent="0.3">
      <c r="B594" s="231"/>
    </row>
    <row r="595" spans="1:8" x14ac:dyDescent="0.25">
      <c r="A595" s="417" t="s">
        <v>445</v>
      </c>
      <c r="B595" s="418"/>
      <c r="C595" s="419"/>
      <c r="D595" s="404" t="s">
        <v>404</v>
      </c>
      <c r="E595" s="405"/>
      <c r="F595" s="404" t="s">
        <v>401</v>
      </c>
      <c r="G595" s="405"/>
    </row>
    <row r="596" spans="1:8" x14ac:dyDescent="0.25">
      <c r="A596" s="424" t="s">
        <v>469</v>
      </c>
      <c r="B596" s="425"/>
      <c r="C596" s="426"/>
      <c r="D596" s="427" t="e">
        <f ca="1">E268</f>
        <v>#REF!</v>
      </c>
      <c r="E596" s="428"/>
      <c r="F596" s="427" t="e">
        <f ca="1">F268</f>
        <v>#REF!</v>
      </c>
      <c r="G596" s="428"/>
    </row>
    <row r="597" spans="1:8" x14ac:dyDescent="0.25">
      <c r="A597" s="424" t="s">
        <v>470</v>
      </c>
      <c r="B597" s="425"/>
      <c r="C597" s="426"/>
      <c r="D597" s="427" t="e">
        <f ca="1">E370</f>
        <v>#REF!</v>
      </c>
      <c r="E597" s="428"/>
      <c r="F597" s="427" t="e">
        <f ca="1">F370</f>
        <v>#REF!</v>
      </c>
      <c r="G597" s="428"/>
    </row>
    <row r="598" spans="1:8" x14ac:dyDescent="0.25">
      <c r="A598" s="424" t="s">
        <v>471</v>
      </c>
      <c r="B598" s="425"/>
      <c r="C598" s="426"/>
      <c r="D598" s="427" t="e">
        <f ca="1">E472</f>
        <v>#REF!</v>
      </c>
      <c r="E598" s="428"/>
      <c r="F598" s="427" t="e">
        <f ca="1">F472</f>
        <v>#REF!</v>
      </c>
      <c r="G598" s="428"/>
    </row>
    <row r="599" spans="1:8" x14ac:dyDescent="0.25">
      <c r="A599" s="424" t="s">
        <v>472</v>
      </c>
      <c r="B599" s="425"/>
      <c r="C599" s="426"/>
      <c r="D599" s="427" t="e">
        <f ca="1">E573</f>
        <v>#REF!</v>
      </c>
      <c r="E599" s="428"/>
      <c r="F599" s="427" t="e">
        <f ca="1">F573</f>
        <v>#REF!</v>
      </c>
      <c r="G599" s="428"/>
    </row>
    <row r="600" spans="1:8" ht="18.75" x14ac:dyDescent="0.3">
      <c r="A600" s="433" t="s">
        <v>473</v>
      </c>
      <c r="B600" s="434"/>
      <c r="C600" s="435"/>
      <c r="D600" s="436" t="e">
        <f ca="1">IF(AND(E268="NON",E370="NON",E472="NON",E573="NON"),"NON","OUI")</f>
        <v>#REF!</v>
      </c>
      <c r="E600" s="436"/>
      <c r="F600" s="437" t="e">
        <f ca="1">IF(AND(F268="NON",F370="NON",F472="NON",F573="NON"),"NON","OUI")</f>
        <v>#REF!</v>
      </c>
      <c r="G600" s="438"/>
    </row>
    <row r="601" spans="1:8" ht="18.75" x14ac:dyDescent="0.3">
      <c r="B601" s="231"/>
    </row>
    <row r="602" spans="1:8" ht="18.75" x14ac:dyDescent="0.25">
      <c r="A602" s="266" t="s">
        <v>474</v>
      </c>
      <c r="B602" s="439" t="str">
        <f>D57</f>
        <v>THERMIDOR</v>
      </c>
      <c r="C602" s="439"/>
      <c r="D602" s="267" t="s">
        <v>475</v>
      </c>
      <c r="E602" s="268" t="e">
        <f ca="1">IF(AND(D588="NON",E588="NON",F588="NON",G588="NON",D593="CONFORME",E593="CONFORME",F593="CONFORME",G593="CONFORME"),"CONFORME","Non CONFORME")</f>
        <v>#REF!</v>
      </c>
      <c r="F602" s="440" t="s">
        <v>476</v>
      </c>
      <c r="G602" s="440"/>
      <c r="H602" s="269" t="s">
        <v>477</v>
      </c>
    </row>
    <row r="604" spans="1:8" x14ac:dyDescent="0.25">
      <c r="B604" t="s">
        <v>478</v>
      </c>
    </row>
    <row r="605" spans="1:8" x14ac:dyDescent="0.25">
      <c r="C605" s="429" t="s">
        <v>479</v>
      </c>
      <c r="D605" s="429"/>
      <c r="E605" s="429"/>
    </row>
    <row r="606" spans="1:8" x14ac:dyDescent="0.25">
      <c r="C606" s="429" t="s">
        <v>480</v>
      </c>
      <c r="D606" s="429"/>
      <c r="E606" s="429"/>
    </row>
    <row r="607" spans="1:8" x14ac:dyDescent="0.25">
      <c r="C607" s="430" t="s">
        <v>481</v>
      </c>
      <c r="D607" s="430"/>
      <c r="E607" s="430"/>
    </row>
    <row r="608" spans="1:8" x14ac:dyDescent="0.25">
      <c r="C608" s="430"/>
      <c r="D608" s="430"/>
      <c r="E608" s="430"/>
    </row>
    <row r="609" spans="2:8" ht="14.45" customHeight="1" x14ac:dyDescent="0.25">
      <c r="C609" s="430" t="s">
        <v>482</v>
      </c>
      <c r="D609" s="430"/>
      <c r="E609" s="430"/>
    </row>
    <row r="610" spans="2:8" x14ac:dyDescent="0.25">
      <c r="C610" s="430"/>
      <c r="D610" s="430"/>
      <c r="E610" s="430"/>
    </row>
    <row r="612" spans="2:8" ht="14.45" customHeight="1" x14ac:dyDescent="0.25">
      <c r="B612" s="431" t="e">
        <f ca="1">IF(E602&lt;&gt;"CONFORME","ECHEC DE TUS : LA TUS DEVRA DONC ÊTRE RÉALISÉE TOUS LES MOIS JUSQU’À CE QUE 4 TUS CONSÉCUTIVES SOIENT CONFORMES","")</f>
        <v>#REF!</v>
      </c>
      <c r="C612" s="431"/>
      <c r="D612" s="431"/>
      <c r="E612" s="431"/>
      <c r="G612" s="331" t="s">
        <v>483</v>
      </c>
      <c r="H612" s="432" t="str">
        <f>IF(D11&lt;&gt;"",D11,"")</f>
        <v/>
      </c>
    </row>
    <row r="613" spans="2:8" ht="14.45" customHeight="1" x14ac:dyDescent="0.25">
      <c r="B613" s="431"/>
      <c r="C613" s="431"/>
      <c r="D613" s="431"/>
      <c r="E613" s="431"/>
      <c r="G613" s="331"/>
      <c r="H613" s="331"/>
    </row>
    <row r="614" spans="2:8" ht="14.45" customHeight="1" x14ac:dyDescent="0.25">
      <c r="B614" s="431"/>
      <c r="C614" s="431"/>
      <c r="D614" s="431"/>
      <c r="E614" s="431"/>
      <c r="G614" s="331" t="s">
        <v>484</v>
      </c>
      <c r="H614" s="432" t="str">
        <f>+IF(D11&lt;&gt;"",EDATE(D11,3),"")</f>
        <v/>
      </c>
    </row>
    <row r="615" spans="2:8" ht="14.45" customHeight="1" x14ac:dyDescent="0.25">
      <c r="B615" s="431"/>
      <c r="C615" s="431"/>
      <c r="D615" s="431"/>
      <c r="E615" s="431"/>
      <c r="G615" s="331"/>
      <c r="H615" s="331"/>
    </row>
  </sheetData>
  <sheetProtection algorithmName="SHA-512" hashValue="sZHJRHfhNTm9/LN1eXycAKArWhTh7v+xxCF8irCSIgOlOLFF06aOo5RzGce3x7o4UmCidT+QURUhiSe0TLp06g==" saltValue="0Y0BUCKZjgSfTxtMOgdafA==" spinCount="100000" sheet="1" objects="1" scenarios="1" selectLockedCells="1" selectUnlockedCells="1"/>
  <mergeCells count="192">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A590:C590"/>
    <mergeCell ref="A591:C591"/>
    <mergeCell ref="A592:C592"/>
    <mergeCell ref="A593:C593"/>
    <mergeCell ref="A595:C595"/>
    <mergeCell ref="D595:E595"/>
    <mergeCell ref="A584:C584"/>
    <mergeCell ref="A585:C585"/>
    <mergeCell ref="A586:C586"/>
    <mergeCell ref="A587:C587"/>
    <mergeCell ref="A588:C588"/>
    <mergeCell ref="A589:C589"/>
    <mergeCell ref="B571:B572"/>
    <mergeCell ref="C571:D571"/>
    <mergeCell ref="C572:D572"/>
    <mergeCell ref="C573:D573"/>
    <mergeCell ref="B575:D575"/>
    <mergeCell ref="F575:G575"/>
    <mergeCell ref="C566:D566"/>
    <mergeCell ref="E566:F566"/>
    <mergeCell ref="C567:D567"/>
    <mergeCell ref="E567:F567"/>
    <mergeCell ref="C569:D569"/>
    <mergeCell ref="C570:D570"/>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03:C503"/>
    <mergeCell ref="B504:C504"/>
    <mergeCell ref="B505:C505"/>
    <mergeCell ref="B514:B515"/>
    <mergeCell ref="C514:C515"/>
    <mergeCell ref="D514:G514"/>
    <mergeCell ref="B474:D474"/>
    <mergeCell ref="F474:G474"/>
    <mergeCell ref="B499:C499"/>
    <mergeCell ref="B500:C500"/>
    <mergeCell ref="B501:C501"/>
    <mergeCell ref="B502:C502"/>
    <mergeCell ref="B470:B471"/>
    <mergeCell ref="C470:D470"/>
    <mergeCell ref="C471:D471"/>
    <mergeCell ref="C472:D472"/>
    <mergeCell ref="C473:D473"/>
    <mergeCell ref="E473:F473"/>
    <mergeCell ref="C465:D465"/>
    <mergeCell ref="E465:F465"/>
    <mergeCell ref="C466:D466"/>
    <mergeCell ref="E466:F466"/>
    <mergeCell ref="C468:D468"/>
    <mergeCell ref="C469:D469"/>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01:C401"/>
    <mergeCell ref="B402:C402"/>
    <mergeCell ref="B403:C403"/>
    <mergeCell ref="B412:B413"/>
    <mergeCell ref="C412:C413"/>
    <mergeCell ref="D412:G412"/>
    <mergeCell ref="B372:D372"/>
    <mergeCell ref="F372:G372"/>
    <mergeCell ref="B397:C397"/>
    <mergeCell ref="B398:C398"/>
    <mergeCell ref="B399:C399"/>
    <mergeCell ref="B400:C400"/>
    <mergeCell ref="C366:D366"/>
    <mergeCell ref="C367:D367"/>
    <mergeCell ref="B368:B369"/>
    <mergeCell ref="C368:D368"/>
    <mergeCell ref="C369:D369"/>
    <mergeCell ref="C370:D370"/>
    <mergeCell ref="C362:D362"/>
    <mergeCell ref="E362:F362"/>
    <mergeCell ref="C363:D363"/>
    <mergeCell ref="E363:F363"/>
    <mergeCell ref="C364:D364"/>
    <mergeCell ref="E364:F364"/>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B295:C295"/>
    <mergeCell ref="B296:C296"/>
    <mergeCell ref="B297:C297"/>
    <mergeCell ref="B298:C298"/>
    <mergeCell ref="B299:C299"/>
    <mergeCell ref="B300:C300"/>
    <mergeCell ref="B266:B267"/>
    <mergeCell ref="C266:D266"/>
    <mergeCell ref="C267:D267"/>
    <mergeCell ref="C268:D268"/>
    <mergeCell ref="B270:D270"/>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D211:G211"/>
    <mergeCell ref="C253:F253"/>
    <mergeCell ref="C254:D254"/>
    <mergeCell ref="E254:F254"/>
    <mergeCell ref="C255:D255"/>
    <mergeCell ref="E255:F255"/>
    <mergeCell ref="B198:C198"/>
    <mergeCell ref="B199:C199"/>
    <mergeCell ref="B200:C200"/>
    <mergeCell ref="B201:C201"/>
    <mergeCell ref="B211:B212"/>
    <mergeCell ref="C211:C212"/>
    <mergeCell ref="B195:C195"/>
    <mergeCell ref="B196:C196"/>
    <mergeCell ref="B197:C197"/>
    <mergeCell ref="B57:C57"/>
    <mergeCell ref="B58:C58"/>
    <mergeCell ref="B59:C59"/>
    <mergeCell ref="B60:C60"/>
    <mergeCell ref="B61:C61"/>
    <mergeCell ref="B62:C62"/>
    <mergeCell ref="B5:G5"/>
    <mergeCell ref="C8:D8"/>
    <mergeCell ref="E8:F8"/>
    <mergeCell ref="A30:I47"/>
    <mergeCell ref="B55:C55"/>
    <mergeCell ref="B56:C56"/>
    <mergeCell ref="B63:C63"/>
    <mergeCell ref="B116:H117"/>
    <mergeCell ref="B121:H135"/>
  </mergeCells>
  <conditionalFormatting sqref="E270 E372 E474 E575">
    <cfRule type="cellIs" dxfId="75" priority="9" operator="equal">
      <formula>"CONFORME"</formula>
    </cfRule>
  </conditionalFormatting>
  <conditionalFormatting sqref="D73:E75">
    <cfRule type="containsBlanks" dxfId="74" priority="10">
      <formula>LEN(TRIM(D73))=0</formula>
    </cfRule>
  </conditionalFormatting>
  <conditionalFormatting sqref="G108">
    <cfRule type="expression" dxfId="73" priority="8">
      <formula>$G$108&lt;$D$11</formula>
    </cfRule>
  </conditionalFormatting>
  <conditionalFormatting sqref="E255:F255 E357:F357 E459:F459 E560:F560">
    <cfRule type="cellIs" dxfId="72" priority="7" operator="equal">
      <formula>"NON"</formula>
    </cfRule>
  </conditionalFormatting>
  <conditionalFormatting sqref="E262:F262 E364:F364 E466:F466 E567:F567">
    <cfRule type="cellIs" dxfId="71" priority="6" operator="equal">
      <formula>"CONFORME"</formula>
    </cfRule>
  </conditionalFormatting>
  <conditionalFormatting sqref="D593:G593">
    <cfRule type="cellIs" dxfId="70" priority="5" operator="equal">
      <formula>"CONFORME"</formula>
    </cfRule>
  </conditionalFormatting>
  <conditionalFormatting sqref="E602">
    <cfRule type="cellIs" dxfId="69" priority="4" operator="equal">
      <formula>"CONFORME"</formula>
    </cfRule>
  </conditionalFormatting>
  <conditionalFormatting sqref="D600:G600">
    <cfRule type="cellIs" dxfId="68" priority="3" operator="equal">
      <formula>"NON"</formula>
    </cfRule>
  </conditionalFormatting>
  <conditionalFormatting sqref="B612:E615">
    <cfRule type="cellIs" dxfId="67" priority="2" operator="notEqual">
      <formula>""</formula>
    </cfRule>
  </conditionalFormatting>
  <conditionalFormatting sqref="D586:G586">
    <cfRule type="expression" dxfId="66" priority="11">
      <formula>D$586&gt;D$585+D$587</formula>
    </cfRule>
  </conditionalFormatting>
  <conditionalFormatting sqref="D588:G588">
    <cfRule type="cellIs" dxfId="65"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N du 13-10-2023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1"/>
  <sheetViews>
    <sheetView zoomScaleNormal="100" workbookViewId="0">
      <selection activeCell="M9" sqref="M9"/>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52" t="s">
        <v>11</v>
      </c>
      <c r="C2" s="453"/>
      <c r="D2" s="453"/>
      <c r="E2" s="453"/>
      <c r="F2" s="453"/>
      <c r="G2" s="453"/>
      <c r="H2" s="453"/>
      <c r="I2" s="453"/>
      <c r="J2" s="453"/>
      <c r="K2" s="453"/>
      <c r="L2" s="1"/>
      <c r="M2" s="1"/>
      <c r="N2" s="1"/>
      <c r="O2" s="1"/>
    </row>
    <row r="3" spans="1:16" ht="15" customHeight="1" x14ac:dyDescent="0.25">
      <c r="A3" s="1"/>
      <c r="B3" s="453"/>
      <c r="C3" s="453"/>
      <c r="D3" s="453"/>
      <c r="E3" s="453"/>
      <c r="F3" s="453"/>
      <c r="G3" s="453"/>
      <c r="H3" s="453"/>
      <c r="I3" s="453"/>
      <c r="J3" s="453"/>
      <c r="K3" s="453"/>
      <c r="L3" s="1"/>
      <c r="M3" s="1"/>
      <c r="N3" s="1"/>
      <c r="O3" s="1"/>
    </row>
    <row r="4" spans="1:16" ht="57" x14ac:dyDescent="0.25">
      <c r="A4" s="1"/>
      <c r="B4" s="2"/>
      <c r="C4" s="2"/>
      <c r="D4" s="2"/>
      <c r="E4" s="2"/>
      <c r="F4" s="2"/>
      <c r="G4" s="2"/>
      <c r="H4" s="2"/>
      <c r="I4" s="2"/>
      <c r="J4" s="2"/>
      <c r="K4" s="2"/>
      <c r="L4" s="1"/>
      <c r="M4" s="1"/>
      <c r="N4" s="1"/>
      <c r="O4" s="1"/>
    </row>
    <row r="5" spans="1:16" x14ac:dyDescent="0.25">
      <c r="A5" s="445" t="s">
        <v>0</v>
      </c>
      <c r="B5" s="445"/>
      <c r="C5" s="445"/>
      <c r="D5" s="163" t="s">
        <v>551</v>
      </c>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445" t="s">
        <v>1</v>
      </c>
      <c r="B7" s="445"/>
      <c r="C7" s="4" t="s">
        <v>551</v>
      </c>
      <c r="D7" s="1"/>
      <c r="E7" s="445" t="s">
        <v>18</v>
      </c>
      <c r="F7" s="445"/>
      <c r="G7" s="4" t="s">
        <v>551</v>
      </c>
      <c r="H7" s="1"/>
      <c r="I7" s="1"/>
      <c r="J7" s="1"/>
      <c r="K7" s="1"/>
      <c r="L7" s="1"/>
      <c r="M7" s="1"/>
      <c r="N7" s="1"/>
      <c r="O7" s="5"/>
    </row>
    <row r="8" spans="1:16" x14ac:dyDescent="0.25">
      <c r="A8" s="445" t="s">
        <v>2</v>
      </c>
      <c r="B8" s="445"/>
      <c r="C8" s="6" t="s">
        <v>551</v>
      </c>
      <c r="D8" s="1"/>
      <c r="E8" s="445" t="s">
        <v>19</v>
      </c>
      <c r="F8" s="445"/>
      <c r="G8" s="6" t="s">
        <v>551</v>
      </c>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441" t="s">
        <v>3</v>
      </c>
      <c r="B10" s="442"/>
      <c r="C10" s="7" t="s">
        <v>552</v>
      </c>
      <c r="D10" s="1"/>
      <c r="E10" s="441" t="s">
        <v>20</v>
      </c>
      <c r="F10" s="442"/>
      <c r="G10" s="8" t="s">
        <v>551</v>
      </c>
      <c r="H10" s="1"/>
      <c r="I10" s="1"/>
      <c r="J10" s="1"/>
      <c r="K10" s="1"/>
      <c r="L10" s="1"/>
      <c r="M10" s="1"/>
      <c r="N10" s="1"/>
      <c r="O10" s="1"/>
    </row>
    <row r="11" spans="1:16" x14ac:dyDescent="0.25">
      <c r="A11" s="441" t="s">
        <v>4</v>
      </c>
      <c r="B11" s="442"/>
      <c r="C11" s="8" t="s">
        <v>551</v>
      </c>
      <c r="D11" s="1"/>
      <c r="E11" s="445" t="s">
        <v>21</v>
      </c>
      <c r="F11" s="445"/>
      <c r="G11" s="160">
        <v>9</v>
      </c>
      <c r="H11" s="1"/>
      <c r="I11" s="1"/>
      <c r="J11" s="1"/>
      <c r="K11" s="1"/>
      <c r="L11" s="1"/>
      <c r="M11" s="1"/>
      <c r="N11" s="1"/>
      <c r="O11" s="1"/>
    </row>
    <row r="12" spans="1:16" x14ac:dyDescent="0.25">
      <c r="A12" s="1"/>
      <c r="B12" s="1"/>
      <c r="C12" s="1"/>
      <c r="D12" s="1"/>
      <c r="E12" s="445" t="s">
        <v>22</v>
      </c>
      <c r="F12" s="445"/>
      <c r="G12" s="10" t="s">
        <v>551</v>
      </c>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441" t="s">
        <v>5</v>
      </c>
      <c r="B14" s="442"/>
      <c r="C14" s="4" t="s">
        <v>551</v>
      </c>
      <c r="D14" s="1"/>
      <c r="E14" s="1"/>
      <c r="F14" s="1"/>
      <c r="G14" s="1"/>
      <c r="H14" s="1"/>
      <c r="I14" s="1"/>
      <c r="J14" s="1"/>
      <c r="K14" s="1"/>
      <c r="L14" s="1"/>
      <c r="M14" s="1"/>
      <c r="N14" s="1"/>
      <c r="O14" s="1"/>
    </row>
    <row r="15" spans="1:16" x14ac:dyDescent="0.25">
      <c r="A15" s="441" t="s">
        <v>6</v>
      </c>
      <c r="B15" s="442"/>
      <c r="C15" s="10" t="s">
        <v>554</v>
      </c>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v>60</v>
      </c>
      <c r="C19" s="1"/>
      <c r="D19" s="1"/>
      <c r="E19" s="1"/>
      <c r="F19" s="1"/>
      <c r="G19" s="1"/>
      <c r="H19" s="1"/>
      <c r="I19" s="1"/>
      <c r="J19" s="1"/>
      <c r="K19" s="1"/>
      <c r="L19" s="1"/>
      <c r="M19" s="1"/>
      <c r="N19" s="1"/>
      <c r="O19" s="1"/>
    </row>
    <row r="20" spans="1:15" x14ac:dyDescent="0.25">
      <c r="A20" s="3" t="s">
        <v>8</v>
      </c>
      <c r="B20" s="11">
        <v>8</v>
      </c>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v>1</v>
      </c>
      <c r="C23" s="11">
        <v>1</v>
      </c>
      <c r="D23" s="175">
        <v>0.1</v>
      </c>
      <c r="E23" s="175">
        <v>0.1</v>
      </c>
      <c r="F23" s="1"/>
      <c r="G23" s="1"/>
      <c r="H23" s="1"/>
      <c r="I23" s="1"/>
      <c r="J23" s="1"/>
      <c r="K23" s="1"/>
      <c r="L23" s="1"/>
      <c r="M23" s="1"/>
      <c r="N23" s="1"/>
      <c r="O23" s="1"/>
    </row>
    <row r="24" spans="1:15" x14ac:dyDescent="0.25">
      <c r="A24" s="19">
        <v>2</v>
      </c>
      <c r="B24" s="11">
        <v>2</v>
      </c>
      <c r="C24" s="11">
        <v>2</v>
      </c>
      <c r="D24" s="175">
        <v>0.1</v>
      </c>
      <c r="E24" s="175">
        <v>0.1</v>
      </c>
      <c r="F24" s="1"/>
      <c r="G24" s="1"/>
      <c r="H24" s="1"/>
      <c r="I24" s="1"/>
      <c r="J24" s="1"/>
      <c r="K24" s="1"/>
      <c r="L24" s="1"/>
      <c r="M24" s="1"/>
      <c r="N24" s="1"/>
      <c r="O24" s="1"/>
    </row>
    <row r="25" spans="1:15" x14ac:dyDescent="0.25">
      <c r="A25" s="15">
        <v>3</v>
      </c>
      <c r="B25" s="11">
        <v>3</v>
      </c>
      <c r="C25" s="11">
        <v>3</v>
      </c>
      <c r="D25" s="175">
        <v>0.1</v>
      </c>
      <c r="E25" s="175">
        <v>0.1</v>
      </c>
      <c r="F25" s="1"/>
      <c r="G25" s="1"/>
      <c r="H25" s="1"/>
      <c r="I25" s="1"/>
      <c r="J25" s="1"/>
      <c r="K25" s="1"/>
      <c r="L25" s="1"/>
      <c r="M25" s="1"/>
      <c r="N25" s="1"/>
      <c r="O25" s="1"/>
    </row>
    <row r="26" spans="1:15" x14ac:dyDescent="0.25">
      <c r="A26" s="19">
        <v>4</v>
      </c>
      <c r="B26" s="11">
        <v>4</v>
      </c>
      <c r="C26" s="11">
        <v>4</v>
      </c>
      <c r="D26" s="175">
        <v>0.1</v>
      </c>
      <c r="E26" s="175">
        <v>0.1</v>
      </c>
      <c r="F26" s="1"/>
      <c r="G26" s="1"/>
      <c r="H26" s="1"/>
      <c r="I26" s="1"/>
      <c r="J26" s="1"/>
      <c r="K26" s="1"/>
      <c r="L26" s="1"/>
      <c r="M26" s="1"/>
      <c r="N26" s="1"/>
      <c r="O26" s="1"/>
    </row>
    <row r="27" spans="1:15" x14ac:dyDescent="0.25">
      <c r="A27" s="15">
        <v>5</v>
      </c>
      <c r="B27" s="11">
        <v>5</v>
      </c>
      <c r="C27" s="11">
        <v>5</v>
      </c>
      <c r="D27" s="175">
        <v>0.1</v>
      </c>
      <c r="E27" s="175">
        <v>0.1</v>
      </c>
      <c r="F27" s="1"/>
      <c r="G27" s="1"/>
      <c r="H27" s="1"/>
      <c r="I27" s="1"/>
      <c r="J27" s="1"/>
      <c r="K27" s="1"/>
      <c r="L27" s="1"/>
      <c r="M27" s="1"/>
      <c r="N27" s="1"/>
      <c r="O27" s="1"/>
    </row>
    <row r="28" spans="1:15" x14ac:dyDescent="0.25">
      <c r="A28" s="19">
        <v>6</v>
      </c>
      <c r="B28" s="11">
        <v>6</v>
      </c>
      <c r="C28" s="11">
        <v>6</v>
      </c>
      <c r="D28" s="175">
        <v>0.1</v>
      </c>
      <c r="E28" s="175">
        <v>0.1</v>
      </c>
      <c r="F28" s="1"/>
      <c r="G28" s="1"/>
      <c r="H28" s="1"/>
      <c r="I28" s="1"/>
      <c r="J28" s="1"/>
      <c r="K28" s="1"/>
      <c r="L28" s="1"/>
      <c r="M28" s="1"/>
      <c r="N28" s="1"/>
      <c r="O28" s="1"/>
    </row>
    <row r="29" spans="1:15" x14ac:dyDescent="0.25">
      <c r="A29" s="15">
        <v>7</v>
      </c>
      <c r="B29" s="11">
        <v>7</v>
      </c>
      <c r="C29" s="11">
        <v>7</v>
      </c>
      <c r="D29" s="175">
        <v>0.1</v>
      </c>
      <c r="E29" s="175">
        <v>0.1</v>
      </c>
      <c r="F29" s="1"/>
      <c r="G29" s="1"/>
      <c r="H29" s="1"/>
      <c r="I29" s="1"/>
      <c r="J29" s="1"/>
      <c r="K29" s="1"/>
      <c r="L29" s="1"/>
      <c r="M29" s="1"/>
      <c r="N29" s="1"/>
      <c r="O29" s="1"/>
    </row>
    <row r="30" spans="1:15" x14ac:dyDescent="0.25">
      <c r="A30" s="19">
        <v>8</v>
      </c>
      <c r="B30" s="11">
        <v>8</v>
      </c>
      <c r="C30" s="11">
        <v>8</v>
      </c>
      <c r="D30" s="175">
        <v>0.1</v>
      </c>
      <c r="E30" s="175">
        <v>0.1</v>
      </c>
      <c r="F30" s="1"/>
      <c r="G30" s="1"/>
      <c r="H30" s="1"/>
      <c r="I30" s="1"/>
      <c r="J30" s="1"/>
      <c r="K30" s="1"/>
      <c r="L30" s="1"/>
      <c r="M30" s="1"/>
      <c r="N30" s="1"/>
      <c r="O30" s="1"/>
    </row>
    <row r="31" spans="1:15" x14ac:dyDescent="0.25">
      <c r="A31" s="15">
        <v>9</v>
      </c>
      <c r="B31" s="11">
        <v>9</v>
      </c>
      <c r="C31" s="11">
        <v>9</v>
      </c>
      <c r="D31" s="175">
        <v>0.1</v>
      </c>
      <c r="E31" s="175">
        <v>0.1</v>
      </c>
      <c r="F31" s="1"/>
      <c r="G31" s="1"/>
      <c r="H31" s="1"/>
      <c r="I31" s="1"/>
      <c r="J31" s="1"/>
      <c r="K31" s="1"/>
      <c r="L31" s="1"/>
      <c r="M31" s="1"/>
      <c r="N31" s="1"/>
      <c r="O31" s="1"/>
    </row>
    <row r="32" spans="1:15" x14ac:dyDescent="0.25">
      <c r="A32" s="19">
        <v>10</v>
      </c>
      <c r="B32" s="11">
        <v>10</v>
      </c>
      <c r="C32" s="11">
        <v>10</v>
      </c>
      <c r="D32" s="175">
        <v>0.1</v>
      </c>
      <c r="E32" s="175">
        <v>0.1</v>
      </c>
      <c r="F32" s="1"/>
      <c r="G32" s="1"/>
      <c r="H32" s="1"/>
      <c r="I32" s="1"/>
      <c r="J32" s="1"/>
      <c r="K32" s="1"/>
      <c r="L32" s="1"/>
      <c r="M32" s="1"/>
      <c r="N32" s="1"/>
      <c r="O32" s="1"/>
    </row>
    <row r="33" spans="1:16" x14ac:dyDescent="0.25">
      <c r="A33" s="1"/>
      <c r="B33" s="1"/>
      <c r="C33" s="1"/>
      <c r="D33" s="1"/>
      <c r="E33" s="1"/>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ht="26.25" x14ac:dyDescent="0.25">
      <c r="A38" s="1"/>
      <c r="B38" s="444" t="s">
        <v>13</v>
      </c>
      <c r="C38" s="444"/>
      <c r="D38" s="1"/>
      <c r="E38" s="1"/>
      <c r="F38" s="1"/>
      <c r="G38" s="1"/>
      <c r="H38" s="1"/>
      <c r="I38" s="1"/>
      <c r="J38" s="1"/>
      <c r="K38" s="1"/>
      <c r="L38" s="444" t="s">
        <v>30</v>
      </c>
      <c r="M38" s="444"/>
      <c r="N38" s="1"/>
      <c r="O38" s="1"/>
    </row>
    <row r="39" spans="1:16" x14ac:dyDescent="0.25">
      <c r="A39" s="1"/>
      <c r="B39" s="1"/>
      <c r="C39" s="1"/>
      <c r="D39" s="1"/>
      <c r="E39" s="1"/>
      <c r="F39" s="1"/>
      <c r="G39" s="1"/>
      <c r="H39" s="1"/>
      <c r="I39" s="1"/>
      <c r="J39" s="1"/>
      <c r="K39" s="1"/>
      <c r="L39" s="1"/>
      <c r="M39" s="1"/>
      <c r="N39" s="1"/>
      <c r="O39" s="1"/>
    </row>
    <row r="40" spans="1:16" x14ac:dyDescent="0.25">
      <c r="A40" s="445" t="s">
        <v>10</v>
      </c>
      <c r="B40" s="445"/>
      <c r="C40" s="446"/>
      <c r="D40" s="446"/>
      <c r="E40" s="446"/>
      <c r="F40" s="447"/>
      <c r="G40" s="1"/>
      <c r="H40" s="1"/>
      <c r="I40" s="1"/>
      <c r="J40" s="1"/>
      <c r="K40" s="441" t="s">
        <v>26</v>
      </c>
      <c r="L40" s="451"/>
      <c r="M40" s="451"/>
      <c r="N40" s="451"/>
      <c r="O40" s="451"/>
      <c r="P40" s="442"/>
    </row>
    <row r="41" spans="1:16" ht="45" x14ac:dyDescent="0.25">
      <c r="A41" s="445"/>
      <c r="B41" s="445"/>
      <c r="C41" s="3" t="s">
        <v>15</v>
      </c>
      <c r="D41" s="20" t="s">
        <v>17</v>
      </c>
      <c r="E41" s="20" t="s">
        <v>24</v>
      </c>
      <c r="F41" s="20" t="s">
        <v>25</v>
      </c>
      <c r="G41" s="1"/>
      <c r="H41" s="1"/>
      <c r="I41" s="1"/>
      <c r="J41" s="1"/>
      <c r="K41" s="448"/>
      <c r="L41" s="448"/>
      <c r="M41" s="178" t="s">
        <v>32</v>
      </c>
      <c r="N41" s="178" t="s">
        <v>34</v>
      </c>
      <c r="O41" s="178" t="s">
        <v>35</v>
      </c>
      <c r="P41" s="3" t="s">
        <v>15</v>
      </c>
    </row>
    <row r="42" spans="1:16" x14ac:dyDescent="0.25">
      <c r="A42" s="441" t="str">
        <f>CONCATENATE("Sonde ", B23)</f>
        <v>Sonde 1</v>
      </c>
      <c r="B42" s="442"/>
      <c r="C42" s="10" t="s">
        <v>551</v>
      </c>
      <c r="D42" s="10" t="s">
        <v>551</v>
      </c>
      <c r="E42" s="10" t="s">
        <v>551</v>
      </c>
      <c r="F42" s="10" t="s">
        <v>551</v>
      </c>
      <c r="G42" s="1"/>
      <c r="H42" s="1"/>
      <c r="I42" s="1"/>
      <c r="J42" s="1"/>
      <c r="K42" s="449" t="s">
        <v>27</v>
      </c>
      <c r="L42" s="450"/>
      <c r="M42" s="10" t="s">
        <v>551</v>
      </c>
      <c r="N42" s="10" t="s">
        <v>551</v>
      </c>
      <c r="O42" s="10" t="s">
        <v>551</v>
      </c>
      <c r="P42" s="10" t="s">
        <v>551</v>
      </c>
    </row>
    <row r="43" spans="1:16" x14ac:dyDescent="0.25">
      <c r="A43" s="441" t="str">
        <f t="shared" ref="A43:A51" si="0">"Sonde " &amp; B24</f>
        <v>Sonde 2</v>
      </c>
      <c r="B43" s="442"/>
      <c r="C43" s="10" t="s">
        <v>551</v>
      </c>
      <c r="D43" s="10" t="s">
        <v>551</v>
      </c>
      <c r="E43" s="10" t="s">
        <v>551</v>
      </c>
      <c r="F43" s="10" t="s">
        <v>551</v>
      </c>
      <c r="G43" s="1"/>
      <c r="H43" s="1"/>
      <c r="I43" s="1"/>
      <c r="J43" s="1"/>
      <c r="K43" s="1"/>
      <c r="L43" s="1"/>
      <c r="M43" s="1"/>
      <c r="N43" s="1"/>
      <c r="O43" s="1"/>
    </row>
    <row r="44" spans="1:16" x14ac:dyDescent="0.25">
      <c r="A44" s="441" t="str">
        <f t="shared" si="0"/>
        <v>Sonde 3</v>
      </c>
      <c r="B44" s="442"/>
      <c r="C44" s="10" t="s">
        <v>551</v>
      </c>
      <c r="D44" s="10" t="s">
        <v>551</v>
      </c>
      <c r="E44" s="10" t="s">
        <v>551</v>
      </c>
      <c r="F44" s="10" t="s">
        <v>551</v>
      </c>
      <c r="G44" s="1"/>
      <c r="H44" s="1"/>
      <c r="I44" s="1"/>
      <c r="J44" s="1"/>
      <c r="K44" s="1"/>
      <c r="L44" s="1"/>
      <c r="M44" s="1"/>
      <c r="N44" s="1"/>
      <c r="O44" s="1"/>
    </row>
    <row r="45" spans="1:16" x14ac:dyDescent="0.25">
      <c r="A45" s="441" t="str">
        <f t="shared" si="0"/>
        <v>Sonde 4</v>
      </c>
      <c r="B45" s="442"/>
      <c r="C45" s="10" t="s">
        <v>551</v>
      </c>
      <c r="D45" s="10" t="s">
        <v>551</v>
      </c>
      <c r="E45" s="10" t="s">
        <v>551</v>
      </c>
      <c r="F45" s="10" t="s">
        <v>551</v>
      </c>
      <c r="G45" s="1"/>
      <c r="H45" s="1"/>
      <c r="I45" s="1"/>
      <c r="J45" s="1"/>
      <c r="K45" s="1"/>
      <c r="L45" s="1"/>
      <c r="M45" s="1"/>
      <c r="N45" s="1"/>
      <c r="O45" s="1"/>
    </row>
    <row r="46" spans="1:16" ht="26.25" x14ac:dyDescent="0.25">
      <c r="A46" s="441" t="str">
        <f t="shared" si="0"/>
        <v>Sonde 5</v>
      </c>
      <c r="B46" s="442"/>
      <c r="C46" s="10" t="s">
        <v>551</v>
      </c>
      <c r="D46" s="10" t="s">
        <v>551</v>
      </c>
      <c r="E46" s="10" t="s">
        <v>551</v>
      </c>
      <c r="F46" s="10" t="s">
        <v>551</v>
      </c>
      <c r="G46" s="1"/>
      <c r="H46" s="1"/>
      <c r="I46" s="1"/>
      <c r="J46" s="1"/>
      <c r="K46" s="1"/>
      <c r="L46" s="444" t="s">
        <v>31</v>
      </c>
      <c r="M46" s="444"/>
      <c r="N46" s="1"/>
      <c r="O46" s="1"/>
    </row>
    <row r="47" spans="1:16" ht="45" x14ac:dyDescent="0.25">
      <c r="A47" s="441" t="str">
        <f t="shared" si="0"/>
        <v>Sonde 6</v>
      </c>
      <c r="B47" s="442"/>
      <c r="C47" s="10" t="s">
        <v>551</v>
      </c>
      <c r="D47" s="10" t="s">
        <v>551</v>
      </c>
      <c r="E47" s="10" t="s">
        <v>551</v>
      </c>
      <c r="F47" s="10" t="s">
        <v>551</v>
      </c>
      <c r="G47" s="1"/>
      <c r="H47" s="1"/>
      <c r="I47" s="1"/>
      <c r="J47" s="1"/>
      <c r="K47" s="1"/>
      <c r="L47" s="1"/>
      <c r="M47" s="21" t="s">
        <v>33</v>
      </c>
      <c r="N47" s="21" t="s">
        <v>15</v>
      </c>
      <c r="O47" s="21" t="s">
        <v>308</v>
      </c>
    </row>
    <row r="48" spans="1:16" x14ac:dyDescent="0.25">
      <c r="A48" s="441" t="str">
        <f t="shared" si="0"/>
        <v>Sonde 7</v>
      </c>
      <c r="B48" s="442"/>
      <c r="C48" s="10" t="s">
        <v>551</v>
      </c>
      <c r="D48" s="10" t="s">
        <v>551</v>
      </c>
      <c r="E48" s="10" t="s">
        <v>551</v>
      </c>
      <c r="F48" s="10" t="s">
        <v>551</v>
      </c>
      <c r="G48" s="1"/>
      <c r="H48" s="1"/>
      <c r="I48" s="1"/>
      <c r="J48" s="1"/>
      <c r="K48" s="443" t="s">
        <v>304</v>
      </c>
      <c r="L48" s="443"/>
      <c r="M48" s="10">
        <v>60</v>
      </c>
      <c r="N48" s="10" t="s">
        <v>555</v>
      </c>
      <c r="O48" s="10">
        <v>0.5</v>
      </c>
    </row>
    <row r="49" spans="1:15" x14ac:dyDescent="0.25">
      <c r="A49" s="441" t="str">
        <f t="shared" si="0"/>
        <v>Sonde 8</v>
      </c>
      <c r="B49" s="442"/>
      <c r="C49" s="10" t="s">
        <v>551</v>
      </c>
      <c r="D49" s="10" t="s">
        <v>551</v>
      </c>
      <c r="E49" s="10" t="s">
        <v>551</v>
      </c>
      <c r="F49" s="10" t="s">
        <v>551</v>
      </c>
      <c r="G49" s="1"/>
      <c r="H49" s="1"/>
      <c r="I49" s="1"/>
      <c r="J49" s="1"/>
    </row>
    <row r="50" spans="1:15" x14ac:dyDescent="0.25">
      <c r="A50" s="441" t="str">
        <f t="shared" si="0"/>
        <v>Sonde 9</v>
      </c>
      <c r="B50" s="442"/>
      <c r="C50" s="10" t="s">
        <v>551</v>
      </c>
      <c r="D50" s="10" t="s">
        <v>551</v>
      </c>
      <c r="E50" s="10" t="s">
        <v>551</v>
      </c>
      <c r="F50" s="10" t="s">
        <v>551</v>
      </c>
      <c r="G50" s="1"/>
      <c r="H50" s="1"/>
      <c r="I50" s="1"/>
      <c r="J50" s="1"/>
    </row>
    <row r="51" spans="1:15" x14ac:dyDescent="0.25">
      <c r="A51" s="441" t="str">
        <f t="shared" si="0"/>
        <v>Sonde 10</v>
      </c>
      <c r="B51" s="442"/>
      <c r="C51" s="10" t="s">
        <v>551</v>
      </c>
      <c r="D51" s="10" t="s">
        <v>551</v>
      </c>
      <c r="E51" s="10" t="s">
        <v>551</v>
      </c>
      <c r="F51" s="10" t="s">
        <v>551</v>
      </c>
      <c r="G51" s="1"/>
      <c r="H51" s="1"/>
      <c r="I51" s="1"/>
      <c r="J51" s="1"/>
      <c r="K51" s="1"/>
      <c r="L51" s="1"/>
      <c r="M51" s="1"/>
      <c r="N51" s="1"/>
      <c r="O51" s="1"/>
    </row>
  </sheetData>
  <sheetProtection algorithmName="SHA-512" hashValue="9KcfnkTE+VujjN1PNq+7/NXY6m8gHrmyH+SdHVZhHH+rODfXatKyNtCHKF+vXVoB9m6K0zRMi5jttmqT7kd0qA==" saltValue="wONpeCrGpMxJxcl2Hlrv6Q==" spinCount="100000" sheet="1" objects="1" scenarios="1"/>
  <protectedRanges>
    <protectedRange sqref="C10" name="Donnees controleur_8"/>
  </protectedRanges>
  <mergeCells count="32">
    <mergeCell ref="A14:B14"/>
    <mergeCell ref="B2:K3"/>
    <mergeCell ref="A5:C5"/>
    <mergeCell ref="A7:B7"/>
    <mergeCell ref="E7:F7"/>
    <mergeCell ref="A8:B8"/>
    <mergeCell ref="E8:F8"/>
    <mergeCell ref="A10:B10"/>
    <mergeCell ref="E10:F10"/>
    <mergeCell ref="A11:B11"/>
    <mergeCell ref="E11:F11"/>
    <mergeCell ref="E12:F12"/>
    <mergeCell ref="A46:B46"/>
    <mergeCell ref="L46:M46"/>
    <mergeCell ref="A15:B15"/>
    <mergeCell ref="B38:C38"/>
    <mergeCell ref="L38:M38"/>
    <mergeCell ref="A40:F40"/>
    <mergeCell ref="A41:B41"/>
    <mergeCell ref="K41:L41"/>
    <mergeCell ref="A42:B42"/>
    <mergeCell ref="K42:L42"/>
    <mergeCell ref="A43:B43"/>
    <mergeCell ref="A44:B44"/>
    <mergeCell ref="A45:B45"/>
    <mergeCell ref="K40:P40"/>
    <mergeCell ref="A51:B51"/>
    <mergeCell ref="A47:B47"/>
    <mergeCell ref="A48:B48"/>
    <mergeCell ref="K48:L48"/>
    <mergeCell ref="A49:B49"/>
    <mergeCell ref="A50:B50"/>
  </mergeCells>
  <conditionalFormatting sqref="A1:O39 A40:K40 P41:P42 A51:O51 A49:J50 A41:O48">
    <cfRule type="expression" dxfId="64" priority="1">
      <formula>AND(NOT(CELL("protege", A1)), A1="")</formula>
    </cfRule>
  </conditionalFormatting>
  <dataValidations count="3">
    <dataValidation type="list" allowBlank="1" showInputMessage="1" showErrorMessage="1" sqref="C10" xr:uid="{5A57B2CE-EC73-49F8-8E04-3E39BF674A2B}">
      <formula1>"BCH , LV"</formula1>
    </dataValidation>
    <dataValidation type="list" showInputMessage="1" showErrorMessage="1" sqref="D16:D17" xr:uid="{27D9CD64-D2FA-45FD-86BE-4765942660FF}">
      <formula1>$C$15:$C$17</formula1>
    </dataValidation>
    <dataValidation type="list" showErrorMessage="1" promptTitle="Périodicité" prompt="Veuillez choisir" sqref="C15"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4</xdr:row>
                    <xdr:rowOff>9525</xdr:rowOff>
                  </from>
                  <to>
                    <xdr:col>12</xdr:col>
                    <xdr:colOff>619125</xdr:colOff>
                    <xdr:row>9</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77"/>
  <sheetViews>
    <sheetView workbookViewId="0">
      <selection activeCell="B14" sqref="B1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v>45329.342361111114</v>
      </c>
      <c r="B2">
        <v>11.96</v>
      </c>
      <c r="C2">
        <v>11.84</v>
      </c>
      <c r="D2">
        <v>11.85</v>
      </c>
      <c r="E2">
        <v>11.84</v>
      </c>
      <c r="F2">
        <v>12.3</v>
      </c>
      <c r="G2">
        <v>12.34</v>
      </c>
      <c r="H2">
        <v>12.42</v>
      </c>
      <c r="I2">
        <v>12.71</v>
      </c>
      <c r="J2">
        <v>13.33</v>
      </c>
      <c r="K2">
        <v>12.66</v>
      </c>
    </row>
    <row r="3" spans="1:11" x14ac:dyDescent="0.25">
      <c r="A3" s="23">
        <v>45329.343055555553</v>
      </c>
      <c r="B3">
        <v>15.16</v>
      </c>
      <c r="C3">
        <v>14.2</v>
      </c>
      <c r="D3">
        <v>13.8</v>
      </c>
      <c r="E3">
        <v>14.06</v>
      </c>
      <c r="F3">
        <v>14.4</v>
      </c>
      <c r="G3">
        <v>15.87</v>
      </c>
      <c r="H3">
        <v>15.76</v>
      </c>
      <c r="I3">
        <v>14.12</v>
      </c>
      <c r="J3">
        <v>16.88</v>
      </c>
      <c r="K3">
        <v>13.86</v>
      </c>
    </row>
    <row r="4" spans="1:11" x14ac:dyDescent="0.25">
      <c r="A4" s="23">
        <v>45329.34375</v>
      </c>
      <c r="B4">
        <v>18.93</v>
      </c>
      <c r="C4">
        <v>17.46</v>
      </c>
      <c r="D4">
        <v>16.68</v>
      </c>
      <c r="E4">
        <v>17.010000000000002</v>
      </c>
      <c r="F4">
        <v>17.82</v>
      </c>
      <c r="G4">
        <v>19.829999999999998</v>
      </c>
      <c r="H4">
        <v>19.7</v>
      </c>
      <c r="I4">
        <v>17.170000000000002</v>
      </c>
      <c r="J4">
        <v>21.6</v>
      </c>
      <c r="K4">
        <v>16.79</v>
      </c>
    </row>
    <row r="5" spans="1:11" x14ac:dyDescent="0.25">
      <c r="A5" s="23">
        <v>45329.344444444447</v>
      </c>
      <c r="B5">
        <v>22.76</v>
      </c>
      <c r="C5">
        <v>20.43</v>
      </c>
      <c r="D5">
        <v>19.57</v>
      </c>
      <c r="E5">
        <v>20.16</v>
      </c>
      <c r="F5">
        <v>21.36</v>
      </c>
      <c r="G5">
        <v>23.76</v>
      </c>
      <c r="H5">
        <v>23.61</v>
      </c>
      <c r="I5">
        <v>20.22</v>
      </c>
      <c r="J5">
        <v>26.05</v>
      </c>
      <c r="K5">
        <v>20.010000000000002</v>
      </c>
    </row>
    <row r="6" spans="1:11" x14ac:dyDescent="0.25">
      <c r="A6" s="23">
        <v>45329.345138888886</v>
      </c>
      <c r="B6">
        <v>26.45</v>
      </c>
      <c r="C6">
        <v>23.26</v>
      </c>
      <c r="D6">
        <v>22.51</v>
      </c>
      <c r="E6">
        <v>23.17</v>
      </c>
      <c r="F6">
        <v>24.73</v>
      </c>
      <c r="G6">
        <v>27.54</v>
      </c>
      <c r="H6">
        <v>27.36</v>
      </c>
      <c r="I6">
        <v>23.18</v>
      </c>
      <c r="J6">
        <v>30.14</v>
      </c>
      <c r="K6">
        <v>23.13</v>
      </c>
    </row>
    <row r="7" spans="1:11" x14ac:dyDescent="0.25">
      <c r="A7" s="23">
        <v>45329.345833333333</v>
      </c>
      <c r="B7">
        <v>29.68</v>
      </c>
      <c r="C7">
        <v>26.69</v>
      </c>
      <c r="D7">
        <v>25.16</v>
      </c>
      <c r="E7">
        <v>26.04</v>
      </c>
      <c r="F7">
        <v>27.9</v>
      </c>
      <c r="G7">
        <v>31.03</v>
      </c>
      <c r="H7">
        <v>30.71</v>
      </c>
      <c r="I7">
        <v>26.49</v>
      </c>
      <c r="J7">
        <v>33.99</v>
      </c>
      <c r="K7">
        <v>25.94</v>
      </c>
    </row>
    <row r="8" spans="1:11" x14ac:dyDescent="0.25">
      <c r="A8" s="23">
        <v>45329.34652777778</v>
      </c>
      <c r="B8">
        <v>33.04</v>
      </c>
      <c r="C8">
        <v>30.18</v>
      </c>
      <c r="D8">
        <v>27.96</v>
      </c>
      <c r="E8">
        <v>28.86</v>
      </c>
      <c r="F8">
        <v>31</v>
      </c>
      <c r="G8">
        <v>34.340000000000003</v>
      </c>
      <c r="H8">
        <v>33.92</v>
      </c>
      <c r="I8">
        <v>29.38</v>
      </c>
      <c r="J8">
        <v>37.44</v>
      </c>
      <c r="K8">
        <v>29.11</v>
      </c>
    </row>
    <row r="9" spans="1:11" x14ac:dyDescent="0.25">
      <c r="A9" s="23">
        <v>45329.347222222219</v>
      </c>
      <c r="B9">
        <v>35.840000000000003</v>
      </c>
      <c r="C9">
        <v>33.020000000000003</v>
      </c>
      <c r="D9">
        <v>30.35</v>
      </c>
      <c r="E9">
        <v>31.39</v>
      </c>
      <c r="F9">
        <v>33.78</v>
      </c>
      <c r="G9">
        <v>37.31</v>
      </c>
      <c r="H9">
        <v>36.74</v>
      </c>
      <c r="I9">
        <v>31.97</v>
      </c>
      <c r="J9">
        <v>40.65</v>
      </c>
      <c r="K9">
        <v>31.62</v>
      </c>
    </row>
    <row r="10" spans="1:11" x14ac:dyDescent="0.25">
      <c r="A10" s="23">
        <v>45329.347916666666</v>
      </c>
      <c r="B10">
        <v>38.520000000000003</v>
      </c>
      <c r="C10">
        <v>34.89</v>
      </c>
      <c r="D10">
        <v>32.82</v>
      </c>
      <c r="E10">
        <v>34.03</v>
      </c>
      <c r="F10">
        <v>36.450000000000003</v>
      </c>
      <c r="G10">
        <v>40.020000000000003</v>
      </c>
      <c r="H10">
        <v>39.46</v>
      </c>
      <c r="I10">
        <v>34.159999999999997</v>
      </c>
      <c r="J10">
        <v>43.42</v>
      </c>
      <c r="K10">
        <v>33.85</v>
      </c>
    </row>
    <row r="11" spans="1:11" x14ac:dyDescent="0.25">
      <c r="A11" s="23">
        <v>45329.348611111112</v>
      </c>
      <c r="B11">
        <v>41.21</v>
      </c>
      <c r="C11">
        <v>37.909999999999997</v>
      </c>
      <c r="D11">
        <v>34.86</v>
      </c>
      <c r="E11">
        <v>36.04</v>
      </c>
      <c r="F11">
        <v>38.85</v>
      </c>
      <c r="G11">
        <v>42.63</v>
      </c>
      <c r="H11">
        <v>41.93</v>
      </c>
      <c r="I11">
        <v>36.89</v>
      </c>
      <c r="J11">
        <v>45.98</v>
      </c>
      <c r="K11">
        <v>36.229999999999997</v>
      </c>
    </row>
    <row r="12" spans="1:11" x14ac:dyDescent="0.25">
      <c r="A12" s="23">
        <v>45329.349305555559</v>
      </c>
      <c r="B12">
        <v>43.32</v>
      </c>
      <c r="C12">
        <v>39.11</v>
      </c>
      <c r="D12">
        <v>37.35</v>
      </c>
      <c r="E12">
        <v>38.26</v>
      </c>
      <c r="F12">
        <v>41.06</v>
      </c>
      <c r="G12">
        <v>44.82</v>
      </c>
      <c r="H12">
        <v>44.09</v>
      </c>
      <c r="I12">
        <v>38.97</v>
      </c>
      <c r="J12">
        <v>48.24</v>
      </c>
      <c r="K12">
        <v>38.54</v>
      </c>
    </row>
    <row r="13" spans="1:11" x14ac:dyDescent="0.25">
      <c r="A13" s="23">
        <v>45329.35</v>
      </c>
      <c r="B13">
        <v>45.5</v>
      </c>
      <c r="C13">
        <v>42.91</v>
      </c>
      <c r="D13">
        <v>39.15</v>
      </c>
      <c r="E13">
        <v>40.22</v>
      </c>
      <c r="F13">
        <v>43.2</v>
      </c>
      <c r="G13">
        <v>47.04</v>
      </c>
      <c r="H13">
        <v>46.15</v>
      </c>
      <c r="I13">
        <v>41.23</v>
      </c>
      <c r="J13">
        <v>50.68</v>
      </c>
      <c r="K13">
        <v>39.94</v>
      </c>
    </row>
    <row r="14" spans="1:11" x14ac:dyDescent="0.25">
      <c r="A14" s="23">
        <v>45329.350694444445</v>
      </c>
      <c r="B14">
        <v>47.41</v>
      </c>
      <c r="C14">
        <v>43.4</v>
      </c>
      <c r="D14">
        <v>41.11</v>
      </c>
      <c r="E14">
        <v>42.07</v>
      </c>
      <c r="F14">
        <v>44.99</v>
      </c>
      <c r="G14">
        <v>48.93</v>
      </c>
      <c r="H14">
        <v>48.19</v>
      </c>
      <c r="I14">
        <v>43.05</v>
      </c>
      <c r="J14">
        <v>52.35</v>
      </c>
      <c r="K14">
        <v>42.05</v>
      </c>
    </row>
    <row r="15" spans="1:11" x14ac:dyDescent="0.25">
      <c r="A15" s="23">
        <v>45329.351388888892</v>
      </c>
      <c r="B15">
        <v>49.31</v>
      </c>
      <c r="C15">
        <v>45.98</v>
      </c>
      <c r="D15">
        <v>42.64</v>
      </c>
      <c r="E15">
        <v>43.39</v>
      </c>
      <c r="F15">
        <v>46.71</v>
      </c>
      <c r="G15">
        <v>50.71</v>
      </c>
      <c r="H15">
        <v>49.91</v>
      </c>
      <c r="I15">
        <v>44.67</v>
      </c>
      <c r="J15">
        <v>54.32</v>
      </c>
      <c r="K15">
        <v>43.96</v>
      </c>
    </row>
    <row r="16" spans="1:11" x14ac:dyDescent="0.25">
      <c r="A16" s="23">
        <v>45329.352083333331</v>
      </c>
      <c r="B16">
        <v>50.94</v>
      </c>
      <c r="C16">
        <v>46.8</v>
      </c>
      <c r="D16">
        <v>44.3</v>
      </c>
      <c r="E16">
        <v>44.97</v>
      </c>
      <c r="F16">
        <v>48.39</v>
      </c>
      <c r="G16">
        <v>52.4</v>
      </c>
      <c r="H16">
        <v>51.64</v>
      </c>
      <c r="I16">
        <v>45.9</v>
      </c>
      <c r="J16">
        <v>56.17</v>
      </c>
      <c r="K16">
        <v>45.36</v>
      </c>
    </row>
    <row r="17" spans="1:11" x14ac:dyDescent="0.25">
      <c r="A17" s="23">
        <v>45329.352777777778</v>
      </c>
      <c r="B17">
        <v>52.48</v>
      </c>
      <c r="C17">
        <v>48.31</v>
      </c>
      <c r="D17">
        <v>45.8</v>
      </c>
      <c r="E17">
        <v>46.8</v>
      </c>
      <c r="F17">
        <v>50.01</v>
      </c>
      <c r="G17">
        <v>54</v>
      </c>
      <c r="H17">
        <v>53.35</v>
      </c>
      <c r="I17">
        <v>48.16</v>
      </c>
      <c r="J17">
        <v>57.86</v>
      </c>
      <c r="K17">
        <v>46.45</v>
      </c>
    </row>
    <row r="18" spans="1:11" x14ac:dyDescent="0.25">
      <c r="A18" s="23">
        <v>45329.353472222225</v>
      </c>
      <c r="B18">
        <v>53.9</v>
      </c>
      <c r="C18">
        <v>50.02</v>
      </c>
      <c r="D18">
        <v>47.06</v>
      </c>
      <c r="E18">
        <v>48.08</v>
      </c>
      <c r="F18">
        <v>51.46</v>
      </c>
      <c r="G18">
        <v>55.44</v>
      </c>
      <c r="H18">
        <v>54.57</v>
      </c>
      <c r="I18">
        <v>49</v>
      </c>
      <c r="J18">
        <v>59.4</v>
      </c>
      <c r="K18">
        <v>48.39</v>
      </c>
    </row>
    <row r="19" spans="1:11" x14ac:dyDescent="0.25">
      <c r="A19" s="23">
        <v>45329.354166666664</v>
      </c>
      <c r="B19">
        <v>55.39</v>
      </c>
      <c r="C19">
        <v>51.53</v>
      </c>
      <c r="D19">
        <v>48.36</v>
      </c>
      <c r="E19">
        <v>49.58</v>
      </c>
      <c r="F19">
        <v>52.98</v>
      </c>
      <c r="G19">
        <v>56.84</v>
      </c>
      <c r="H19">
        <v>56.04</v>
      </c>
      <c r="I19">
        <v>50.95</v>
      </c>
      <c r="J19">
        <v>60.49</v>
      </c>
      <c r="K19">
        <v>50.3</v>
      </c>
    </row>
    <row r="20" spans="1:11" x14ac:dyDescent="0.25">
      <c r="A20" s="23">
        <v>45329.354861111111</v>
      </c>
      <c r="B20">
        <v>56.76</v>
      </c>
      <c r="C20">
        <v>53.27</v>
      </c>
      <c r="D20">
        <v>49.77</v>
      </c>
      <c r="E20">
        <v>51.01</v>
      </c>
      <c r="F20">
        <v>54.37</v>
      </c>
      <c r="G20">
        <v>58.32</v>
      </c>
      <c r="H20">
        <v>57.4</v>
      </c>
      <c r="I20">
        <v>52.08</v>
      </c>
      <c r="J20">
        <v>61.82</v>
      </c>
      <c r="K20">
        <v>51.31</v>
      </c>
    </row>
    <row r="21" spans="1:11" x14ac:dyDescent="0.25">
      <c r="A21" s="23">
        <v>45329.355555555558</v>
      </c>
      <c r="B21">
        <v>57.91</v>
      </c>
      <c r="C21">
        <v>54.25</v>
      </c>
      <c r="D21">
        <v>51.17</v>
      </c>
      <c r="E21">
        <v>52.51</v>
      </c>
      <c r="F21">
        <v>55.58</v>
      </c>
      <c r="G21">
        <v>59.44</v>
      </c>
      <c r="H21">
        <v>58.64</v>
      </c>
      <c r="I21">
        <v>53.49</v>
      </c>
      <c r="J21">
        <v>63.04</v>
      </c>
      <c r="K21">
        <v>52.45</v>
      </c>
    </row>
    <row r="22" spans="1:11" x14ac:dyDescent="0.25">
      <c r="A22" s="23">
        <v>45329.356249999997</v>
      </c>
      <c r="B22">
        <v>59.14</v>
      </c>
      <c r="C22">
        <v>55.26</v>
      </c>
      <c r="D22">
        <v>52.03</v>
      </c>
      <c r="E22">
        <v>53.26</v>
      </c>
      <c r="F22">
        <v>56.62</v>
      </c>
      <c r="G22">
        <v>60.55</v>
      </c>
      <c r="H22">
        <v>59.91</v>
      </c>
      <c r="I22">
        <v>54.43</v>
      </c>
      <c r="J22">
        <v>64.11</v>
      </c>
      <c r="K22">
        <v>53.85</v>
      </c>
    </row>
    <row r="23" spans="1:11" x14ac:dyDescent="0.25">
      <c r="A23" s="23">
        <v>45329.356944444444</v>
      </c>
      <c r="B23">
        <v>58.43</v>
      </c>
      <c r="C23">
        <v>54.83</v>
      </c>
      <c r="D23">
        <v>52.26</v>
      </c>
      <c r="E23">
        <v>53.49</v>
      </c>
      <c r="F23">
        <v>56.62</v>
      </c>
      <c r="G23">
        <v>59.45</v>
      </c>
      <c r="H23">
        <v>58.73</v>
      </c>
      <c r="I23">
        <v>54.73</v>
      </c>
      <c r="J23">
        <v>62.12</v>
      </c>
      <c r="K23">
        <v>54.03</v>
      </c>
    </row>
    <row r="24" spans="1:11" x14ac:dyDescent="0.25">
      <c r="A24" s="23">
        <v>45329.357638888891</v>
      </c>
      <c r="B24">
        <v>57.49</v>
      </c>
      <c r="C24">
        <v>54.53</v>
      </c>
      <c r="D24">
        <v>51.57</v>
      </c>
      <c r="E24">
        <v>52.78</v>
      </c>
      <c r="F24">
        <v>55.74</v>
      </c>
      <c r="G24">
        <v>58.62</v>
      </c>
      <c r="H24">
        <v>57.94</v>
      </c>
      <c r="I24">
        <v>53.93</v>
      </c>
      <c r="J24">
        <v>61.34</v>
      </c>
      <c r="K24">
        <v>53.22</v>
      </c>
    </row>
    <row r="25" spans="1:11" x14ac:dyDescent="0.25">
      <c r="A25" s="23">
        <v>45329.35833333333</v>
      </c>
      <c r="B25">
        <v>58.34</v>
      </c>
      <c r="C25">
        <v>55.27</v>
      </c>
      <c r="D25">
        <v>52.37</v>
      </c>
      <c r="E25">
        <v>53.58</v>
      </c>
      <c r="F25">
        <v>56.33</v>
      </c>
      <c r="G25">
        <v>59.66</v>
      </c>
      <c r="H25">
        <v>59.08</v>
      </c>
      <c r="I25">
        <v>54.74</v>
      </c>
      <c r="J25">
        <v>62.7</v>
      </c>
      <c r="K25">
        <v>53.34</v>
      </c>
    </row>
    <row r="26" spans="1:11" x14ac:dyDescent="0.25">
      <c r="A26" s="23">
        <v>45329.359027777777</v>
      </c>
      <c r="B26">
        <v>59.57</v>
      </c>
      <c r="C26">
        <v>56.1</v>
      </c>
      <c r="D26">
        <v>53.57</v>
      </c>
      <c r="E26">
        <v>54.59</v>
      </c>
      <c r="F26">
        <v>57.53</v>
      </c>
      <c r="G26">
        <v>60.83</v>
      </c>
      <c r="H26">
        <v>60.21</v>
      </c>
      <c r="I26">
        <v>55.29</v>
      </c>
      <c r="J26">
        <v>64.05</v>
      </c>
      <c r="K26">
        <v>54.74</v>
      </c>
    </row>
    <row r="27" spans="1:11" x14ac:dyDescent="0.25">
      <c r="A27" s="23">
        <v>45329.359722222223</v>
      </c>
      <c r="B27">
        <v>59.52</v>
      </c>
      <c r="C27">
        <v>56.12</v>
      </c>
      <c r="D27">
        <v>53.66</v>
      </c>
      <c r="E27">
        <v>54.99</v>
      </c>
      <c r="F27">
        <v>57.92</v>
      </c>
      <c r="G27">
        <v>60.5</v>
      </c>
      <c r="H27">
        <v>59.84</v>
      </c>
      <c r="I27">
        <v>56.42</v>
      </c>
      <c r="J27">
        <v>63.1</v>
      </c>
      <c r="K27">
        <v>55.36</v>
      </c>
    </row>
    <row r="28" spans="1:11" x14ac:dyDescent="0.25">
      <c r="A28" s="23">
        <v>45329.36041666667</v>
      </c>
      <c r="B28">
        <v>58.1</v>
      </c>
      <c r="C28">
        <v>54.95</v>
      </c>
      <c r="D28">
        <v>52.94</v>
      </c>
      <c r="E28">
        <v>54.21</v>
      </c>
      <c r="F28">
        <v>56.62</v>
      </c>
      <c r="G28">
        <v>59</v>
      </c>
      <c r="H28">
        <v>58.44</v>
      </c>
      <c r="I28">
        <v>55.21</v>
      </c>
      <c r="J28">
        <v>61.42</v>
      </c>
      <c r="K28">
        <v>54.46</v>
      </c>
    </row>
    <row r="29" spans="1:11" x14ac:dyDescent="0.25">
      <c r="A29" s="23">
        <v>45329.361111111109</v>
      </c>
      <c r="B29">
        <v>58.67</v>
      </c>
      <c r="C29">
        <v>54.38</v>
      </c>
      <c r="D29">
        <v>53.09</v>
      </c>
      <c r="E29">
        <v>54.71</v>
      </c>
      <c r="F29">
        <v>56.99</v>
      </c>
      <c r="G29">
        <v>59.83</v>
      </c>
      <c r="H29">
        <v>59.21</v>
      </c>
      <c r="I29">
        <v>55.31</v>
      </c>
      <c r="J29">
        <v>62.58</v>
      </c>
      <c r="K29">
        <v>54.59</v>
      </c>
    </row>
    <row r="30" spans="1:11" x14ac:dyDescent="0.25">
      <c r="A30" s="23">
        <v>45329.361805555556</v>
      </c>
      <c r="B30">
        <v>59.89</v>
      </c>
      <c r="C30">
        <v>57.4</v>
      </c>
      <c r="D30">
        <v>54.27</v>
      </c>
      <c r="E30">
        <v>55.65</v>
      </c>
      <c r="F30">
        <v>57.97</v>
      </c>
      <c r="G30">
        <v>61.19</v>
      </c>
      <c r="H30">
        <v>60.51</v>
      </c>
      <c r="I30">
        <v>55.99</v>
      </c>
      <c r="J30">
        <v>64.28</v>
      </c>
      <c r="K30">
        <v>55.68</v>
      </c>
    </row>
    <row r="31" spans="1:11" x14ac:dyDescent="0.25">
      <c r="A31" s="23">
        <v>45329.362500000003</v>
      </c>
      <c r="B31">
        <v>60.03</v>
      </c>
      <c r="C31">
        <v>56.88</v>
      </c>
      <c r="D31">
        <v>54.64</v>
      </c>
      <c r="E31">
        <v>55.79</v>
      </c>
      <c r="F31">
        <v>58.56</v>
      </c>
      <c r="G31">
        <v>60.88</v>
      </c>
      <c r="H31">
        <v>60.44</v>
      </c>
      <c r="I31">
        <v>56.98</v>
      </c>
      <c r="J31">
        <v>63.33</v>
      </c>
      <c r="K31">
        <v>56.09</v>
      </c>
    </row>
    <row r="32" spans="1:11" x14ac:dyDescent="0.25">
      <c r="A32" s="23">
        <v>45329.363194444442</v>
      </c>
      <c r="B32">
        <v>58.35</v>
      </c>
      <c r="C32">
        <v>55.71</v>
      </c>
      <c r="D32">
        <v>53.59</v>
      </c>
      <c r="E32">
        <v>54.86</v>
      </c>
      <c r="F32">
        <v>57.24</v>
      </c>
      <c r="G32">
        <v>59.23</v>
      </c>
      <c r="H32">
        <v>58.65</v>
      </c>
      <c r="I32">
        <v>55.74</v>
      </c>
      <c r="J32">
        <v>61.24</v>
      </c>
      <c r="K32">
        <v>55.3</v>
      </c>
    </row>
    <row r="33" spans="1:11" x14ac:dyDescent="0.25">
      <c r="A33" s="23">
        <v>45329.363888888889</v>
      </c>
      <c r="B33">
        <v>58.73</v>
      </c>
      <c r="C33">
        <v>55.99</v>
      </c>
      <c r="D33">
        <v>53.56</v>
      </c>
      <c r="E33">
        <v>55.26</v>
      </c>
      <c r="F33">
        <v>57.32</v>
      </c>
      <c r="G33">
        <v>59.79</v>
      </c>
      <c r="H33">
        <v>59.29</v>
      </c>
      <c r="I33">
        <v>56.15</v>
      </c>
      <c r="J33">
        <v>62.38</v>
      </c>
      <c r="K33">
        <v>55.28</v>
      </c>
    </row>
    <row r="34" spans="1:11" x14ac:dyDescent="0.25">
      <c r="A34" s="23">
        <v>45329.364583333336</v>
      </c>
      <c r="B34">
        <v>60.12</v>
      </c>
      <c r="C34">
        <v>56.88</v>
      </c>
      <c r="D34">
        <v>54.68</v>
      </c>
      <c r="E34">
        <v>55.96</v>
      </c>
      <c r="F34">
        <v>58.47</v>
      </c>
      <c r="G34">
        <v>61.24</v>
      </c>
      <c r="H34">
        <v>60.9</v>
      </c>
      <c r="I34">
        <v>56.54</v>
      </c>
      <c r="J34">
        <v>64.16</v>
      </c>
      <c r="K34">
        <v>56.11</v>
      </c>
    </row>
    <row r="35" spans="1:11" x14ac:dyDescent="0.25">
      <c r="A35" s="23">
        <v>45329.365277777775</v>
      </c>
      <c r="B35">
        <v>60.3</v>
      </c>
      <c r="C35">
        <v>57.22</v>
      </c>
      <c r="D35">
        <v>55.27</v>
      </c>
      <c r="E35">
        <v>56.61</v>
      </c>
      <c r="F35">
        <v>59.03</v>
      </c>
      <c r="G35">
        <v>61.23</v>
      </c>
      <c r="H35">
        <v>60.71</v>
      </c>
      <c r="I35">
        <v>57.23</v>
      </c>
      <c r="J35">
        <v>63.51</v>
      </c>
      <c r="K35">
        <v>56.82</v>
      </c>
    </row>
    <row r="36" spans="1:11" x14ac:dyDescent="0.25">
      <c r="A36" s="23">
        <v>45329.365972222222</v>
      </c>
      <c r="B36">
        <v>58.68</v>
      </c>
      <c r="C36">
        <v>55.79</v>
      </c>
      <c r="D36">
        <v>54.16</v>
      </c>
      <c r="E36">
        <v>55.4</v>
      </c>
      <c r="F36">
        <v>57.54</v>
      </c>
      <c r="G36">
        <v>59.42</v>
      </c>
      <c r="H36">
        <v>58.95</v>
      </c>
      <c r="I36">
        <v>56.33</v>
      </c>
      <c r="J36">
        <v>61.3</v>
      </c>
      <c r="K36">
        <v>55.72</v>
      </c>
    </row>
    <row r="37" spans="1:11" x14ac:dyDescent="0.25">
      <c r="A37" s="23">
        <v>45329.366666666669</v>
      </c>
      <c r="B37">
        <v>59</v>
      </c>
      <c r="C37">
        <v>56.16</v>
      </c>
      <c r="D37">
        <v>54.16</v>
      </c>
      <c r="E37">
        <v>55.51</v>
      </c>
      <c r="F37">
        <v>57.48</v>
      </c>
      <c r="G37">
        <v>60.02</v>
      </c>
      <c r="H37">
        <v>59.53</v>
      </c>
      <c r="I37">
        <v>56.07</v>
      </c>
      <c r="J37">
        <v>62.46</v>
      </c>
      <c r="K37">
        <v>55.27</v>
      </c>
    </row>
    <row r="38" spans="1:11" x14ac:dyDescent="0.25">
      <c r="A38" s="23">
        <v>45329.367361111108</v>
      </c>
      <c r="B38">
        <v>60.34</v>
      </c>
      <c r="C38">
        <v>57.36</v>
      </c>
      <c r="D38">
        <v>55.01</v>
      </c>
      <c r="E38">
        <v>56.43</v>
      </c>
      <c r="F38">
        <v>58.79</v>
      </c>
      <c r="G38">
        <v>61.46</v>
      </c>
      <c r="H38">
        <v>61.04</v>
      </c>
      <c r="I38">
        <v>57.06</v>
      </c>
      <c r="J38">
        <v>64.27</v>
      </c>
      <c r="K38">
        <v>56.48</v>
      </c>
    </row>
    <row r="39" spans="1:11" x14ac:dyDescent="0.25">
      <c r="A39" s="23">
        <v>45329.368055555555</v>
      </c>
      <c r="B39">
        <v>60.31</v>
      </c>
      <c r="C39">
        <v>58.16</v>
      </c>
      <c r="D39">
        <v>55.58</v>
      </c>
      <c r="E39">
        <v>56.86</v>
      </c>
      <c r="F39">
        <v>59.21</v>
      </c>
      <c r="G39">
        <v>61.15</v>
      </c>
      <c r="H39">
        <v>60.67</v>
      </c>
      <c r="I39">
        <v>57.64</v>
      </c>
      <c r="J39">
        <v>63.3</v>
      </c>
      <c r="K39">
        <v>56.97</v>
      </c>
    </row>
    <row r="40" spans="1:11" x14ac:dyDescent="0.25">
      <c r="A40" s="23">
        <v>45329.368750000001</v>
      </c>
      <c r="B40">
        <v>58.81</v>
      </c>
      <c r="C40">
        <v>56.34</v>
      </c>
      <c r="D40">
        <v>54.29</v>
      </c>
      <c r="E40">
        <v>55.76</v>
      </c>
      <c r="F40">
        <v>57.74</v>
      </c>
      <c r="G40">
        <v>59.53</v>
      </c>
      <c r="H40">
        <v>59.12</v>
      </c>
      <c r="I40">
        <v>56.24</v>
      </c>
      <c r="J40">
        <v>61.4</v>
      </c>
      <c r="K40">
        <v>55.85</v>
      </c>
    </row>
    <row r="41" spans="1:11" x14ac:dyDescent="0.25">
      <c r="A41" s="23">
        <v>45329.369444444441</v>
      </c>
      <c r="B41">
        <v>59.31</v>
      </c>
      <c r="C41">
        <v>56.52</v>
      </c>
      <c r="D41">
        <v>54.64</v>
      </c>
      <c r="E41">
        <v>55.94</v>
      </c>
      <c r="F41">
        <v>57.92</v>
      </c>
      <c r="G41">
        <v>60.31</v>
      </c>
      <c r="H41">
        <v>59.86</v>
      </c>
      <c r="I41">
        <v>56.29</v>
      </c>
      <c r="J41">
        <v>62.73</v>
      </c>
      <c r="K41">
        <v>55.92</v>
      </c>
    </row>
    <row r="42" spans="1:11" x14ac:dyDescent="0.25">
      <c r="A42" s="23">
        <v>45329.370138888888</v>
      </c>
      <c r="B42">
        <v>60.7</v>
      </c>
      <c r="C42">
        <v>58.17</v>
      </c>
      <c r="D42">
        <v>55.74</v>
      </c>
      <c r="E42">
        <v>56.97</v>
      </c>
      <c r="F42">
        <v>59.13</v>
      </c>
      <c r="G42">
        <v>61.85</v>
      </c>
      <c r="H42">
        <v>61.37</v>
      </c>
      <c r="I42">
        <v>57.55</v>
      </c>
      <c r="J42">
        <v>64.58</v>
      </c>
      <c r="K42">
        <v>57.09</v>
      </c>
    </row>
    <row r="43" spans="1:11" x14ac:dyDescent="0.25">
      <c r="A43" s="23">
        <v>45329.370833333334</v>
      </c>
      <c r="B43">
        <v>60.35</v>
      </c>
      <c r="C43">
        <v>57.75</v>
      </c>
      <c r="D43">
        <v>55.75</v>
      </c>
      <c r="E43">
        <v>57.17</v>
      </c>
      <c r="F43">
        <v>59.33</v>
      </c>
      <c r="G43">
        <v>61.1</v>
      </c>
      <c r="H43">
        <v>60.74</v>
      </c>
      <c r="I43">
        <v>57.96</v>
      </c>
      <c r="J43">
        <v>63.11</v>
      </c>
      <c r="K43">
        <v>57.18</v>
      </c>
    </row>
    <row r="44" spans="1:11" x14ac:dyDescent="0.25">
      <c r="A44" s="23">
        <v>45329.371527777781</v>
      </c>
      <c r="B44">
        <v>58.78</v>
      </c>
      <c r="C44">
        <v>56.19</v>
      </c>
      <c r="D44">
        <v>54.68</v>
      </c>
      <c r="E44">
        <v>56.25</v>
      </c>
      <c r="F44">
        <v>57.87</v>
      </c>
      <c r="G44">
        <v>59.53</v>
      </c>
      <c r="H44">
        <v>59.05</v>
      </c>
      <c r="I44">
        <v>56.6</v>
      </c>
      <c r="J44">
        <v>61.3</v>
      </c>
      <c r="K44">
        <v>56.34</v>
      </c>
    </row>
    <row r="45" spans="1:11" x14ac:dyDescent="0.25">
      <c r="A45" s="23">
        <v>45329.37222222222</v>
      </c>
      <c r="B45">
        <v>59.41</v>
      </c>
      <c r="C45">
        <v>56.76</v>
      </c>
      <c r="D45">
        <v>54.79</v>
      </c>
      <c r="E45">
        <v>56.1</v>
      </c>
      <c r="F45">
        <v>58.09</v>
      </c>
      <c r="G45">
        <v>60.34</v>
      </c>
      <c r="H45">
        <v>59.85</v>
      </c>
      <c r="I45">
        <v>56.45</v>
      </c>
      <c r="J45">
        <v>62.73</v>
      </c>
      <c r="K45">
        <v>56.24</v>
      </c>
    </row>
    <row r="46" spans="1:11" x14ac:dyDescent="0.25">
      <c r="A46" s="23">
        <v>45329.372916666667</v>
      </c>
      <c r="B46">
        <v>60.82</v>
      </c>
      <c r="C46">
        <v>58.04</v>
      </c>
      <c r="D46">
        <v>55.65</v>
      </c>
      <c r="E46">
        <v>57.28</v>
      </c>
      <c r="F46">
        <v>59.34</v>
      </c>
      <c r="G46">
        <v>62.05</v>
      </c>
      <c r="H46">
        <v>61.44</v>
      </c>
      <c r="I46">
        <v>57.98</v>
      </c>
      <c r="J46">
        <v>64.77</v>
      </c>
      <c r="K46">
        <v>57.08</v>
      </c>
    </row>
    <row r="47" spans="1:11" x14ac:dyDescent="0.25">
      <c r="A47" s="23">
        <v>45329.373611111114</v>
      </c>
      <c r="B47">
        <v>60.7</v>
      </c>
      <c r="C47">
        <v>58.46</v>
      </c>
      <c r="D47">
        <v>56.18</v>
      </c>
      <c r="E47">
        <v>57.45</v>
      </c>
      <c r="F47">
        <v>59.59</v>
      </c>
      <c r="G47">
        <v>61.39</v>
      </c>
      <c r="H47">
        <v>60.84</v>
      </c>
      <c r="I47">
        <v>58.23</v>
      </c>
      <c r="J47">
        <v>63.34</v>
      </c>
      <c r="K47">
        <v>57.42</v>
      </c>
    </row>
    <row r="48" spans="1:11" x14ac:dyDescent="0.25">
      <c r="A48" s="23">
        <v>45329.374305555553</v>
      </c>
      <c r="B48">
        <v>58.97</v>
      </c>
      <c r="C48">
        <v>56.72</v>
      </c>
      <c r="D48">
        <v>54.88</v>
      </c>
      <c r="E48">
        <v>56.26</v>
      </c>
      <c r="F48">
        <v>58.15</v>
      </c>
      <c r="G48">
        <v>59.8</v>
      </c>
      <c r="H48">
        <v>59.29</v>
      </c>
      <c r="I48">
        <v>57.16</v>
      </c>
      <c r="J48">
        <v>61.49</v>
      </c>
      <c r="K48">
        <v>56.47</v>
      </c>
    </row>
    <row r="49" spans="1:11" x14ac:dyDescent="0.25">
      <c r="A49" s="23">
        <v>45329.375</v>
      </c>
      <c r="B49">
        <v>59.6</v>
      </c>
      <c r="C49">
        <v>56.68</v>
      </c>
      <c r="D49">
        <v>54.98</v>
      </c>
      <c r="E49">
        <v>56.52</v>
      </c>
      <c r="F49">
        <v>58.22</v>
      </c>
      <c r="G49">
        <v>60.51</v>
      </c>
      <c r="H49">
        <v>60.11</v>
      </c>
      <c r="I49">
        <v>56.74</v>
      </c>
      <c r="J49">
        <v>62.88</v>
      </c>
      <c r="K49">
        <v>56.38</v>
      </c>
    </row>
    <row r="50" spans="1:11" x14ac:dyDescent="0.25">
      <c r="A50" s="23">
        <v>45329.375694444447</v>
      </c>
      <c r="B50">
        <v>61</v>
      </c>
      <c r="C50">
        <v>58.14</v>
      </c>
      <c r="D50">
        <v>56.09</v>
      </c>
      <c r="E50">
        <v>57.64</v>
      </c>
      <c r="F50">
        <v>59.64</v>
      </c>
      <c r="G50">
        <v>62.05</v>
      </c>
      <c r="H50">
        <v>61.6</v>
      </c>
      <c r="I50">
        <v>57.81</v>
      </c>
      <c r="J50">
        <v>64.7</v>
      </c>
      <c r="K50">
        <v>57.41</v>
      </c>
    </row>
    <row r="51" spans="1:11" x14ac:dyDescent="0.25">
      <c r="A51" s="23">
        <v>45329.376388888886</v>
      </c>
      <c r="B51">
        <v>60.34</v>
      </c>
      <c r="C51">
        <v>57.92</v>
      </c>
      <c r="D51">
        <v>55.84</v>
      </c>
      <c r="E51">
        <v>57.61</v>
      </c>
      <c r="F51">
        <v>59.51</v>
      </c>
      <c r="G51">
        <v>61.08</v>
      </c>
      <c r="H51">
        <v>60.72</v>
      </c>
      <c r="I51">
        <v>58.2</v>
      </c>
      <c r="J51">
        <v>62.99</v>
      </c>
      <c r="K51">
        <v>57.42</v>
      </c>
    </row>
    <row r="52" spans="1:11" x14ac:dyDescent="0.25">
      <c r="A52" s="23">
        <v>45329.377083333333</v>
      </c>
      <c r="B52">
        <v>58.98</v>
      </c>
      <c r="C52">
        <v>57.28</v>
      </c>
      <c r="D52">
        <v>54.94</v>
      </c>
      <c r="E52">
        <v>56.47</v>
      </c>
      <c r="F52">
        <v>58.06</v>
      </c>
      <c r="G52">
        <v>59.74</v>
      </c>
      <c r="H52">
        <v>59.29</v>
      </c>
      <c r="I52">
        <v>56.9</v>
      </c>
      <c r="J52">
        <v>61.49</v>
      </c>
      <c r="K52">
        <v>56.48</v>
      </c>
    </row>
    <row r="53" spans="1:11" x14ac:dyDescent="0.25">
      <c r="A53" s="23">
        <v>45329.37777777778</v>
      </c>
      <c r="B53">
        <v>59.83</v>
      </c>
      <c r="C53">
        <v>57.95</v>
      </c>
      <c r="D53">
        <v>55.36</v>
      </c>
      <c r="E53">
        <v>56.65</v>
      </c>
      <c r="F53">
        <v>58.47</v>
      </c>
      <c r="G53">
        <v>60.73</v>
      </c>
      <c r="H53">
        <v>60.36</v>
      </c>
      <c r="I53">
        <v>56.87</v>
      </c>
      <c r="J53">
        <v>63.19</v>
      </c>
      <c r="K53">
        <v>56.53</v>
      </c>
    </row>
    <row r="54" spans="1:11" x14ac:dyDescent="0.25">
      <c r="A54" s="23">
        <v>45329.378472222219</v>
      </c>
      <c r="B54">
        <v>61.27</v>
      </c>
      <c r="C54">
        <v>58.8</v>
      </c>
      <c r="D54">
        <v>56.32</v>
      </c>
      <c r="E54">
        <v>57.8</v>
      </c>
      <c r="F54">
        <v>59.82</v>
      </c>
      <c r="G54">
        <v>62.32</v>
      </c>
      <c r="H54">
        <v>61.84</v>
      </c>
      <c r="I54">
        <v>58.33</v>
      </c>
      <c r="J54">
        <v>64.849999999999994</v>
      </c>
      <c r="K54">
        <v>57.37</v>
      </c>
    </row>
    <row r="55" spans="1:11" x14ac:dyDescent="0.25">
      <c r="A55" s="23">
        <v>45329.379166666666</v>
      </c>
      <c r="B55">
        <v>59.87</v>
      </c>
      <c r="C55">
        <v>57.39</v>
      </c>
      <c r="D55">
        <v>55.83</v>
      </c>
      <c r="E55">
        <v>57.38</v>
      </c>
      <c r="F55">
        <v>59.17</v>
      </c>
      <c r="G55">
        <v>60.54</v>
      </c>
      <c r="H55">
        <v>60.06</v>
      </c>
      <c r="I55">
        <v>57.6</v>
      </c>
      <c r="J55">
        <v>62.26</v>
      </c>
      <c r="K55">
        <v>57.28</v>
      </c>
    </row>
    <row r="56" spans="1:11" x14ac:dyDescent="0.25">
      <c r="A56" s="23">
        <v>45329.379861111112</v>
      </c>
      <c r="B56">
        <v>59.06</v>
      </c>
      <c r="C56">
        <v>56.37</v>
      </c>
      <c r="D56">
        <v>55.14</v>
      </c>
      <c r="E56">
        <v>56.57</v>
      </c>
      <c r="F56">
        <v>58.15</v>
      </c>
      <c r="G56">
        <v>59.91</v>
      </c>
      <c r="H56">
        <v>59.48</v>
      </c>
      <c r="I56">
        <v>56.5</v>
      </c>
      <c r="J56">
        <v>61.78</v>
      </c>
      <c r="K56">
        <v>56.4</v>
      </c>
    </row>
    <row r="57" spans="1:11" x14ac:dyDescent="0.25">
      <c r="A57" s="23">
        <v>45329.380555555559</v>
      </c>
      <c r="B57">
        <v>60.25</v>
      </c>
      <c r="C57">
        <v>57.25</v>
      </c>
      <c r="D57">
        <v>55.59</v>
      </c>
      <c r="E57">
        <v>57.16</v>
      </c>
      <c r="F57">
        <v>58.89</v>
      </c>
      <c r="G57">
        <v>61.24</v>
      </c>
      <c r="H57">
        <v>60.85</v>
      </c>
      <c r="I57">
        <v>57.69</v>
      </c>
      <c r="J57">
        <v>63.71</v>
      </c>
      <c r="K57">
        <v>56.79</v>
      </c>
    </row>
    <row r="58" spans="1:11" x14ac:dyDescent="0.25">
      <c r="A58" s="23">
        <v>45329.381249999999</v>
      </c>
      <c r="B58">
        <v>61.35</v>
      </c>
      <c r="C58">
        <v>57.82</v>
      </c>
      <c r="D58">
        <v>56.71</v>
      </c>
      <c r="E58">
        <v>58.23</v>
      </c>
      <c r="F58">
        <v>60.12</v>
      </c>
      <c r="G58">
        <v>62.17</v>
      </c>
      <c r="H58">
        <v>61.85</v>
      </c>
      <c r="I58">
        <v>58.04</v>
      </c>
      <c r="J58">
        <v>64.569999999999993</v>
      </c>
      <c r="K58">
        <v>58.04</v>
      </c>
    </row>
    <row r="59" spans="1:11" x14ac:dyDescent="0.25">
      <c r="A59" s="23">
        <v>45329.381944444445</v>
      </c>
      <c r="B59">
        <v>59.55</v>
      </c>
      <c r="C59">
        <v>57.37</v>
      </c>
      <c r="D59">
        <v>55.56</v>
      </c>
      <c r="E59">
        <v>57.17</v>
      </c>
      <c r="F59">
        <v>58.85</v>
      </c>
      <c r="G59">
        <v>60.04</v>
      </c>
      <c r="H59">
        <v>59.58</v>
      </c>
      <c r="I59">
        <v>57.78</v>
      </c>
      <c r="J59">
        <v>61.54</v>
      </c>
      <c r="K59">
        <v>57.33</v>
      </c>
    </row>
    <row r="60" spans="1:11" x14ac:dyDescent="0.25">
      <c r="A60" s="23">
        <v>45329.382638888892</v>
      </c>
      <c r="B60">
        <v>59.26</v>
      </c>
      <c r="C60">
        <v>57.28</v>
      </c>
      <c r="D60">
        <v>55.05</v>
      </c>
      <c r="E60">
        <v>56.78</v>
      </c>
      <c r="F60">
        <v>58.29</v>
      </c>
      <c r="G60">
        <v>60.09</v>
      </c>
      <c r="H60">
        <v>59.71</v>
      </c>
      <c r="I60">
        <v>56.99</v>
      </c>
      <c r="J60">
        <v>62.18</v>
      </c>
      <c r="K60">
        <v>56.46</v>
      </c>
    </row>
    <row r="61" spans="1:11" x14ac:dyDescent="0.25">
      <c r="A61" s="23">
        <v>45329.383333333331</v>
      </c>
      <c r="B61">
        <v>60.75</v>
      </c>
      <c r="C61">
        <v>57.81</v>
      </c>
      <c r="D61">
        <v>55.92</v>
      </c>
      <c r="E61">
        <v>57.47</v>
      </c>
      <c r="F61">
        <v>59.31</v>
      </c>
      <c r="G61">
        <v>61.69</v>
      </c>
      <c r="H61">
        <v>61.21</v>
      </c>
      <c r="I61">
        <v>57.66</v>
      </c>
      <c r="J61">
        <v>64.2</v>
      </c>
      <c r="K61">
        <v>57.37</v>
      </c>
    </row>
    <row r="62" spans="1:11" x14ac:dyDescent="0.25">
      <c r="A62" s="23">
        <v>45329.384027777778</v>
      </c>
      <c r="B62">
        <v>60.98</v>
      </c>
      <c r="C62">
        <v>58.77</v>
      </c>
      <c r="D62">
        <v>56.59</v>
      </c>
      <c r="E62">
        <v>58.09</v>
      </c>
      <c r="F62">
        <v>59.97</v>
      </c>
      <c r="G62">
        <v>61.76</v>
      </c>
      <c r="H62">
        <v>61.28</v>
      </c>
      <c r="I62">
        <v>58.61</v>
      </c>
      <c r="J62">
        <v>63.65</v>
      </c>
      <c r="K62">
        <v>57.9</v>
      </c>
    </row>
    <row r="63" spans="1:11" x14ac:dyDescent="0.25">
      <c r="A63" s="23">
        <v>45329.384722222225</v>
      </c>
      <c r="B63">
        <v>59.4</v>
      </c>
      <c r="C63">
        <v>56.8</v>
      </c>
      <c r="D63">
        <v>55.44</v>
      </c>
      <c r="E63">
        <v>57.01</v>
      </c>
      <c r="F63">
        <v>58.56</v>
      </c>
      <c r="G63">
        <v>60.03</v>
      </c>
      <c r="H63">
        <v>59.63</v>
      </c>
      <c r="I63">
        <v>57.66</v>
      </c>
      <c r="J63">
        <v>61.7</v>
      </c>
      <c r="K63">
        <v>56.98</v>
      </c>
    </row>
    <row r="64" spans="1:11" x14ac:dyDescent="0.25">
      <c r="A64" s="23">
        <v>45329.385416666664</v>
      </c>
      <c r="B64">
        <v>59.8</v>
      </c>
      <c r="C64">
        <v>57.17</v>
      </c>
      <c r="D64">
        <v>55.4</v>
      </c>
      <c r="E64">
        <v>56.92</v>
      </c>
      <c r="F64">
        <v>58.63</v>
      </c>
      <c r="G64">
        <v>60.66</v>
      </c>
      <c r="H64">
        <v>60.28</v>
      </c>
      <c r="I64">
        <v>57.23</v>
      </c>
      <c r="J64">
        <v>62.86</v>
      </c>
      <c r="K64">
        <v>56.7</v>
      </c>
    </row>
    <row r="65" spans="1:11" x14ac:dyDescent="0.25">
      <c r="A65" s="23">
        <v>45329.386111111111</v>
      </c>
      <c r="B65">
        <v>61.2</v>
      </c>
      <c r="C65">
        <v>58.13</v>
      </c>
      <c r="D65">
        <v>56.46</v>
      </c>
      <c r="E65">
        <v>58.1</v>
      </c>
      <c r="F65">
        <v>59.83</v>
      </c>
      <c r="G65">
        <v>62.22</v>
      </c>
      <c r="H65">
        <v>61.94</v>
      </c>
      <c r="I65">
        <v>58.38</v>
      </c>
      <c r="J65">
        <v>64.8</v>
      </c>
      <c r="K65">
        <v>57.86</v>
      </c>
    </row>
    <row r="66" spans="1:11" x14ac:dyDescent="0.25">
      <c r="A66" s="23">
        <v>45329.386805555558</v>
      </c>
      <c r="B66">
        <v>60.59</v>
      </c>
      <c r="C66">
        <v>58.16</v>
      </c>
      <c r="D66">
        <v>56.49</v>
      </c>
      <c r="E66">
        <v>57.8</v>
      </c>
      <c r="F66">
        <v>59.73</v>
      </c>
      <c r="G66">
        <v>61.19</v>
      </c>
      <c r="H66">
        <v>60.81</v>
      </c>
      <c r="I66">
        <v>58.49</v>
      </c>
      <c r="J66">
        <v>62.83</v>
      </c>
      <c r="K66">
        <v>57.93</v>
      </c>
    </row>
    <row r="67" spans="1:11" x14ac:dyDescent="0.25">
      <c r="A67" s="23">
        <v>45329.387499999997</v>
      </c>
      <c r="B67">
        <v>59.17</v>
      </c>
      <c r="C67">
        <v>57.28</v>
      </c>
      <c r="D67">
        <v>55.27</v>
      </c>
      <c r="E67">
        <v>56.9</v>
      </c>
      <c r="F67">
        <v>58.39</v>
      </c>
      <c r="G67">
        <v>59.97</v>
      </c>
      <c r="H67">
        <v>59.52</v>
      </c>
      <c r="I67">
        <v>57.23</v>
      </c>
      <c r="J67">
        <v>61.7</v>
      </c>
      <c r="K67">
        <v>56.64</v>
      </c>
    </row>
    <row r="68" spans="1:11" x14ac:dyDescent="0.25">
      <c r="A68" s="23">
        <v>45329.388194444444</v>
      </c>
      <c r="B68">
        <v>60.18</v>
      </c>
      <c r="C68">
        <v>57.62</v>
      </c>
      <c r="D68">
        <v>55.84</v>
      </c>
      <c r="E68">
        <v>57.34</v>
      </c>
      <c r="F68">
        <v>58.96</v>
      </c>
      <c r="G68">
        <v>61.14</v>
      </c>
      <c r="H68">
        <v>60.75</v>
      </c>
      <c r="I68">
        <v>57.66</v>
      </c>
      <c r="J68">
        <v>63.5</v>
      </c>
      <c r="K68">
        <v>57.16</v>
      </c>
    </row>
    <row r="69" spans="1:11" x14ac:dyDescent="0.25">
      <c r="A69" s="23">
        <v>45329.388888888891</v>
      </c>
      <c r="B69">
        <v>61.52</v>
      </c>
      <c r="C69">
        <v>59.17</v>
      </c>
      <c r="D69">
        <v>56.79</v>
      </c>
      <c r="E69">
        <v>58.59</v>
      </c>
      <c r="F69">
        <v>60.24</v>
      </c>
      <c r="G69">
        <v>62.5</v>
      </c>
      <c r="H69">
        <v>62.02</v>
      </c>
      <c r="I69">
        <v>58.8</v>
      </c>
      <c r="J69">
        <v>64.81</v>
      </c>
      <c r="K69">
        <v>58.27</v>
      </c>
    </row>
    <row r="70" spans="1:11" x14ac:dyDescent="0.25">
      <c r="A70" s="23">
        <v>45329.38958333333</v>
      </c>
      <c r="B70">
        <v>60.01</v>
      </c>
      <c r="C70">
        <v>57.65</v>
      </c>
      <c r="D70">
        <v>56.03</v>
      </c>
      <c r="E70">
        <v>57.76</v>
      </c>
      <c r="F70">
        <v>59.42</v>
      </c>
      <c r="G70">
        <v>60.52</v>
      </c>
      <c r="H70">
        <v>60.18</v>
      </c>
      <c r="I70">
        <v>58.45</v>
      </c>
      <c r="J70">
        <v>62.14</v>
      </c>
      <c r="K70">
        <v>57.65</v>
      </c>
    </row>
    <row r="71" spans="1:11" x14ac:dyDescent="0.25">
      <c r="A71" s="23">
        <v>45329.390277777777</v>
      </c>
      <c r="B71">
        <v>59.27</v>
      </c>
      <c r="C71">
        <v>57.29</v>
      </c>
      <c r="D71">
        <v>55.37</v>
      </c>
      <c r="E71">
        <v>56.9</v>
      </c>
      <c r="F71">
        <v>58.32</v>
      </c>
      <c r="G71">
        <v>60.03</v>
      </c>
      <c r="H71">
        <v>59.52</v>
      </c>
      <c r="I71">
        <v>57.27</v>
      </c>
      <c r="J71">
        <v>61.84</v>
      </c>
      <c r="K71">
        <v>56.63</v>
      </c>
    </row>
    <row r="72" spans="1:11" x14ac:dyDescent="0.25">
      <c r="A72" s="23">
        <v>45329.390972222223</v>
      </c>
      <c r="B72">
        <v>60.54</v>
      </c>
      <c r="C72">
        <v>57.71</v>
      </c>
      <c r="D72">
        <v>56.01</v>
      </c>
      <c r="E72">
        <v>57.75</v>
      </c>
      <c r="F72">
        <v>59.14</v>
      </c>
      <c r="G72">
        <v>61.47</v>
      </c>
      <c r="H72">
        <v>61.02</v>
      </c>
      <c r="I72">
        <v>58.07</v>
      </c>
      <c r="J72">
        <v>63.85</v>
      </c>
      <c r="K72">
        <v>57.34</v>
      </c>
    </row>
    <row r="73" spans="1:11" x14ac:dyDescent="0.25">
      <c r="A73" s="23">
        <v>45329.39166666667</v>
      </c>
      <c r="B73">
        <v>61.37</v>
      </c>
      <c r="C73">
        <v>58.16</v>
      </c>
      <c r="D73">
        <v>56.73</v>
      </c>
      <c r="E73">
        <v>58.42</v>
      </c>
      <c r="F73">
        <v>60.28</v>
      </c>
      <c r="G73">
        <v>62.19</v>
      </c>
      <c r="H73">
        <v>61.79</v>
      </c>
      <c r="I73">
        <v>59.12</v>
      </c>
      <c r="J73">
        <v>64.400000000000006</v>
      </c>
      <c r="K73">
        <v>58.14</v>
      </c>
    </row>
    <row r="74" spans="1:11" x14ac:dyDescent="0.25">
      <c r="A74" s="23">
        <v>45329.392361111109</v>
      </c>
      <c r="B74">
        <v>59.68</v>
      </c>
      <c r="C74">
        <v>57.32</v>
      </c>
      <c r="D74">
        <v>55.84</v>
      </c>
      <c r="E74">
        <v>57.37</v>
      </c>
      <c r="F74">
        <v>58.93</v>
      </c>
      <c r="G74">
        <v>60.29</v>
      </c>
      <c r="H74">
        <v>59.84</v>
      </c>
      <c r="I74">
        <v>57.88</v>
      </c>
      <c r="J74">
        <v>61.73</v>
      </c>
      <c r="K74">
        <v>57.55</v>
      </c>
    </row>
    <row r="75" spans="1:11" x14ac:dyDescent="0.25">
      <c r="A75" s="23">
        <v>45329.393055555556</v>
      </c>
      <c r="B75">
        <v>59.58</v>
      </c>
      <c r="C75">
        <v>57.64</v>
      </c>
      <c r="D75">
        <v>55.44</v>
      </c>
      <c r="E75">
        <v>57.04</v>
      </c>
      <c r="F75">
        <v>58.51</v>
      </c>
      <c r="G75">
        <v>60.37</v>
      </c>
      <c r="H75">
        <v>59.92</v>
      </c>
      <c r="I75">
        <v>57.58</v>
      </c>
      <c r="J75">
        <v>62.48</v>
      </c>
      <c r="K75">
        <v>56.93</v>
      </c>
    </row>
    <row r="76" spans="1:11" x14ac:dyDescent="0.25">
      <c r="A76" s="23">
        <v>45329.393750000003</v>
      </c>
      <c r="B76">
        <v>61.03</v>
      </c>
      <c r="C76">
        <v>58.18</v>
      </c>
      <c r="D76">
        <v>56.46</v>
      </c>
      <c r="E76">
        <v>57.95</v>
      </c>
      <c r="F76">
        <v>59.65</v>
      </c>
      <c r="G76">
        <v>61.96</v>
      </c>
      <c r="H76">
        <v>61.57</v>
      </c>
      <c r="I76">
        <v>58.34</v>
      </c>
      <c r="J76">
        <v>64.5</v>
      </c>
      <c r="K76">
        <v>57.85</v>
      </c>
    </row>
    <row r="77" spans="1:11" x14ac:dyDescent="0.25">
      <c r="A77" s="23">
        <v>45329.394444444442</v>
      </c>
      <c r="B77">
        <v>60.94</v>
      </c>
      <c r="C77">
        <v>58.57</v>
      </c>
      <c r="D77">
        <v>56.67</v>
      </c>
      <c r="E77">
        <v>58.11</v>
      </c>
      <c r="F77">
        <v>60.17</v>
      </c>
      <c r="G77">
        <v>61.68</v>
      </c>
      <c r="H77">
        <v>61.34</v>
      </c>
      <c r="I77">
        <v>58.53</v>
      </c>
      <c r="J77">
        <v>63.54</v>
      </c>
      <c r="K77">
        <v>58.43</v>
      </c>
    </row>
  </sheetData>
  <sheetProtection algorithmName="SHA-512" hashValue="odOkFbmsGwbwHy3eFh9YbaLbARvu3q8IyJ56DNuwbPQv3sxuw3DLBMsMcIzuvCFOVYf2dzwdgxGY1c4p4xIZxw==" saltValue="eGzFA/PLR2u4UlnQNFl5mw=="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99"/>
  <sheetViews>
    <sheetView topLeftCell="A91" workbookViewId="0">
      <selection activeCell="A7" sqref="A7:B7"/>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4" t="str">
        <f>Mesures_Ressuage_BCH!B19 &amp; "°C"</f>
        <v>60°C</v>
      </c>
      <c r="B1" s="454"/>
      <c r="C1" s="454"/>
      <c r="D1" s="454"/>
      <c r="E1" s="454"/>
      <c r="F1" s="454"/>
      <c r="G1" s="454"/>
      <c r="H1" s="454"/>
      <c r="I1" s="454"/>
      <c r="J1" s="454"/>
      <c r="K1" s="454"/>
      <c r="L1" s="454"/>
      <c r="M1" s="454"/>
      <c r="N1" s="454"/>
      <c r="O1" s="454"/>
      <c r="P1" s="454"/>
      <c r="Q1" s="454"/>
    </row>
    <row r="2" spans="1:17" s="27" customFormat="1" x14ac:dyDescent="0.25">
      <c r="A2" s="454"/>
      <c r="B2" s="454"/>
      <c r="C2" s="454"/>
      <c r="D2" s="454"/>
      <c r="E2" s="454"/>
      <c r="F2" s="454"/>
      <c r="G2" s="454"/>
      <c r="H2" s="454"/>
      <c r="I2" s="454"/>
      <c r="J2" s="454"/>
      <c r="K2" s="454"/>
      <c r="L2" s="454"/>
      <c r="M2" s="454"/>
      <c r="N2" s="454"/>
      <c r="O2" s="454"/>
      <c r="P2" s="454"/>
      <c r="Q2" s="454"/>
    </row>
    <row r="3" spans="1:17" s="27" customFormat="1" x14ac:dyDescent="0.25">
      <c r="A3" s="454"/>
      <c r="B3" s="454"/>
      <c r="C3" s="454"/>
      <c r="D3" s="454"/>
      <c r="E3" s="454"/>
      <c r="F3" s="454"/>
      <c r="G3" s="454"/>
      <c r="H3" s="454"/>
      <c r="I3" s="454"/>
      <c r="J3" s="454"/>
      <c r="K3" s="454"/>
      <c r="L3" s="454"/>
      <c r="M3" s="454"/>
      <c r="N3" s="454"/>
      <c r="O3" s="454"/>
      <c r="P3" s="454"/>
      <c r="Q3" s="454"/>
    </row>
    <row r="4" spans="1:17" s="27" customFormat="1" x14ac:dyDescent="0.25">
      <c r="N4" s="33"/>
    </row>
    <row r="5" spans="1:17" s="27" customFormat="1" x14ac:dyDescent="0.25">
      <c r="B5" s="34" t="s">
        <v>23</v>
      </c>
      <c r="C5" s="35">
        <f>_xlfn.XLOOKUP(INT(SUBSTITUTE(C88,"Connecteur ","")),Mesures_Ressuage_BCH!C23:C32,Mesures_Ressuage_BCH!D23:D32)</f>
        <v>0.1</v>
      </c>
      <c r="D5" s="35">
        <f>_xlfn.XLOOKUP(INT(SUBSTITUTE(D88,"Connecteur ","")),Mesures_Ressuage_BCH!C23:C32,Mesures_Ressuage_BCH!D23:D32)</f>
        <v>0.1</v>
      </c>
      <c r="E5" s="35">
        <f>_xlfn.XLOOKUP(INT(SUBSTITUTE(E88,"Connecteur ","")),Mesures_Ressuage_BCH!C23:C32,Mesures_Ressuage_BCH!D23:D32)</f>
        <v>0.1</v>
      </c>
      <c r="F5" s="35">
        <f>_xlfn.XLOOKUP(INT(SUBSTITUTE(F88,"Connecteur ","")),Mesures_Ressuage_BCH!C23:C32,Mesures_Ressuage_BCH!D23:D32)</f>
        <v>0.1</v>
      </c>
      <c r="G5" s="35">
        <f>_xlfn.XLOOKUP(INT(SUBSTITUTE(G88,"Connecteur ","")),Mesures_Ressuage_BCH!C23:C32,Mesures_Ressuage_BCH!D23:D32)</f>
        <v>0.1</v>
      </c>
      <c r="H5" s="35">
        <f>_xlfn.XLOOKUP(INT(SUBSTITUTE(H88,"Connecteur ","")),Mesures_Ressuage_BCH!C23:C32,Mesures_Ressuage_BCH!D23:D32)</f>
        <v>0.1</v>
      </c>
      <c r="I5" s="35">
        <f>_xlfn.XLOOKUP(INT(SUBSTITUTE(I88,"Connecteur ","")),Mesures_Ressuage_BCH!C23:C32,Mesures_Ressuage_BCH!D23:D32)</f>
        <v>0.1</v>
      </c>
      <c r="J5" s="35">
        <f>_xlfn.XLOOKUP(INT(SUBSTITUTE(J88,"Connecteur ","")),Mesures_Ressuage_BCH!C23:C32,Mesures_Ressuage_BCH!D23:D32)</f>
        <v>0.1</v>
      </c>
      <c r="K5" s="35">
        <f>_xlfn.XLOOKUP(INT(SUBSTITUTE(K88,"Connecteur ","")),Mesures_Ressuage_BCH!C23:C32,Mesures_Ressuage_BCH!D23:D32)</f>
        <v>0.1</v>
      </c>
      <c r="L5" s="35">
        <f>_xlfn.XLOOKUP(INT(SUBSTITUTE(L88,"Connecteur ","")),Mesures_Ressuage_BCH!C23:C32,Mesures_Ressuage_BCH!D23:D32)</f>
        <v>0.1</v>
      </c>
      <c r="N5" s="33"/>
    </row>
    <row r="6" spans="1:17" s="27" customFormat="1" x14ac:dyDescent="0.25">
      <c r="B6" s="34" t="s">
        <v>87</v>
      </c>
      <c r="C6" s="35">
        <f>_xlfn.XLOOKUP(INT(SUBSTITUTE(C88,"Connecteur ","")),Mesures_Ressuage_BCH!C23:C32,Mesures_Ressuage_BCH!E23:E32)</f>
        <v>0.1</v>
      </c>
      <c r="D6" s="35">
        <f>_xlfn.XLOOKUP(INT(SUBSTITUTE(D88,"Connecteur ","")),Mesures_Ressuage_BCH!C23:C32,Mesures_Ressuage_BCH!E23:E32)</f>
        <v>0.1</v>
      </c>
      <c r="E6" s="35">
        <f>_xlfn.XLOOKUP(INT(SUBSTITUTE(E88,"Connecteur ","")),Mesures_Ressuage_BCH!C23:C32,Mesures_Ressuage_BCH!E23:E32)</f>
        <v>0.1</v>
      </c>
      <c r="F6" s="35">
        <f>_xlfn.XLOOKUP(INT(SUBSTITUTE(F88,"Connecteur ","")),Mesures_Ressuage_BCH!C23:C32,Mesures_Ressuage_BCH!E23:E32)</f>
        <v>0.1</v>
      </c>
      <c r="G6" s="35">
        <f>_xlfn.XLOOKUP(INT(SUBSTITUTE(G88,"Connecteur ","")),Mesures_Ressuage_BCH!C23:C32,Mesures_Ressuage_BCH!E23:E32)</f>
        <v>0.1</v>
      </c>
      <c r="H6" s="35">
        <f>_xlfn.XLOOKUP(INT(SUBSTITUTE(H88,"Connecteur ","")),Mesures_Ressuage_BCH!C23:C32,Mesures_Ressuage_BCH!E23:E32)</f>
        <v>0.1</v>
      </c>
      <c r="I6" s="35">
        <f>_xlfn.XLOOKUP(INT(SUBSTITUTE(I88,"Connecteur ","")),Mesures_Ressuage_BCH!C23:C32,Mesures_Ressuage_BCH!E23:E32)</f>
        <v>0.1</v>
      </c>
      <c r="J6" s="35">
        <f>_xlfn.XLOOKUP(INT(SUBSTITUTE(J88,"Connecteur ","")),Mesures_Ressuage_BCH!C23:C32,Mesures_Ressuage_BCH!E23:E32)</f>
        <v>0.1</v>
      </c>
      <c r="K6" s="35">
        <f>_xlfn.XLOOKUP(INT(SUBSTITUTE(K88,"Connecteur ","")),Mesures_Ressuage_BCH!C23:C32,Mesures_Ressuage_BCH!E23:E32)</f>
        <v>0.1</v>
      </c>
      <c r="L6" s="35">
        <f>_xlfn.XLOOKUP(INT(SUBSTITUTE(L88,"Connecteur ","")),Mesures_Ressuage_BCH!C23:C32,Mesures_Ressuage_BCH!E23:E32)</f>
        <v>0.1</v>
      </c>
      <c r="N6" s="33"/>
    </row>
    <row r="7" spans="1:17" s="27" customFormat="1" x14ac:dyDescent="0.25">
      <c r="N7" s="33"/>
    </row>
    <row r="8" spans="1:17" s="27" customFormat="1" x14ac:dyDescent="0.25">
      <c r="N8" s="33"/>
    </row>
    <row r="9" spans="1:17" s="27" customFormat="1" x14ac:dyDescent="0.25">
      <c r="A9" s="338" t="s">
        <v>88</v>
      </c>
      <c r="B9" s="338"/>
      <c r="C9" s="338"/>
      <c r="D9" s="338"/>
      <c r="E9" s="338"/>
      <c r="F9" s="338"/>
      <c r="G9" s="338"/>
      <c r="H9" s="338"/>
      <c r="I9" s="338"/>
      <c r="J9" s="338"/>
      <c r="K9" s="338"/>
      <c r="L9" s="338"/>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505" t="s">
        <v>89</v>
      </c>
      <c r="B11" s="37" cm="1">
        <f t="array" ref="B11:L86">Valeurs_Brutes_Ressuage_BCH[]</f>
        <v>45329.342361111114</v>
      </c>
      <c r="C11" s="38">
        <v>11.96</v>
      </c>
      <c r="D11" s="38">
        <v>11.84</v>
      </c>
      <c r="E11" s="38">
        <v>11.85</v>
      </c>
      <c r="F11" s="38">
        <v>11.84</v>
      </c>
      <c r="G11" s="38">
        <v>12.3</v>
      </c>
      <c r="H11" s="38">
        <v>12.34</v>
      </c>
      <c r="I11" s="38">
        <v>12.42</v>
      </c>
      <c r="J11" s="38">
        <v>12.71</v>
      </c>
      <c r="K11" s="38">
        <v>13.33</v>
      </c>
      <c r="L11" s="38">
        <v>12.66</v>
      </c>
      <c r="N11" s="33"/>
    </row>
    <row r="12" spans="1:17" s="27" customFormat="1" ht="13.5" customHeight="1" x14ac:dyDescent="0.25">
      <c r="A12" s="506"/>
      <c r="B12" s="37">
        <v>45329.343055555553</v>
      </c>
      <c r="C12" s="38">
        <v>15.16</v>
      </c>
      <c r="D12" s="38">
        <v>14.2</v>
      </c>
      <c r="E12" s="38">
        <v>13.8</v>
      </c>
      <c r="F12" s="38">
        <v>14.06</v>
      </c>
      <c r="G12" s="38">
        <v>14.4</v>
      </c>
      <c r="H12" s="38">
        <v>15.87</v>
      </c>
      <c r="I12" s="38">
        <v>15.76</v>
      </c>
      <c r="J12" s="38">
        <v>14.12</v>
      </c>
      <c r="K12" s="38">
        <v>16.88</v>
      </c>
      <c r="L12" s="38">
        <v>13.86</v>
      </c>
      <c r="N12" s="33"/>
    </row>
    <row r="13" spans="1:17" s="27" customFormat="1" ht="13.5" customHeight="1" x14ac:dyDescent="0.25">
      <c r="A13" s="506"/>
      <c r="B13" s="37">
        <v>45329.34375</v>
      </c>
      <c r="C13" s="38">
        <v>18.93</v>
      </c>
      <c r="D13" s="38">
        <v>17.46</v>
      </c>
      <c r="E13" s="38">
        <v>16.68</v>
      </c>
      <c r="F13" s="38">
        <v>17.010000000000002</v>
      </c>
      <c r="G13" s="38">
        <v>17.82</v>
      </c>
      <c r="H13" s="38">
        <v>19.829999999999998</v>
      </c>
      <c r="I13" s="38">
        <v>19.7</v>
      </c>
      <c r="J13" s="38">
        <v>17.170000000000002</v>
      </c>
      <c r="K13" s="38">
        <v>21.6</v>
      </c>
      <c r="L13" s="38">
        <v>16.79</v>
      </c>
      <c r="N13" s="33"/>
    </row>
    <row r="14" spans="1:17" s="27" customFormat="1" ht="13.5" customHeight="1" x14ac:dyDescent="0.25">
      <c r="A14" s="506"/>
      <c r="B14" s="37">
        <v>45329.344444444447</v>
      </c>
      <c r="C14" s="38">
        <v>22.76</v>
      </c>
      <c r="D14" s="38">
        <v>20.43</v>
      </c>
      <c r="E14" s="38">
        <v>19.57</v>
      </c>
      <c r="F14" s="38">
        <v>20.16</v>
      </c>
      <c r="G14" s="38">
        <v>21.36</v>
      </c>
      <c r="H14" s="38">
        <v>23.76</v>
      </c>
      <c r="I14" s="38">
        <v>23.61</v>
      </c>
      <c r="J14" s="38">
        <v>20.22</v>
      </c>
      <c r="K14" s="38">
        <v>26.05</v>
      </c>
      <c r="L14" s="38">
        <v>20.010000000000002</v>
      </c>
      <c r="N14" s="33"/>
    </row>
    <row r="15" spans="1:17" s="27" customFormat="1" ht="13.5" customHeight="1" x14ac:dyDescent="0.25">
      <c r="A15" s="506"/>
      <c r="B15" s="37">
        <v>45329.345138888886</v>
      </c>
      <c r="C15" s="38">
        <v>26.45</v>
      </c>
      <c r="D15" s="38">
        <v>23.26</v>
      </c>
      <c r="E15" s="38">
        <v>22.51</v>
      </c>
      <c r="F15" s="38">
        <v>23.17</v>
      </c>
      <c r="G15" s="38">
        <v>24.73</v>
      </c>
      <c r="H15" s="38">
        <v>27.54</v>
      </c>
      <c r="I15" s="38">
        <v>27.36</v>
      </c>
      <c r="J15" s="38">
        <v>23.18</v>
      </c>
      <c r="K15" s="38">
        <v>30.14</v>
      </c>
      <c r="L15" s="38">
        <v>23.13</v>
      </c>
      <c r="N15" s="33"/>
    </row>
    <row r="16" spans="1:17" s="27" customFormat="1" ht="13.5" customHeight="1" x14ac:dyDescent="0.25">
      <c r="A16" s="506"/>
      <c r="B16" s="37">
        <v>45329.345833333333</v>
      </c>
      <c r="C16" s="38">
        <v>29.68</v>
      </c>
      <c r="D16" s="38">
        <v>26.69</v>
      </c>
      <c r="E16" s="38">
        <v>25.16</v>
      </c>
      <c r="F16" s="38">
        <v>26.04</v>
      </c>
      <c r="G16" s="38">
        <v>27.9</v>
      </c>
      <c r="H16" s="38">
        <v>31.03</v>
      </c>
      <c r="I16" s="38">
        <v>30.71</v>
      </c>
      <c r="J16" s="38">
        <v>26.49</v>
      </c>
      <c r="K16" s="38">
        <v>33.99</v>
      </c>
      <c r="L16" s="38">
        <v>25.94</v>
      </c>
      <c r="N16" s="33"/>
    </row>
    <row r="17" spans="1:14" s="27" customFormat="1" ht="13.5" customHeight="1" x14ac:dyDescent="0.25">
      <c r="A17" s="506"/>
      <c r="B17" s="37">
        <v>45329.34652777778</v>
      </c>
      <c r="C17" s="38">
        <v>33.04</v>
      </c>
      <c r="D17" s="38">
        <v>30.18</v>
      </c>
      <c r="E17" s="38">
        <v>27.96</v>
      </c>
      <c r="F17" s="38">
        <v>28.86</v>
      </c>
      <c r="G17" s="38">
        <v>31</v>
      </c>
      <c r="H17" s="38">
        <v>34.340000000000003</v>
      </c>
      <c r="I17" s="38">
        <v>33.92</v>
      </c>
      <c r="J17" s="38">
        <v>29.38</v>
      </c>
      <c r="K17" s="38">
        <v>37.44</v>
      </c>
      <c r="L17" s="38">
        <v>29.11</v>
      </c>
      <c r="N17" s="33"/>
    </row>
    <row r="18" spans="1:14" s="27" customFormat="1" ht="13.5" customHeight="1" x14ac:dyDescent="0.25">
      <c r="A18" s="506"/>
      <c r="B18" s="37">
        <v>45329.347222222219</v>
      </c>
      <c r="C18" s="38">
        <v>35.840000000000003</v>
      </c>
      <c r="D18" s="38">
        <v>33.020000000000003</v>
      </c>
      <c r="E18" s="38">
        <v>30.35</v>
      </c>
      <c r="F18" s="38">
        <v>31.39</v>
      </c>
      <c r="G18" s="38">
        <v>33.78</v>
      </c>
      <c r="H18" s="38">
        <v>37.31</v>
      </c>
      <c r="I18" s="38">
        <v>36.74</v>
      </c>
      <c r="J18" s="38">
        <v>31.97</v>
      </c>
      <c r="K18" s="38">
        <v>40.65</v>
      </c>
      <c r="L18" s="38">
        <v>31.62</v>
      </c>
      <c r="N18" s="33"/>
    </row>
    <row r="19" spans="1:14" s="27" customFormat="1" ht="13.5" customHeight="1" x14ac:dyDescent="0.25">
      <c r="A19" s="506"/>
      <c r="B19" s="37">
        <v>45329.347916666666</v>
      </c>
      <c r="C19" s="38">
        <v>38.520000000000003</v>
      </c>
      <c r="D19" s="38">
        <v>34.89</v>
      </c>
      <c r="E19" s="38">
        <v>32.82</v>
      </c>
      <c r="F19" s="38">
        <v>34.03</v>
      </c>
      <c r="G19" s="38">
        <v>36.450000000000003</v>
      </c>
      <c r="H19" s="38">
        <v>40.020000000000003</v>
      </c>
      <c r="I19" s="38">
        <v>39.46</v>
      </c>
      <c r="J19" s="38">
        <v>34.159999999999997</v>
      </c>
      <c r="K19" s="38">
        <v>43.42</v>
      </c>
      <c r="L19" s="38">
        <v>33.85</v>
      </c>
      <c r="N19" s="33"/>
    </row>
    <row r="20" spans="1:14" s="27" customFormat="1" ht="13.5" customHeight="1" x14ac:dyDescent="0.25">
      <c r="A20" s="506"/>
      <c r="B20" s="37">
        <v>45329.348611111112</v>
      </c>
      <c r="C20" s="38">
        <v>41.21</v>
      </c>
      <c r="D20" s="38">
        <v>37.909999999999997</v>
      </c>
      <c r="E20" s="38">
        <v>34.86</v>
      </c>
      <c r="F20" s="38">
        <v>36.04</v>
      </c>
      <c r="G20" s="38">
        <v>38.85</v>
      </c>
      <c r="H20" s="38">
        <v>42.63</v>
      </c>
      <c r="I20" s="38">
        <v>41.93</v>
      </c>
      <c r="J20" s="38">
        <v>36.89</v>
      </c>
      <c r="K20" s="38">
        <v>45.98</v>
      </c>
      <c r="L20" s="38">
        <v>36.229999999999997</v>
      </c>
      <c r="N20" s="33"/>
    </row>
    <row r="21" spans="1:14" s="27" customFormat="1" ht="13.5" customHeight="1" x14ac:dyDescent="0.25">
      <c r="A21" s="506"/>
      <c r="B21" s="37">
        <v>45329.349305555559</v>
      </c>
      <c r="C21" s="38">
        <v>43.32</v>
      </c>
      <c r="D21" s="38">
        <v>39.11</v>
      </c>
      <c r="E21" s="38">
        <v>37.35</v>
      </c>
      <c r="F21" s="38">
        <v>38.26</v>
      </c>
      <c r="G21" s="38">
        <v>41.06</v>
      </c>
      <c r="H21" s="38">
        <v>44.82</v>
      </c>
      <c r="I21" s="38">
        <v>44.09</v>
      </c>
      <c r="J21" s="38">
        <v>38.97</v>
      </c>
      <c r="K21" s="38">
        <v>48.24</v>
      </c>
      <c r="L21" s="38">
        <v>38.54</v>
      </c>
      <c r="N21" s="33"/>
    </row>
    <row r="22" spans="1:14" s="27" customFormat="1" ht="13.5" customHeight="1" x14ac:dyDescent="0.25">
      <c r="A22" s="506"/>
      <c r="B22" s="37">
        <v>45329.35</v>
      </c>
      <c r="C22" s="38">
        <v>45.5</v>
      </c>
      <c r="D22" s="38">
        <v>42.91</v>
      </c>
      <c r="E22" s="38">
        <v>39.15</v>
      </c>
      <c r="F22" s="38">
        <v>40.22</v>
      </c>
      <c r="G22" s="38">
        <v>43.2</v>
      </c>
      <c r="H22" s="38">
        <v>47.04</v>
      </c>
      <c r="I22" s="38">
        <v>46.15</v>
      </c>
      <c r="J22" s="38">
        <v>41.23</v>
      </c>
      <c r="K22" s="38">
        <v>50.68</v>
      </c>
      <c r="L22" s="38">
        <v>39.94</v>
      </c>
      <c r="N22" s="33"/>
    </row>
    <row r="23" spans="1:14" s="27" customFormat="1" ht="13.5" customHeight="1" x14ac:dyDescent="0.25">
      <c r="A23" s="506"/>
      <c r="B23" s="37">
        <v>45329.350694444445</v>
      </c>
      <c r="C23" s="38">
        <v>47.41</v>
      </c>
      <c r="D23" s="38">
        <v>43.4</v>
      </c>
      <c r="E23" s="38">
        <v>41.11</v>
      </c>
      <c r="F23" s="38">
        <v>42.07</v>
      </c>
      <c r="G23" s="38">
        <v>44.99</v>
      </c>
      <c r="H23" s="38">
        <v>48.93</v>
      </c>
      <c r="I23" s="38">
        <v>48.19</v>
      </c>
      <c r="J23" s="38">
        <v>43.05</v>
      </c>
      <c r="K23" s="38">
        <v>52.35</v>
      </c>
      <c r="L23" s="38">
        <v>42.05</v>
      </c>
      <c r="N23" s="33"/>
    </row>
    <row r="24" spans="1:14" s="27" customFormat="1" ht="13.5" customHeight="1" x14ac:dyDescent="0.25">
      <c r="A24" s="506"/>
      <c r="B24" s="37">
        <v>45329.351388888892</v>
      </c>
      <c r="C24" s="38">
        <v>49.31</v>
      </c>
      <c r="D24" s="38">
        <v>45.98</v>
      </c>
      <c r="E24" s="38">
        <v>42.64</v>
      </c>
      <c r="F24" s="38">
        <v>43.39</v>
      </c>
      <c r="G24" s="38">
        <v>46.71</v>
      </c>
      <c r="H24" s="38">
        <v>50.71</v>
      </c>
      <c r="I24" s="38">
        <v>49.91</v>
      </c>
      <c r="J24" s="38">
        <v>44.67</v>
      </c>
      <c r="K24" s="38">
        <v>54.32</v>
      </c>
      <c r="L24" s="38">
        <v>43.96</v>
      </c>
      <c r="N24" s="33"/>
    </row>
    <row r="25" spans="1:14" s="27" customFormat="1" ht="13.5" customHeight="1" x14ac:dyDescent="0.25">
      <c r="A25" s="506"/>
      <c r="B25" s="37">
        <v>45329.352083333331</v>
      </c>
      <c r="C25" s="38">
        <v>50.94</v>
      </c>
      <c r="D25" s="38">
        <v>46.8</v>
      </c>
      <c r="E25" s="38">
        <v>44.3</v>
      </c>
      <c r="F25" s="38">
        <v>44.97</v>
      </c>
      <c r="G25" s="38">
        <v>48.39</v>
      </c>
      <c r="H25" s="38">
        <v>52.4</v>
      </c>
      <c r="I25" s="38">
        <v>51.64</v>
      </c>
      <c r="J25" s="38">
        <v>45.9</v>
      </c>
      <c r="K25" s="38">
        <v>56.17</v>
      </c>
      <c r="L25" s="38">
        <v>45.36</v>
      </c>
      <c r="N25" s="33"/>
    </row>
    <row r="26" spans="1:14" s="27" customFormat="1" ht="13.5" customHeight="1" x14ac:dyDescent="0.25">
      <c r="A26" s="506"/>
      <c r="B26" s="37">
        <v>45329.352777777778</v>
      </c>
      <c r="C26" s="38">
        <v>52.48</v>
      </c>
      <c r="D26" s="38">
        <v>48.31</v>
      </c>
      <c r="E26" s="38">
        <v>45.8</v>
      </c>
      <c r="F26" s="38">
        <v>46.8</v>
      </c>
      <c r="G26" s="38">
        <v>50.01</v>
      </c>
      <c r="H26" s="38">
        <v>54</v>
      </c>
      <c r="I26" s="38">
        <v>53.35</v>
      </c>
      <c r="J26" s="38">
        <v>48.16</v>
      </c>
      <c r="K26" s="38">
        <v>57.86</v>
      </c>
      <c r="L26" s="38">
        <v>46.45</v>
      </c>
      <c r="N26" s="33"/>
    </row>
    <row r="27" spans="1:14" s="27" customFormat="1" ht="13.5" customHeight="1" x14ac:dyDescent="0.25">
      <c r="A27" s="506"/>
      <c r="B27" s="37">
        <v>45329.353472222225</v>
      </c>
      <c r="C27" s="38">
        <v>53.9</v>
      </c>
      <c r="D27" s="38">
        <v>50.02</v>
      </c>
      <c r="E27" s="38">
        <v>47.06</v>
      </c>
      <c r="F27" s="38">
        <v>48.08</v>
      </c>
      <c r="G27" s="38">
        <v>51.46</v>
      </c>
      <c r="H27" s="38">
        <v>55.44</v>
      </c>
      <c r="I27" s="38">
        <v>54.57</v>
      </c>
      <c r="J27" s="38">
        <v>49</v>
      </c>
      <c r="K27" s="38">
        <v>59.4</v>
      </c>
      <c r="L27" s="38">
        <v>48.39</v>
      </c>
      <c r="N27" s="33"/>
    </row>
    <row r="28" spans="1:14" s="27" customFormat="1" ht="13.5" customHeight="1" x14ac:dyDescent="0.25">
      <c r="A28" s="506"/>
      <c r="B28" s="37">
        <v>45329.354166666664</v>
      </c>
      <c r="C28" s="38">
        <v>55.39</v>
      </c>
      <c r="D28" s="38">
        <v>51.53</v>
      </c>
      <c r="E28" s="38">
        <v>48.36</v>
      </c>
      <c r="F28" s="38">
        <v>49.58</v>
      </c>
      <c r="G28" s="38">
        <v>52.98</v>
      </c>
      <c r="H28" s="38">
        <v>56.84</v>
      </c>
      <c r="I28" s="38">
        <v>56.04</v>
      </c>
      <c r="J28" s="38">
        <v>50.95</v>
      </c>
      <c r="K28" s="38">
        <v>60.49</v>
      </c>
      <c r="L28" s="38">
        <v>50.3</v>
      </c>
      <c r="N28" s="33"/>
    </row>
    <row r="29" spans="1:14" s="27" customFormat="1" ht="13.5" customHeight="1" x14ac:dyDescent="0.25">
      <c r="A29" s="506"/>
      <c r="B29" s="37">
        <v>45329.354861111111</v>
      </c>
      <c r="C29" s="38">
        <v>56.76</v>
      </c>
      <c r="D29" s="38">
        <v>53.27</v>
      </c>
      <c r="E29" s="38">
        <v>49.77</v>
      </c>
      <c r="F29" s="38">
        <v>51.01</v>
      </c>
      <c r="G29" s="38">
        <v>54.37</v>
      </c>
      <c r="H29" s="38">
        <v>58.32</v>
      </c>
      <c r="I29" s="38">
        <v>57.4</v>
      </c>
      <c r="J29" s="38">
        <v>52.08</v>
      </c>
      <c r="K29" s="38">
        <v>61.82</v>
      </c>
      <c r="L29" s="38">
        <v>51.31</v>
      </c>
      <c r="N29" s="33"/>
    </row>
    <row r="30" spans="1:14" s="27" customFormat="1" ht="13.5" customHeight="1" x14ac:dyDescent="0.25">
      <c r="A30" s="506"/>
      <c r="B30" s="37">
        <v>45329.355555555558</v>
      </c>
      <c r="C30" s="38">
        <v>57.91</v>
      </c>
      <c r="D30" s="38">
        <v>54.25</v>
      </c>
      <c r="E30" s="38">
        <v>51.17</v>
      </c>
      <c r="F30" s="38">
        <v>52.51</v>
      </c>
      <c r="G30" s="38">
        <v>55.58</v>
      </c>
      <c r="H30" s="38">
        <v>59.44</v>
      </c>
      <c r="I30" s="38">
        <v>58.64</v>
      </c>
      <c r="J30" s="38">
        <v>53.49</v>
      </c>
      <c r="K30" s="38">
        <v>63.04</v>
      </c>
      <c r="L30" s="38">
        <v>52.45</v>
      </c>
      <c r="N30" s="33"/>
    </row>
    <row r="31" spans="1:14" s="27" customFormat="1" ht="13.5" customHeight="1" x14ac:dyDescent="0.25">
      <c r="A31" s="506"/>
      <c r="B31" s="37">
        <v>45329.356249999997</v>
      </c>
      <c r="C31" s="38">
        <v>59.14</v>
      </c>
      <c r="D31" s="38">
        <v>55.26</v>
      </c>
      <c r="E31" s="38">
        <v>52.03</v>
      </c>
      <c r="F31" s="38">
        <v>53.26</v>
      </c>
      <c r="G31" s="38">
        <v>56.62</v>
      </c>
      <c r="H31" s="38">
        <v>60.55</v>
      </c>
      <c r="I31" s="38">
        <v>59.91</v>
      </c>
      <c r="J31" s="38">
        <v>54.43</v>
      </c>
      <c r="K31" s="38">
        <v>64.11</v>
      </c>
      <c r="L31" s="38">
        <v>53.85</v>
      </c>
      <c r="N31" s="33"/>
    </row>
    <row r="32" spans="1:14" s="27" customFormat="1" ht="13.5" customHeight="1" x14ac:dyDescent="0.25">
      <c r="A32" s="506"/>
      <c r="B32" s="37">
        <v>45329.356944444444</v>
      </c>
      <c r="C32" s="38">
        <v>58.43</v>
      </c>
      <c r="D32" s="38">
        <v>54.83</v>
      </c>
      <c r="E32" s="38">
        <v>52.26</v>
      </c>
      <c r="F32" s="38">
        <v>53.49</v>
      </c>
      <c r="G32" s="38">
        <v>56.62</v>
      </c>
      <c r="H32" s="38">
        <v>59.45</v>
      </c>
      <c r="I32" s="38">
        <v>58.73</v>
      </c>
      <c r="J32" s="38">
        <v>54.73</v>
      </c>
      <c r="K32" s="38">
        <v>62.12</v>
      </c>
      <c r="L32" s="38">
        <v>54.03</v>
      </c>
      <c r="N32" s="33"/>
    </row>
    <row r="33" spans="1:14" s="27" customFormat="1" ht="13.5" customHeight="1" x14ac:dyDescent="0.25">
      <c r="A33" s="506"/>
      <c r="B33" s="37">
        <v>45329.357638888891</v>
      </c>
      <c r="C33" s="38">
        <v>57.49</v>
      </c>
      <c r="D33" s="38">
        <v>54.53</v>
      </c>
      <c r="E33" s="38">
        <v>51.57</v>
      </c>
      <c r="F33" s="38">
        <v>52.78</v>
      </c>
      <c r="G33" s="38">
        <v>55.74</v>
      </c>
      <c r="H33" s="38">
        <v>58.62</v>
      </c>
      <c r="I33" s="38">
        <v>57.94</v>
      </c>
      <c r="J33" s="38">
        <v>53.93</v>
      </c>
      <c r="K33" s="38">
        <v>61.34</v>
      </c>
      <c r="L33" s="38">
        <v>53.22</v>
      </c>
      <c r="N33" s="33"/>
    </row>
    <row r="34" spans="1:14" s="27" customFormat="1" ht="13.5" customHeight="1" x14ac:dyDescent="0.25">
      <c r="A34" s="506"/>
      <c r="B34" s="37">
        <v>45329.35833333333</v>
      </c>
      <c r="C34" s="38">
        <v>58.34</v>
      </c>
      <c r="D34" s="38">
        <v>55.27</v>
      </c>
      <c r="E34" s="38">
        <v>52.37</v>
      </c>
      <c r="F34" s="38">
        <v>53.58</v>
      </c>
      <c r="G34" s="38">
        <v>56.33</v>
      </c>
      <c r="H34" s="38">
        <v>59.66</v>
      </c>
      <c r="I34" s="38">
        <v>59.08</v>
      </c>
      <c r="J34" s="38">
        <v>54.74</v>
      </c>
      <c r="K34" s="38">
        <v>62.7</v>
      </c>
      <c r="L34" s="38">
        <v>53.34</v>
      </c>
      <c r="N34" s="33"/>
    </row>
    <row r="35" spans="1:14" s="27" customFormat="1" ht="13.5" customHeight="1" x14ac:dyDescent="0.25">
      <c r="A35" s="506"/>
      <c r="B35" s="37">
        <v>45329.359027777777</v>
      </c>
      <c r="C35" s="38">
        <v>59.57</v>
      </c>
      <c r="D35" s="38">
        <v>56.1</v>
      </c>
      <c r="E35" s="38">
        <v>53.57</v>
      </c>
      <c r="F35" s="38">
        <v>54.59</v>
      </c>
      <c r="G35" s="38">
        <v>57.53</v>
      </c>
      <c r="H35" s="38">
        <v>60.83</v>
      </c>
      <c r="I35" s="38">
        <v>60.21</v>
      </c>
      <c r="J35" s="38">
        <v>55.29</v>
      </c>
      <c r="K35" s="38">
        <v>64.05</v>
      </c>
      <c r="L35" s="38">
        <v>54.74</v>
      </c>
      <c r="N35" s="33"/>
    </row>
    <row r="36" spans="1:14" s="27" customFormat="1" ht="13.5" customHeight="1" x14ac:dyDescent="0.25">
      <c r="A36" s="506"/>
      <c r="B36" s="37">
        <v>45329.359722222223</v>
      </c>
      <c r="C36" s="38">
        <v>59.52</v>
      </c>
      <c r="D36" s="38">
        <v>56.12</v>
      </c>
      <c r="E36" s="38">
        <v>53.66</v>
      </c>
      <c r="F36" s="38">
        <v>54.99</v>
      </c>
      <c r="G36" s="38">
        <v>57.92</v>
      </c>
      <c r="H36" s="38">
        <v>60.5</v>
      </c>
      <c r="I36" s="38">
        <v>59.84</v>
      </c>
      <c r="J36" s="38">
        <v>56.42</v>
      </c>
      <c r="K36" s="38">
        <v>63.1</v>
      </c>
      <c r="L36" s="38">
        <v>55.36</v>
      </c>
      <c r="N36" s="33"/>
    </row>
    <row r="37" spans="1:14" s="27" customFormat="1" ht="13.5" customHeight="1" x14ac:dyDescent="0.25">
      <c r="A37" s="506"/>
      <c r="B37" s="37">
        <v>45329.36041666667</v>
      </c>
      <c r="C37" s="38">
        <v>58.1</v>
      </c>
      <c r="D37" s="38">
        <v>54.95</v>
      </c>
      <c r="E37" s="38">
        <v>52.94</v>
      </c>
      <c r="F37" s="38">
        <v>54.21</v>
      </c>
      <c r="G37" s="38">
        <v>56.62</v>
      </c>
      <c r="H37" s="38">
        <v>59</v>
      </c>
      <c r="I37" s="38">
        <v>58.44</v>
      </c>
      <c r="J37" s="38">
        <v>55.21</v>
      </c>
      <c r="K37" s="38">
        <v>61.42</v>
      </c>
      <c r="L37" s="38">
        <v>54.46</v>
      </c>
      <c r="N37" s="33"/>
    </row>
    <row r="38" spans="1:14" s="27" customFormat="1" ht="13.5" customHeight="1" x14ac:dyDescent="0.25">
      <c r="A38" s="506"/>
      <c r="B38" s="37">
        <v>45329.361111111109</v>
      </c>
      <c r="C38" s="38">
        <v>58.67</v>
      </c>
      <c r="D38" s="38">
        <v>54.38</v>
      </c>
      <c r="E38" s="38">
        <v>53.09</v>
      </c>
      <c r="F38" s="38">
        <v>54.71</v>
      </c>
      <c r="G38" s="38">
        <v>56.99</v>
      </c>
      <c r="H38" s="38">
        <v>59.83</v>
      </c>
      <c r="I38" s="38">
        <v>59.21</v>
      </c>
      <c r="J38" s="38">
        <v>55.31</v>
      </c>
      <c r="K38" s="38">
        <v>62.58</v>
      </c>
      <c r="L38" s="38">
        <v>54.59</v>
      </c>
      <c r="N38" s="33"/>
    </row>
    <row r="39" spans="1:14" s="27" customFormat="1" ht="13.5" customHeight="1" x14ac:dyDescent="0.25">
      <c r="A39" s="506"/>
      <c r="B39" s="37">
        <v>45329.361805555556</v>
      </c>
      <c r="C39" s="38">
        <v>59.89</v>
      </c>
      <c r="D39" s="38">
        <v>57.4</v>
      </c>
      <c r="E39" s="38">
        <v>54.27</v>
      </c>
      <c r="F39" s="38">
        <v>55.65</v>
      </c>
      <c r="G39" s="38">
        <v>57.97</v>
      </c>
      <c r="H39" s="38">
        <v>61.19</v>
      </c>
      <c r="I39" s="38">
        <v>60.51</v>
      </c>
      <c r="J39" s="38">
        <v>55.99</v>
      </c>
      <c r="K39" s="38">
        <v>64.28</v>
      </c>
      <c r="L39" s="38">
        <v>55.68</v>
      </c>
      <c r="N39" s="33"/>
    </row>
    <row r="40" spans="1:14" s="27" customFormat="1" ht="13.5" customHeight="1" x14ac:dyDescent="0.25">
      <c r="A40" s="506"/>
      <c r="B40" s="37">
        <v>45329.362500000003</v>
      </c>
      <c r="C40" s="38">
        <v>60.03</v>
      </c>
      <c r="D40" s="38">
        <v>56.88</v>
      </c>
      <c r="E40" s="38">
        <v>54.64</v>
      </c>
      <c r="F40" s="38">
        <v>55.79</v>
      </c>
      <c r="G40" s="38">
        <v>58.56</v>
      </c>
      <c r="H40" s="38">
        <v>60.88</v>
      </c>
      <c r="I40" s="38">
        <v>60.44</v>
      </c>
      <c r="J40" s="38">
        <v>56.98</v>
      </c>
      <c r="K40" s="38">
        <v>63.33</v>
      </c>
      <c r="L40" s="38">
        <v>56.09</v>
      </c>
      <c r="N40" s="33"/>
    </row>
    <row r="41" spans="1:14" s="27" customFormat="1" ht="13.5" customHeight="1" x14ac:dyDescent="0.25">
      <c r="A41" s="506"/>
      <c r="B41" s="37">
        <v>45329.363194444442</v>
      </c>
      <c r="C41" s="38">
        <v>58.35</v>
      </c>
      <c r="D41" s="38">
        <v>55.71</v>
      </c>
      <c r="E41" s="38">
        <v>53.59</v>
      </c>
      <c r="F41" s="38">
        <v>54.86</v>
      </c>
      <c r="G41" s="38">
        <v>57.24</v>
      </c>
      <c r="H41" s="38">
        <v>59.23</v>
      </c>
      <c r="I41" s="38">
        <v>58.65</v>
      </c>
      <c r="J41" s="38">
        <v>55.74</v>
      </c>
      <c r="K41" s="38">
        <v>61.24</v>
      </c>
      <c r="L41" s="38">
        <v>55.3</v>
      </c>
      <c r="N41" s="33"/>
    </row>
    <row r="42" spans="1:14" s="27" customFormat="1" ht="13.5" customHeight="1" x14ac:dyDescent="0.25">
      <c r="A42" s="506"/>
      <c r="B42" s="37">
        <v>45329.363888888889</v>
      </c>
      <c r="C42" s="38">
        <v>58.73</v>
      </c>
      <c r="D42" s="38">
        <v>55.99</v>
      </c>
      <c r="E42" s="38">
        <v>53.56</v>
      </c>
      <c r="F42" s="38">
        <v>55.26</v>
      </c>
      <c r="G42" s="38">
        <v>57.32</v>
      </c>
      <c r="H42" s="38">
        <v>59.79</v>
      </c>
      <c r="I42" s="38">
        <v>59.29</v>
      </c>
      <c r="J42" s="38">
        <v>56.15</v>
      </c>
      <c r="K42" s="38">
        <v>62.38</v>
      </c>
      <c r="L42" s="38">
        <v>55.28</v>
      </c>
      <c r="N42" s="33"/>
    </row>
    <row r="43" spans="1:14" s="27" customFormat="1" ht="13.5" customHeight="1" x14ac:dyDescent="0.25">
      <c r="A43" s="506"/>
      <c r="B43" s="37">
        <v>45329.364583333336</v>
      </c>
      <c r="C43" s="38">
        <v>60.12</v>
      </c>
      <c r="D43" s="38">
        <v>56.88</v>
      </c>
      <c r="E43" s="38">
        <v>54.68</v>
      </c>
      <c r="F43" s="38">
        <v>55.96</v>
      </c>
      <c r="G43" s="38">
        <v>58.47</v>
      </c>
      <c r="H43" s="38">
        <v>61.24</v>
      </c>
      <c r="I43" s="38">
        <v>60.9</v>
      </c>
      <c r="J43" s="38">
        <v>56.54</v>
      </c>
      <c r="K43" s="38">
        <v>64.16</v>
      </c>
      <c r="L43" s="38">
        <v>56.11</v>
      </c>
      <c r="N43" s="33"/>
    </row>
    <row r="44" spans="1:14" s="27" customFormat="1" ht="13.5" customHeight="1" x14ac:dyDescent="0.25">
      <c r="A44" s="506"/>
      <c r="B44" s="37">
        <v>45329.365277777775</v>
      </c>
      <c r="C44" s="38">
        <v>60.3</v>
      </c>
      <c r="D44" s="38">
        <v>57.22</v>
      </c>
      <c r="E44" s="38">
        <v>55.27</v>
      </c>
      <c r="F44" s="38">
        <v>56.61</v>
      </c>
      <c r="G44" s="38">
        <v>59.03</v>
      </c>
      <c r="H44" s="38">
        <v>61.23</v>
      </c>
      <c r="I44" s="38">
        <v>60.71</v>
      </c>
      <c r="J44" s="38">
        <v>57.23</v>
      </c>
      <c r="K44" s="38">
        <v>63.51</v>
      </c>
      <c r="L44" s="38">
        <v>56.82</v>
      </c>
      <c r="N44" s="33"/>
    </row>
    <row r="45" spans="1:14" s="27" customFormat="1" ht="13.5" customHeight="1" x14ac:dyDescent="0.25">
      <c r="A45" s="506"/>
      <c r="B45" s="37">
        <v>45329.365972222222</v>
      </c>
      <c r="C45" s="38">
        <v>58.68</v>
      </c>
      <c r="D45" s="38">
        <v>55.79</v>
      </c>
      <c r="E45" s="38">
        <v>54.16</v>
      </c>
      <c r="F45" s="38">
        <v>55.4</v>
      </c>
      <c r="G45" s="38">
        <v>57.54</v>
      </c>
      <c r="H45" s="38">
        <v>59.42</v>
      </c>
      <c r="I45" s="38">
        <v>58.95</v>
      </c>
      <c r="J45" s="38">
        <v>56.33</v>
      </c>
      <c r="K45" s="38">
        <v>61.3</v>
      </c>
      <c r="L45" s="38">
        <v>55.72</v>
      </c>
      <c r="N45" s="33"/>
    </row>
    <row r="46" spans="1:14" s="27" customFormat="1" ht="13.5" customHeight="1" x14ac:dyDescent="0.25">
      <c r="A46" s="506"/>
      <c r="B46" s="37">
        <v>45329.366666666669</v>
      </c>
      <c r="C46" s="38">
        <v>59</v>
      </c>
      <c r="D46" s="38">
        <v>56.16</v>
      </c>
      <c r="E46" s="38">
        <v>54.16</v>
      </c>
      <c r="F46" s="38">
        <v>55.51</v>
      </c>
      <c r="G46" s="38">
        <v>57.48</v>
      </c>
      <c r="H46" s="38">
        <v>60.02</v>
      </c>
      <c r="I46" s="38">
        <v>59.53</v>
      </c>
      <c r="J46" s="38">
        <v>56.07</v>
      </c>
      <c r="K46" s="38">
        <v>62.46</v>
      </c>
      <c r="L46" s="38">
        <v>55.27</v>
      </c>
      <c r="N46" s="33"/>
    </row>
    <row r="47" spans="1:14" s="27" customFormat="1" ht="13.5" customHeight="1" x14ac:dyDescent="0.25">
      <c r="A47" s="506"/>
      <c r="B47" s="37">
        <v>45329.367361111108</v>
      </c>
      <c r="C47" s="38">
        <v>60.34</v>
      </c>
      <c r="D47" s="38">
        <v>57.36</v>
      </c>
      <c r="E47" s="38">
        <v>55.01</v>
      </c>
      <c r="F47" s="38">
        <v>56.43</v>
      </c>
      <c r="G47" s="38">
        <v>58.79</v>
      </c>
      <c r="H47" s="38">
        <v>61.46</v>
      </c>
      <c r="I47" s="38">
        <v>61.04</v>
      </c>
      <c r="J47" s="38">
        <v>57.06</v>
      </c>
      <c r="K47" s="38">
        <v>64.27</v>
      </c>
      <c r="L47" s="38">
        <v>56.48</v>
      </c>
      <c r="N47" s="33"/>
    </row>
    <row r="48" spans="1:14" s="27" customFormat="1" ht="13.5" customHeight="1" x14ac:dyDescent="0.25">
      <c r="A48" s="506"/>
      <c r="B48" s="37">
        <v>45329.368055555555</v>
      </c>
      <c r="C48" s="38">
        <v>60.31</v>
      </c>
      <c r="D48" s="38">
        <v>58.16</v>
      </c>
      <c r="E48" s="38">
        <v>55.58</v>
      </c>
      <c r="F48" s="38">
        <v>56.86</v>
      </c>
      <c r="G48" s="38">
        <v>59.21</v>
      </c>
      <c r="H48" s="38">
        <v>61.15</v>
      </c>
      <c r="I48" s="38">
        <v>60.67</v>
      </c>
      <c r="J48" s="38">
        <v>57.64</v>
      </c>
      <c r="K48" s="38">
        <v>63.3</v>
      </c>
      <c r="L48" s="38">
        <v>56.97</v>
      </c>
      <c r="N48" s="33"/>
    </row>
    <row r="49" spans="1:14" s="27" customFormat="1" ht="13.5" customHeight="1" x14ac:dyDescent="0.25">
      <c r="A49" s="506"/>
      <c r="B49" s="37">
        <v>45329.368750000001</v>
      </c>
      <c r="C49" s="38">
        <v>58.81</v>
      </c>
      <c r="D49" s="38">
        <v>56.34</v>
      </c>
      <c r="E49" s="38">
        <v>54.29</v>
      </c>
      <c r="F49" s="38">
        <v>55.76</v>
      </c>
      <c r="G49" s="38">
        <v>57.74</v>
      </c>
      <c r="H49" s="38">
        <v>59.53</v>
      </c>
      <c r="I49" s="38">
        <v>59.12</v>
      </c>
      <c r="J49" s="38">
        <v>56.24</v>
      </c>
      <c r="K49" s="38">
        <v>61.4</v>
      </c>
      <c r="L49" s="38">
        <v>55.85</v>
      </c>
      <c r="N49" s="33"/>
    </row>
    <row r="50" spans="1:14" s="27" customFormat="1" ht="13.5" customHeight="1" x14ac:dyDescent="0.25">
      <c r="A50" s="506"/>
      <c r="B50" s="37">
        <v>45329.369444444441</v>
      </c>
      <c r="C50" s="38">
        <v>59.31</v>
      </c>
      <c r="D50" s="38">
        <v>56.52</v>
      </c>
      <c r="E50" s="38">
        <v>54.64</v>
      </c>
      <c r="F50" s="38">
        <v>55.94</v>
      </c>
      <c r="G50" s="38">
        <v>57.92</v>
      </c>
      <c r="H50" s="38">
        <v>60.31</v>
      </c>
      <c r="I50" s="38">
        <v>59.86</v>
      </c>
      <c r="J50" s="38">
        <v>56.29</v>
      </c>
      <c r="K50" s="38">
        <v>62.73</v>
      </c>
      <c r="L50" s="38">
        <v>55.92</v>
      </c>
      <c r="N50" s="33"/>
    </row>
    <row r="51" spans="1:14" s="27" customFormat="1" ht="13.5" customHeight="1" x14ac:dyDescent="0.25">
      <c r="A51" s="506"/>
      <c r="B51" s="37">
        <v>45329.370138888888</v>
      </c>
      <c r="C51" s="38">
        <v>60.7</v>
      </c>
      <c r="D51" s="38">
        <v>58.17</v>
      </c>
      <c r="E51" s="38">
        <v>55.74</v>
      </c>
      <c r="F51" s="38">
        <v>56.97</v>
      </c>
      <c r="G51" s="38">
        <v>59.13</v>
      </c>
      <c r="H51" s="38">
        <v>61.85</v>
      </c>
      <c r="I51" s="38">
        <v>61.37</v>
      </c>
      <c r="J51" s="38">
        <v>57.55</v>
      </c>
      <c r="K51" s="38">
        <v>64.58</v>
      </c>
      <c r="L51" s="38">
        <v>57.09</v>
      </c>
      <c r="N51" s="33"/>
    </row>
    <row r="52" spans="1:14" s="27" customFormat="1" ht="13.5" customHeight="1" x14ac:dyDescent="0.25">
      <c r="A52" s="506"/>
      <c r="B52" s="37">
        <v>45329.370833333334</v>
      </c>
      <c r="C52" s="38">
        <v>60.35</v>
      </c>
      <c r="D52" s="38">
        <v>57.75</v>
      </c>
      <c r="E52" s="38">
        <v>55.75</v>
      </c>
      <c r="F52" s="38">
        <v>57.17</v>
      </c>
      <c r="G52" s="38">
        <v>59.33</v>
      </c>
      <c r="H52" s="38">
        <v>61.1</v>
      </c>
      <c r="I52" s="38">
        <v>60.74</v>
      </c>
      <c r="J52" s="38">
        <v>57.96</v>
      </c>
      <c r="K52" s="38">
        <v>63.11</v>
      </c>
      <c r="L52" s="38">
        <v>57.18</v>
      </c>
      <c r="N52" s="33"/>
    </row>
    <row r="53" spans="1:14" s="27" customFormat="1" ht="13.5" customHeight="1" x14ac:dyDescent="0.25">
      <c r="A53" s="506"/>
      <c r="B53" s="37">
        <v>45329.371527777781</v>
      </c>
      <c r="C53" s="38">
        <v>58.78</v>
      </c>
      <c r="D53" s="38">
        <v>56.19</v>
      </c>
      <c r="E53" s="38">
        <v>54.68</v>
      </c>
      <c r="F53" s="38">
        <v>56.25</v>
      </c>
      <c r="G53" s="38">
        <v>57.87</v>
      </c>
      <c r="H53" s="38">
        <v>59.53</v>
      </c>
      <c r="I53" s="38">
        <v>59.05</v>
      </c>
      <c r="J53" s="38">
        <v>56.6</v>
      </c>
      <c r="K53" s="38">
        <v>61.3</v>
      </c>
      <c r="L53" s="38">
        <v>56.34</v>
      </c>
      <c r="N53" s="33"/>
    </row>
    <row r="54" spans="1:14" s="27" customFormat="1" ht="13.5" customHeight="1" x14ac:dyDescent="0.25">
      <c r="A54" s="506"/>
      <c r="B54" s="37">
        <v>45329.37222222222</v>
      </c>
      <c r="C54" s="38">
        <v>59.41</v>
      </c>
      <c r="D54" s="38">
        <v>56.76</v>
      </c>
      <c r="E54" s="38">
        <v>54.79</v>
      </c>
      <c r="F54" s="38">
        <v>56.1</v>
      </c>
      <c r="G54" s="38">
        <v>58.09</v>
      </c>
      <c r="H54" s="38">
        <v>60.34</v>
      </c>
      <c r="I54" s="38">
        <v>59.85</v>
      </c>
      <c r="J54" s="38">
        <v>56.45</v>
      </c>
      <c r="K54" s="38">
        <v>62.73</v>
      </c>
      <c r="L54" s="38">
        <v>56.24</v>
      </c>
      <c r="N54" s="33"/>
    </row>
    <row r="55" spans="1:14" s="27" customFormat="1" ht="13.5" customHeight="1" x14ac:dyDescent="0.25">
      <c r="A55" s="507"/>
      <c r="B55" s="37">
        <v>45329.372916666667</v>
      </c>
      <c r="C55" s="38">
        <v>60.82</v>
      </c>
      <c r="D55" s="38">
        <v>58.04</v>
      </c>
      <c r="E55" s="38">
        <v>55.65</v>
      </c>
      <c r="F55" s="38">
        <v>57.28</v>
      </c>
      <c r="G55" s="38">
        <v>59.34</v>
      </c>
      <c r="H55" s="38">
        <v>62.05</v>
      </c>
      <c r="I55" s="38">
        <v>61.44</v>
      </c>
      <c r="J55" s="38">
        <v>57.98</v>
      </c>
      <c r="K55" s="38">
        <v>64.77</v>
      </c>
      <c r="L55" s="38">
        <v>57.08</v>
      </c>
      <c r="N55" s="33"/>
    </row>
    <row r="56" spans="1:14" s="27" customFormat="1" ht="13.5" customHeight="1" x14ac:dyDescent="0.25">
      <c r="A56" s="503" t="s">
        <v>89</v>
      </c>
      <c r="B56" s="39">
        <v>45329.373611111114</v>
      </c>
      <c r="C56" s="40">
        <v>60.7</v>
      </c>
      <c r="D56" s="40">
        <v>58.46</v>
      </c>
      <c r="E56" s="40">
        <v>56.18</v>
      </c>
      <c r="F56" s="40">
        <v>57.45</v>
      </c>
      <c r="G56" s="40">
        <v>59.59</v>
      </c>
      <c r="H56" s="40">
        <v>61.39</v>
      </c>
      <c r="I56" s="40">
        <v>60.84</v>
      </c>
      <c r="J56" s="40">
        <v>58.23</v>
      </c>
      <c r="K56" s="40">
        <v>63.34</v>
      </c>
      <c r="L56" s="40">
        <v>57.42</v>
      </c>
      <c r="N56" s="33"/>
    </row>
    <row r="57" spans="1:14" s="27" customFormat="1" ht="13.5" customHeight="1" x14ac:dyDescent="0.25">
      <c r="A57" s="504"/>
      <c r="B57" s="39">
        <v>45329.374305555553</v>
      </c>
      <c r="C57" s="40">
        <v>58.97</v>
      </c>
      <c r="D57" s="40">
        <v>56.72</v>
      </c>
      <c r="E57" s="40">
        <v>54.88</v>
      </c>
      <c r="F57" s="40">
        <v>56.26</v>
      </c>
      <c r="G57" s="40">
        <v>58.15</v>
      </c>
      <c r="H57" s="40">
        <v>59.8</v>
      </c>
      <c r="I57" s="40">
        <v>59.29</v>
      </c>
      <c r="J57" s="40">
        <v>57.16</v>
      </c>
      <c r="K57" s="40">
        <v>61.49</v>
      </c>
      <c r="L57" s="40">
        <v>56.47</v>
      </c>
      <c r="N57" s="33"/>
    </row>
    <row r="58" spans="1:14" s="27" customFormat="1" ht="13.5" customHeight="1" x14ac:dyDescent="0.25">
      <c r="A58" s="504"/>
      <c r="B58" s="39">
        <v>45329.375</v>
      </c>
      <c r="C58" s="40">
        <v>59.6</v>
      </c>
      <c r="D58" s="40">
        <v>56.68</v>
      </c>
      <c r="E58" s="40">
        <v>54.98</v>
      </c>
      <c r="F58" s="40">
        <v>56.52</v>
      </c>
      <c r="G58" s="40">
        <v>58.22</v>
      </c>
      <c r="H58" s="40">
        <v>60.51</v>
      </c>
      <c r="I58" s="40">
        <v>60.11</v>
      </c>
      <c r="J58" s="40">
        <v>56.74</v>
      </c>
      <c r="K58" s="40">
        <v>62.88</v>
      </c>
      <c r="L58" s="40">
        <v>56.38</v>
      </c>
      <c r="N58" s="33"/>
    </row>
    <row r="59" spans="1:14" s="27" customFormat="1" ht="13.5" customHeight="1" x14ac:dyDescent="0.25">
      <c r="A59" s="504"/>
      <c r="B59" s="39">
        <v>45329.375694444447</v>
      </c>
      <c r="C59" s="40">
        <v>61</v>
      </c>
      <c r="D59" s="40">
        <v>58.14</v>
      </c>
      <c r="E59" s="40">
        <v>56.09</v>
      </c>
      <c r="F59" s="40">
        <v>57.64</v>
      </c>
      <c r="G59" s="40">
        <v>59.64</v>
      </c>
      <c r="H59" s="40">
        <v>62.05</v>
      </c>
      <c r="I59" s="40">
        <v>61.6</v>
      </c>
      <c r="J59" s="40">
        <v>57.81</v>
      </c>
      <c r="K59" s="40">
        <v>64.7</v>
      </c>
      <c r="L59" s="40">
        <v>57.41</v>
      </c>
      <c r="N59" s="33"/>
    </row>
    <row r="60" spans="1:14" s="27" customFormat="1" ht="13.5" customHeight="1" x14ac:dyDescent="0.25">
      <c r="A60" s="504"/>
      <c r="B60" s="39">
        <v>45329.376388888886</v>
      </c>
      <c r="C60" s="40">
        <v>60.34</v>
      </c>
      <c r="D60" s="40">
        <v>57.92</v>
      </c>
      <c r="E60" s="40">
        <v>55.84</v>
      </c>
      <c r="F60" s="40">
        <v>57.61</v>
      </c>
      <c r="G60" s="40">
        <v>59.51</v>
      </c>
      <c r="H60" s="40">
        <v>61.08</v>
      </c>
      <c r="I60" s="40">
        <v>60.72</v>
      </c>
      <c r="J60" s="40">
        <v>58.2</v>
      </c>
      <c r="K60" s="40">
        <v>62.99</v>
      </c>
      <c r="L60" s="40">
        <v>57.42</v>
      </c>
      <c r="N60" s="33"/>
    </row>
    <row r="61" spans="1:14" s="27" customFormat="1" ht="13.5" customHeight="1" x14ac:dyDescent="0.25">
      <c r="A61" s="504"/>
      <c r="B61" s="39">
        <v>45329.377083333333</v>
      </c>
      <c r="C61" s="40">
        <v>58.98</v>
      </c>
      <c r="D61" s="40">
        <v>57.28</v>
      </c>
      <c r="E61" s="40">
        <v>54.94</v>
      </c>
      <c r="F61" s="40">
        <v>56.47</v>
      </c>
      <c r="G61" s="40">
        <v>58.06</v>
      </c>
      <c r="H61" s="40">
        <v>59.74</v>
      </c>
      <c r="I61" s="40">
        <v>59.29</v>
      </c>
      <c r="J61" s="40">
        <v>56.9</v>
      </c>
      <c r="K61" s="40">
        <v>61.49</v>
      </c>
      <c r="L61" s="40">
        <v>56.48</v>
      </c>
      <c r="N61" s="33"/>
    </row>
    <row r="62" spans="1:14" s="27" customFormat="1" ht="13.5" customHeight="1" x14ac:dyDescent="0.25">
      <c r="A62" s="504"/>
      <c r="B62" s="39">
        <v>45329.37777777778</v>
      </c>
      <c r="C62" s="40">
        <v>59.83</v>
      </c>
      <c r="D62" s="40">
        <v>57.95</v>
      </c>
      <c r="E62" s="40">
        <v>55.36</v>
      </c>
      <c r="F62" s="40">
        <v>56.65</v>
      </c>
      <c r="G62" s="40">
        <v>58.47</v>
      </c>
      <c r="H62" s="40">
        <v>60.73</v>
      </c>
      <c r="I62" s="40">
        <v>60.36</v>
      </c>
      <c r="J62" s="40">
        <v>56.87</v>
      </c>
      <c r="K62" s="40">
        <v>63.19</v>
      </c>
      <c r="L62" s="40">
        <v>56.53</v>
      </c>
      <c r="N62" s="33"/>
    </row>
    <row r="63" spans="1:14" s="27" customFormat="1" ht="13.5" customHeight="1" x14ac:dyDescent="0.25">
      <c r="A63" s="504"/>
      <c r="B63" s="39">
        <v>45329.378472222219</v>
      </c>
      <c r="C63" s="40">
        <v>61.27</v>
      </c>
      <c r="D63" s="40">
        <v>58.8</v>
      </c>
      <c r="E63" s="40">
        <v>56.32</v>
      </c>
      <c r="F63" s="40">
        <v>57.8</v>
      </c>
      <c r="G63" s="40">
        <v>59.82</v>
      </c>
      <c r="H63" s="40">
        <v>62.32</v>
      </c>
      <c r="I63" s="40">
        <v>61.84</v>
      </c>
      <c r="J63" s="40">
        <v>58.33</v>
      </c>
      <c r="K63" s="40">
        <v>64.849999999999994</v>
      </c>
      <c r="L63" s="40">
        <v>57.37</v>
      </c>
      <c r="N63" s="33"/>
    </row>
    <row r="64" spans="1:14" s="27" customFormat="1" ht="13.5" customHeight="1" x14ac:dyDescent="0.25">
      <c r="A64" s="504"/>
      <c r="B64" s="39">
        <v>45329.379166666666</v>
      </c>
      <c r="C64" s="40">
        <v>59.87</v>
      </c>
      <c r="D64" s="40">
        <v>57.39</v>
      </c>
      <c r="E64" s="40">
        <v>55.83</v>
      </c>
      <c r="F64" s="40">
        <v>57.38</v>
      </c>
      <c r="G64" s="40">
        <v>59.17</v>
      </c>
      <c r="H64" s="40">
        <v>60.54</v>
      </c>
      <c r="I64" s="40">
        <v>60.06</v>
      </c>
      <c r="J64" s="40">
        <v>57.6</v>
      </c>
      <c r="K64" s="40">
        <v>62.26</v>
      </c>
      <c r="L64" s="40">
        <v>57.28</v>
      </c>
      <c r="N64" s="33"/>
    </row>
    <row r="65" spans="1:14" s="27" customFormat="1" ht="13.5" customHeight="1" x14ac:dyDescent="0.25">
      <c r="A65" s="504"/>
      <c r="B65" s="39">
        <v>45329.379861111112</v>
      </c>
      <c r="C65" s="40">
        <v>59.06</v>
      </c>
      <c r="D65" s="40">
        <v>56.37</v>
      </c>
      <c r="E65" s="40">
        <v>55.14</v>
      </c>
      <c r="F65" s="40">
        <v>56.57</v>
      </c>
      <c r="G65" s="40">
        <v>58.15</v>
      </c>
      <c r="H65" s="40">
        <v>59.91</v>
      </c>
      <c r="I65" s="40">
        <v>59.48</v>
      </c>
      <c r="J65" s="40">
        <v>56.5</v>
      </c>
      <c r="K65" s="40">
        <v>61.78</v>
      </c>
      <c r="L65" s="40">
        <v>56.4</v>
      </c>
      <c r="N65" s="33"/>
    </row>
    <row r="66" spans="1:14" s="27" customFormat="1" ht="13.5" customHeight="1" x14ac:dyDescent="0.25">
      <c r="A66" s="504"/>
      <c r="B66" s="39">
        <v>45329.380555555559</v>
      </c>
      <c r="C66" s="40">
        <v>60.25</v>
      </c>
      <c r="D66" s="40">
        <v>57.25</v>
      </c>
      <c r="E66" s="40">
        <v>55.59</v>
      </c>
      <c r="F66" s="40">
        <v>57.16</v>
      </c>
      <c r="G66" s="40">
        <v>58.89</v>
      </c>
      <c r="H66" s="40">
        <v>61.24</v>
      </c>
      <c r="I66" s="40">
        <v>60.85</v>
      </c>
      <c r="J66" s="40">
        <v>57.69</v>
      </c>
      <c r="K66" s="40">
        <v>63.71</v>
      </c>
      <c r="L66" s="40">
        <v>56.79</v>
      </c>
      <c r="N66" s="33"/>
    </row>
    <row r="67" spans="1:14" s="27" customFormat="1" ht="13.5" customHeight="1" x14ac:dyDescent="0.25">
      <c r="A67" s="504"/>
      <c r="B67" s="39">
        <v>45329.381249999999</v>
      </c>
      <c r="C67" s="40">
        <v>61.35</v>
      </c>
      <c r="D67" s="40">
        <v>57.82</v>
      </c>
      <c r="E67" s="40">
        <v>56.71</v>
      </c>
      <c r="F67" s="40">
        <v>58.23</v>
      </c>
      <c r="G67" s="40">
        <v>60.12</v>
      </c>
      <c r="H67" s="40">
        <v>62.17</v>
      </c>
      <c r="I67" s="40">
        <v>61.85</v>
      </c>
      <c r="J67" s="40">
        <v>58.04</v>
      </c>
      <c r="K67" s="40">
        <v>64.569999999999993</v>
      </c>
      <c r="L67" s="40">
        <v>58.04</v>
      </c>
      <c r="N67" s="33"/>
    </row>
    <row r="68" spans="1:14" s="27" customFormat="1" ht="13.5" customHeight="1" x14ac:dyDescent="0.25">
      <c r="A68" s="504"/>
      <c r="B68" s="39">
        <v>45329.381944444445</v>
      </c>
      <c r="C68" s="40">
        <v>59.55</v>
      </c>
      <c r="D68" s="40">
        <v>57.37</v>
      </c>
      <c r="E68" s="40">
        <v>55.56</v>
      </c>
      <c r="F68" s="40">
        <v>57.17</v>
      </c>
      <c r="G68" s="40">
        <v>58.85</v>
      </c>
      <c r="H68" s="40">
        <v>60.04</v>
      </c>
      <c r="I68" s="40">
        <v>59.58</v>
      </c>
      <c r="J68" s="40">
        <v>57.78</v>
      </c>
      <c r="K68" s="40">
        <v>61.54</v>
      </c>
      <c r="L68" s="40">
        <v>57.33</v>
      </c>
      <c r="N68" s="33"/>
    </row>
    <row r="69" spans="1:14" s="27" customFormat="1" ht="13.5" customHeight="1" x14ac:dyDescent="0.25">
      <c r="A69" s="504"/>
      <c r="B69" s="39">
        <v>45329.382638888892</v>
      </c>
      <c r="C69" s="40">
        <v>59.26</v>
      </c>
      <c r="D69" s="40">
        <v>57.28</v>
      </c>
      <c r="E69" s="40">
        <v>55.05</v>
      </c>
      <c r="F69" s="40">
        <v>56.78</v>
      </c>
      <c r="G69" s="40">
        <v>58.29</v>
      </c>
      <c r="H69" s="40">
        <v>60.09</v>
      </c>
      <c r="I69" s="40">
        <v>59.71</v>
      </c>
      <c r="J69" s="40">
        <v>56.99</v>
      </c>
      <c r="K69" s="40">
        <v>62.18</v>
      </c>
      <c r="L69" s="40">
        <v>56.46</v>
      </c>
      <c r="N69" s="33"/>
    </row>
    <row r="70" spans="1:14" s="27" customFormat="1" ht="13.5" customHeight="1" x14ac:dyDescent="0.25">
      <c r="A70" s="504"/>
      <c r="B70" s="39">
        <v>45329.383333333331</v>
      </c>
      <c r="C70" s="40">
        <v>60.75</v>
      </c>
      <c r="D70" s="40">
        <v>57.81</v>
      </c>
      <c r="E70" s="40">
        <v>55.92</v>
      </c>
      <c r="F70" s="40">
        <v>57.47</v>
      </c>
      <c r="G70" s="40">
        <v>59.31</v>
      </c>
      <c r="H70" s="40">
        <v>61.69</v>
      </c>
      <c r="I70" s="40">
        <v>61.21</v>
      </c>
      <c r="J70" s="40">
        <v>57.66</v>
      </c>
      <c r="K70" s="40">
        <v>64.2</v>
      </c>
      <c r="L70" s="40">
        <v>57.37</v>
      </c>
      <c r="N70" s="33"/>
    </row>
    <row r="71" spans="1:14" s="27" customFormat="1" ht="13.5" customHeight="1" x14ac:dyDescent="0.25">
      <c r="A71" s="504"/>
      <c r="B71" s="39">
        <v>45329.384027777778</v>
      </c>
      <c r="C71" s="40">
        <v>60.98</v>
      </c>
      <c r="D71" s="40">
        <v>58.77</v>
      </c>
      <c r="E71" s="40">
        <v>56.59</v>
      </c>
      <c r="F71" s="40">
        <v>58.09</v>
      </c>
      <c r="G71" s="40">
        <v>59.97</v>
      </c>
      <c r="H71" s="40">
        <v>61.76</v>
      </c>
      <c r="I71" s="40">
        <v>61.28</v>
      </c>
      <c r="J71" s="40">
        <v>58.61</v>
      </c>
      <c r="K71" s="40">
        <v>63.65</v>
      </c>
      <c r="L71" s="40">
        <v>57.9</v>
      </c>
      <c r="N71" s="33"/>
    </row>
    <row r="72" spans="1:14" s="27" customFormat="1" ht="13.5" customHeight="1" x14ac:dyDescent="0.25">
      <c r="A72" s="504"/>
      <c r="B72" s="39">
        <v>45329.384722222225</v>
      </c>
      <c r="C72" s="40">
        <v>59.4</v>
      </c>
      <c r="D72" s="40">
        <v>56.8</v>
      </c>
      <c r="E72" s="40">
        <v>55.44</v>
      </c>
      <c r="F72" s="40">
        <v>57.01</v>
      </c>
      <c r="G72" s="40">
        <v>58.56</v>
      </c>
      <c r="H72" s="40">
        <v>60.03</v>
      </c>
      <c r="I72" s="40">
        <v>59.63</v>
      </c>
      <c r="J72" s="40">
        <v>57.66</v>
      </c>
      <c r="K72" s="40">
        <v>61.7</v>
      </c>
      <c r="L72" s="40">
        <v>56.98</v>
      </c>
      <c r="N72" s="33"/>
    </row>
    <row r="73" spans="1:14" s="27" customFormat="1" ht="13.5" customHeight="1" x14ac:dyDescent="0.25">
      <c r="A73" s="504"/>
      <c r="B73" s="39">
        <v>45329.385416666664</v>
      </c>
      <c r="C73" s="40">
        <v>59.8</v>
      </c>
      <c r="D73" s="40">
        <v>57.17</v>
      </c>
      <c r="E73" s="40">
        <v>55.4</v>
      </c>
      <c r="F73" s="40">
        <v>56.92</v>
      </c>
      <c r="G73" s="40">
        <v>58.63</v>
      </c>
      <c r="H73" s="40">
        <v>60.66</v>
      </c>
      <c r="I73" s="40">
        <v>60.28</v>
      </c>
      <c r="J73" s="40">
        <v>57.23</v>
      </c>
      <c r="K73" s="40">
        <v>62.86</v>
      </c>
      <c r="L73" s="40">
        <v>56.7</v>
      </c>
      <c r="N73" s="33"/>
    </row>
    <row r="74" spans="1:14" s="27" customFormat="1" ht="13.5" customHeight="1" x14ac:dyDescent="0.25">
      <c r="A74" s="504"/>
      <c r="B74" s="39">
        <v>45329.386111111111</v>
      </c>
      <c r="C74" s="40">
        <v>61.2</v>
      </c>
      <c r="D74" s="40">
        <v>58.13</v>
      </c>
      <c r="E74" s="40">
        <v>56.46</v>
      </c>
      <c r="F74" s="40">
        <v>58.1</v>
      </c>
      <c r="G74" s="40">
        <v>59.83</v>
      </c>
      <c r="H74" s="40">
        <v>62.22</v>
      </c>
      <c r="I74" s="40">
        <v>61.94</v>
      </c>
      <c r="J74" s="40">
        <v>58.38</v>
      </c>
      <c r="K74" s="40">
        <v>64.8</v>
      </c>
      <c r="L74" s="40">
        <v>57.86</v>
      </c>
      <c r="N74" s="33"/>
    </row>
    <row r="75" spans="1:14" s="27" customFormat="1" ht="13.5" customHeight="1" x14ac:dyDescent="0.25">
      <c r="A75" s="504"/>
      <c r="B75" s="39">
        <v>45329.386805555558</v>
      </c>
      <c r="C75" s="40">
        <v>60.59</v>
      </c>
      <c r="D75" s="40">
        <v>58.16</v>
      </c>
      <c r="E75" s="40">
        <v>56.49</v>
      </c>
      <c r="F75" s="40">
        <v>57.8</v>
      </c>
      <c r="G75" s="40">
        <v>59.73</v>
      </c>
      <c r="H75" s="40">
        <v>61.19</v>
      </c>
      <c r="I75" s="40">
        <v>60.81</v>
      </c>
      <c r="J75" s="40">
        <v>58.49</v>
      </c>
      <c r="K75" s="40">
        <v>62.83</v>
      </c>
      <c r="L75" s="40">
        <v>57.93</v>
      </c>
      <c r="N75" s="33"/>
    </row>
    <row r="76" spans="1:14" s="27" customFormat="1" ht="13.5" customHeight="1" x14ac:dyDescent="0.25">
      <c r="A76" s="504"/>
      <c r="B76" s="39">
        <v>45329.387499999997</v>
      </c>
      <c r="C76" s="40">
        <v>59.17</v>
      </c>
      <c r="D76" s="40">
        <v>57.28</v>
      </c>
      <c r="E76" s="40">
        <v>55.27</v>
      </c>
      <c r="F76" s="40">
        <v>56.9</v>
      </c>
      <c r="G76" s="40">
        <v>58.39</v>
      </c>
      <c r="H76" s="40">
        <v>59.97</v>
      </c>
      <c r="I76" s="40">
        <v>59.52</v>
      </c>
      <c r="J76" s="40">
        <v>57.23</v>
      </c>
      <c r="K76" s="40">
        <v>61.7</v>
      </c>
      <c r="L76" s="40">
        <v>56.64</v>
      </c>
      <c r="N76" s="33"/>
    </row>
    <row r="77" spans="1:14" s="27" customFormat="1" ht="13.5" customHeight="1" x14ac:dyDescent="0.25">
      <c r="A77" s="504"/>
      <c r="B77" s="39">
        <v>45329.388194444444</v>
      </c>
      <c r="C77" s="40">
        <v>60.18</v>
      </c>
      <c r="D77" s="40">
        <v>57.62</v>
      </c>
      <c r="E77" s="40">
        <v>55.84</v>
      </c>
      <c r="F77" s="40">
        <v>57.34</v>
      </c>
      <c r="G77" s="40">
        <v>58.96</v>
      </c>
      <c r="H77" s="40">
        <v>61.14</v>
      </c>
      <c r="I77" s="40">
        <v>60.75</v>
      </c>
      <c r="J77" s="40">
        <v>57.66</v>
      </c>
      <c r="K77" s="40">
        <v>63.5</v>
      </c>
      <c r="L77" s="40">
        <v>57.16</v>
      </c>
      <c r="N77" s="33"/>
    </row>
    <row r="78" spans="1:14" s="27" customFormat="1" ht="13.5" customHeight="1" x14ac:dyDescent="0.25">
      <c r="A78" s="504"/>
      <c r="B78" s="39">
        <v>45329.388888888891</v>
      </c>
      <c r="C78" s="40">
        <v>61.52</v>
      </c>
      <c r="D78" s="40">
        <v>59.17</v>
      </c>
      <c r="E78" s="40">
        <v>56.79</v>
      </c>
      <c r="F78" s="40">
        <v>58.59</v>
      </c>
      <c r="G78" s="40">
        <v>60.24</v>
      </c>
      <c r="H78" s="40">
        <v>62.5</v>
      </c>
      <c r="I78" s="40">
        <v>62.02</v>
      </c>
      <c r="J78" s="40">
        <v>58.8</v>
      </c>
      <c r="K78" s="40">
        <v>64.81</v>
      </c>
      <c r="L78" s="40">
        <v>58.27</v>
      </c>
      <c r="N78" s="33"/>
    </row>
    <row r="79" spans="1:14" s="27" customFormat="1" ht="13.5" customHeight="1" x14ac:dyDescent="0.25">
      <c r="A79" s="504"/>
      <c r="B79" s="39">
        <v>45329.38958333333</v>
      </c>
      <c r="C79" s="40">
        <v>60.01</v>
      </c>
      <c r="D79" s="40">
        <v>57.65</v>
      </c>
      <c r="E79" s="40">
        <v>56.03</v>
      </c>
      <c r="F79" s="40">
        <v>57.76</v>
      </c>
      <c r="G79" s="40">
        <v>59.42</v>
      </c>
      <c r="H79" s="40">
        <v>60.52</v>
      </c>
      <c r="I79" s="40">
        <v>60.18</v>
      </c>
      <c r="J79" s="40">
        <v>58.45</v>
      </c>
      <c r="K79" s="40">
        <v>62.14</v>
      </c>
      <c r="L79" s="40">
        <v>57.65</v>
      </c>
      <c r="N79" s="33"/>
    </row>
    <row r="80" spans="1:14" s="27" customFormat="1" ht="13.5" customHeight="1" x14ac:dyDescent="0.25">
      <c r="A80" s="504"/>
      <c r="B80" s="39">
        <v>45329.390277777777</v>
      </c>
      <c r="C80" s="40">
        <v>59.27</v>
      </c>
      <c r="D80" s="40">
        <v>57.29</v>
      </c>
      <c r="E80" s="40">
        <v>55.37</v>
      </c>
      <c r="F80" s="40">
        <v>56.9</v>
      </c>
      <c r="G80" s="40">
        <v>58.32</v>
      </c>
      <c r="H80" s="40">
        <v>60.03</v>
      </c>
      <c r="I80" s="40">
        <v>59.52</v>
      </c>
      <c r="J80" s="40">
        <v>57.27</v>
      </c>
      <c r="K80" s="40">
        <v>61.84</v>
      </c>
      <c r="L80" s="40">
        <v>56.63</v>
      </c>
      <c r="N80" s="33"/>
    </row>
    <row r="81" spans="1:16" s="27" customFormat="1" ht="13.5" customHeight="1" x14ac:dyDescent="0.25">
      <c r="A81" s="504"/>
      <c r="B81" s="39">
        <v>45329.390972222223</v>
      </c>
      <c r="C81" s="40">
        <v>60.54</v>
      </c>
      <c r="D81" s="40">
        <v>57.71</v>
      </c>
      <c r="E81" s="40">
        <v>56.01</v>
      </c>
      <c r="F81" s="40">
        <v>57.75</v>
      </c>
      <c r="G81" s="40">
        <v>59.14</v>
      </c>
      <c r="H81" s="40">
        <v>61.47</v>
      </c>
      <c r="I81" s="40">
        <v>61.02</v>
      </c>
      <c r="J81" s="40">
        <v>58.07</v>
      </c>
      <c r="K81" s="40">
        <v>63.85</v>
      </c>
      <c r="L81" s="40">
        <v>57.34</v>
      </c>
      <c r="N81" s="33"/>
    </row>
    <row r="82" spans="1:16" s="27" customFormat="1" ht="13.5" customHeight="1" x14ac:dyDescent="0.25">
      <c r="A82" s="504"/>
      <c r="B82" s="39">
        <v>45329.39166666667</v>
      </c>
      <c r="C82" s="40">
        <v>61.37</v>
      </c>
      <c r="D82" s="40">
        <v>58.16</v>
      </c>
      <c r="E82" s="40">
        <v>56.73</v>
      </c>
      <c r="F82" s="40">
        <v>58.42</v>
      </c>
      <c r="G82" s="40">
        <v>60.28</v>
      </c>
      <c r="H82" s="40">
        <v>62.19</v>
      </c>
      <c r="I82" s="40">
        <v>61.79</v>
      </c>
      <c r="J82" s="40">
        <v>59.12</v>
      </c>
      <c r="K82" s="40">
        <v>64.400000000000006</v>
      </c>
      <c r="L82" s="40">
        <v>58.14</v>
      </c>
      <c r="N82" s="33"/>
    </row>
    <row r="83" spans="1:16" s="27" customFormat="1" ht="13.5" customHeight="1" x14ac:dyDescent="0.25">
      <c r="A83" s="504"/>
      <c r="B83" s="39">
        <v>45329.392361111109</v>
      </c>
      <c r="C83" s="40">
        <v>59.68</v>
      </c>
      <c r="D83" s="40">
        <v>57.32</v>
      </c>
      <c r="E83" s="40">
        <v>55.84</v>
      </c>
      <c r="F83" s="40">
        <v>57.37</v>
      </c>
      <c r="G83" s="40">
        <v>58.93</v>
      </c>
      <c r="H83" s="40">
        <v>60.29</v>
      </c>
      <c r="I83" s="40">
        <v>59.84</v>
      </c>
      <c r="J83" s="40">
        <v>57.88</v>
      </c>
      <c r="K83" s="40">
        <v>61.73</v>
      </c>
      <c r="L83" s="40">
        <v>57.55</v>
      </c>
      <c r="N83" s="33"/>
    </row>
    <row r="84" spans="1:16" s="27" customFormat="1" ht="13.5" customHeight="1" x14ac:dyDescent="0.25">
      <c r="A84" s="504"/>
      <c r="B84" s="39">
        <v>45329.393055555556</v>
      </c>
      <c r="C84" s="40">
        <v>59.58</v>
      </c>
      <c r="D84" s="40">
        <v>57.64</v>
      </c>
      <c r="E84" s="40">
        <v>55.44</v>
      </c>
      <c r="F84" s="40">
        <v>57.04</v>
      </c>
      <c r="G84" s="40">
        <v>58.51</v>
      </c>
      <c r="H84" s="40">
        <v>60.37</v>
      </c>
      <c r="I84" s="40">
        <v>59.92</v>
      </c>
      <c r="J84" s="40">
        <v>57.58</v>
      </c>
      <c r="K84" s="40">
        <v>62.48</v>
      </c>
      <c r="L84" s="40">
        <v>56.93</v>
      </c>
      <c r="N84" s="33"/>
    </row>
    <row r="85" spans="1:16" s="27" customFormat="1" ht="13.5" customHeight="1" x14ac:dyDescent="0.25">
      <c r="A85" s="504"/>
      <c r="B85" s="39">
        <v>45329.393750000003</v>
      </c>
      <c r="C85" s="40">
        <v>61.03</v>
      </c>
      <c r="D85" s="40">
        <v>58.18</v>
      </c>
      <c r="E85" s="40">
        <v>56.46</v>
      </c>
      <c r="F85" s="40">
        <v>57.95</v>
      </c>
      <c r="G85" s="40">
        <v>59.65</v>
      </c>
      <c r="H85" s="40">
        <v>61.96</v>
      </c>
      <c r="I85" s="40">
        <v>61.57</v>
      </c>
      <c r="J85" s="40">
        <v>58.34</v>
      </c>
      <c r="K85" s="40">
        <v>64.5</v>
      </c>
      <c r="L85" s="40">
        <v>57.85</v>
      </c>
      <c r="N85" s="33"/>
    </row>
    <row r="86" spans="1:16" s="27" customFormat="1" ht="13.5" customHeight="1" x14ac:dyDescent="0.25">
      <c r="A86" s="504"/>
      <c r="B86" s="39">
        <v>45329.394444444442</v>
      </c>
      <c r="C86" s="40">
        <v>60.94</v>
      </c>
      <c r="D86" s="40">
        <v>58.57</v>
      </c>
      <c r="E86" s="40">
        <v>56.67</v>
      </c>
      <c r="F86" s="40">
        <v>58.11</v>
      </c>
      <c r="G86" s="40">
        <v>60.17</v>
      </c>
      <c r="H86" s="40">
        <v>61.68</v>
      </c>
      <c r="I86" s="40">
        <v>61.34</v>
      </c>
      <c r="J86" s="40">
        <v>58.53</v>
      </c>
      <c r="K86" s="40">
        <v>63.54</v>
      </c>
      <c r="L86" s="40">
        <v>58.43</v>
      </c>
      <c r="N86" s="33"/>
    </row>
    <row r="87" spans="1:16" s="455" customFormat="1" x14ac:dyDescent="0.25"/>
    <row r="88" spans="1:16" s="27" customFormat="1" x14ac:dyDescent="0.25">
      <c r="C88" s="41" t="str" cm="1">
        <f t="array" ref="C88:L88">C10:L10</f>
        <v>Connecteur 1</v>
      </c>
      <c r="D88" s="41" t="str">
        <v>Connecteur 2</v>
      </c>
      <c r="E88" s="41" t="str">
        <v>Connecteur 3</v>
      </c>
      <c r="F88" s="41" t="str">
        <v>Connecteur 4</v>
      </c>
      <c r="G88" s="41" t="str">
        <v>Connecteur 5</v>
      </c>
      <c r="H88" s="41" t="str">
        <v>Connecteur 6</v>
      </c>
      <c r="I88" s="41" t="str">
        <v>Connecteur 7</v>
      </c>
      <c r="J88" s="41" t="str">
        <v>Connecteur 8</v>
      </c>
      <c r="K88" s="41" t="str">
        <v>Connecteur 9</v>
      </c>
      <c r="L88" s="41" t="str">
        <v>Connecteur 10</v>
      </c>
      <c r="N88" s="33"/>
    </row>
    <row r="89" spans="1:16" s="27" customFormat="1" x14ac:dyDescent="0.25">
      <c r="B89" s="42" t="s">
        <v>90</v>
      </c>
      <c r="C89" s="43" cm="1">
        <f t="array" ref="C89">MAX(Valeurs_Brutes_Ressuage_BCH[Connecteur 1]+Ressuage_BCH!C5+Ressuage_BCH!C6)</f>
        <v>61.720000000000006</v>
      </c>
      <c r="D89" s="43" cm="1">
        <f t="array" ref="D89">MAX(Valeurs_Brutes_Ressuage_BCH[Connecteur 2]+Ressuage_BCH!D5+Ressuage_BCH!D6)</f>
        <v>59.370000000000005</v>
      </c>
      <c r="E89" s="43" cm="1">
        <f t="array" ref="E89">MAX(Valeurs_Brutes_Ressuage_BCH[Connecteur 3]+Ressuage_BCH!E5+Ressuage_BCH!E6)</f>
        <v>56.99</v>
      </c>
      <c r="F89" s="43" cm="1">
        <f t="array" ref="F89">MAX(Valeurs_Brutes_Ressuage_BCH[Connecteur 4]+Ressuage_BCH!F5+Ressuage_BCH!F6)</f>
        <v>58.790000000000006</v>
      </c>
      <c r="G89" s="43" cm="1">
        <f t="array" ref="G89">MAX(Valeurs_Brutes_Ressuage_BCH[Connecteur 5]+Ressuage_BCH!G5+Ressuage_BCH!G6)</f>
        <v>60.480000000000004</v>
      </c>
      <c r="H89" s="43" cm="1">
        <f t="array" ref="H89">MAX(Valeurs_Brutes_Ressuage_BCH[Connecteur 6]+Ressuage_BCH!H5+Ressuage_BCH!H6)</f>
        <v>62.7</v>
      </c>
      <c r="I89" s="43" cm="1">
        <f t="array" ref="I89">MAX(Valeurs_Brutes_Ressuage_BCH[Connecteur 7]+Ressuage_BCH!I5+Ressuage_BCH!I6)</f>
        <v>62.220000000000006</v>
      </c>
      <c r="J89" s="43" cm="1">
        <f t="array" ref="J89">MAX(Valeurs_Brutes_Ressuage_BCH[Connecteur 8]+Ressuage_BCH!J5+Ressuage_BCH!J6)</f>
        <v>59.32</v>
      </c>
      <c r="K89" s="43" cm="1">
        <f t="array" ref="K89">MAX(Valeurs_Brutes_Ressuage_BCH[Connecteur 9]+Ressuage_BCH!K5+Ressuage_BCH!K6)</f>
        <v>65.049999999999983</v>
      </c>
      <c r="L89" s="43" cm="1">
        <f t="array" ref="L89">MAX(Valeurs_Brutes_Ressuage_BCH[Connecteur 10]+Ressuage_BCH!L5+Ressuage_BCH!L6)</f>
        <v>58.63</v>
      </c>
      <c r="M89" s="48">
        <f>P89+Mesures_Ressuage_BCH!B20</f>
        <v>68</v>
      </c>
      <c r="N89" s="33"/>
      <c r="O89" s="36" t="s">
        <v>7</v>
      </c>
      <c r="P89" s="48">
        <f>Mesures_Ressuage_BCH!B19</f>
        <v>60</v>
      </c>
    </row>
    <row r="90" spans="1:16" s="27" customFormat="1" x14ac:dyDescent="0.25">
      <c r="B90" s="42" t="s">
        <v>91</v>
      </c>
      <c r="C90" s="43">
        <f ca="1">MAX(OFFSET(INDEX(Valeurs_Brutes_Ressuage_BCH[Connecteur 1],1),COUNT(Valeurs_Brutes_Ressuage_BCH[Connecteur 1])-30,0,30))+C5+C6</f>
        <v>61.720000000000006</v>
      </c>
      <c r="D90" s="43">
        <f ca="1">MAX(OFFSET(INDEX(Valeurs_Brutes_Ressuage_BCH[Connecteur 2],1),COUNT(Valeurs_Brutes_Ressuage_BCH[Connecteur 2])-30,0,30))+D5+D6</f>
        <v>59.370000000000005</v>
      </c>
      <c r="E90" s="43">
        <f ca="1">MAX(OFFSET(INDEX(Valeurs_Brutes_Ressuage_BCH[Connecteur 3],1),COUNT(Valeurs_Brutes_Ressuage_BCH[Connecteur 3])-30,0,30))+E5+E6</f>
        <v>56.99</v>
      </c>
      <c r="F90" s="43">
        <f ca="1">MAX(OFFSET(INDEX(Valeurs_Brutes_Ressuage_BCH[Connecteur 4],1),COUNT(Valeurs_Brutes_Ressuage_BCH[Connecteur 4])-30,0,30))+F5+F6</f>
        <v>58.790000000000006</v>
      </c>
      <c r="G90" s="43">
        <f ca="1">MAX(OFFSET(INDEX(Valeurs_Brutes_Ressuage_BCH[Connecteur 5],1),COUNT(Valeurs_Brutes_Ressuage_BCH[Connecteur 5])-30,0,30))+G5+G6</f>
        <v>60.480000000000004</v>
      </c>
      <c r="H90" s="43">
        <f ca="1">MAX(OFFSET(INDEX(Valeurs_Brutes_Ressuage_BCH[Connecteur 6],1),COUNT(Valeurs_Brutes_Ressuage_BCH[Connecteur 6])-30,0,30))+H5+H6</f>
        <v>62.7</v>
      </c>
      <c r="I90" s="43">
        <f ca="1">MAX(OFFSET(INDEX(Valeurs_Brutes_Ressuage_BCH[Connecteur 7],1),COUNT(Valeurs_Brutes_Ressuage_BCH[Connecteur 7])-30,0,30))+I5+I6</f>
        <v>62.220000000000006</v>
      </c>
      <c r="J90" s="43">
        <f ca="1">MAX(OFFSET(INDEX(Valeurs_Brutes_Ressuage_BCH[Connecteur 8],1),COUNT(Valeurs_Brutes_Ressuage_BCH[Connecteur 8])-30,0,30))+J5+J6</f>
        <v>59.32</v>
      </c>
      <c r="K90" s="43">
        <f ca="1">MAX(OFFSET(INDEX(Valeurs_Brutes_Ressuage_BCH[Connecteur 9],1),COUNT(Valeurs_Brutes_Ressuage_BCH[Connecteur 9])-30,0,30))+K5+K6</f>
        <v>65.049999999999983</v>
      </c>
      <c r="L90" s="43">
        <f ca="1">MAX(OFFSET(INDEX(Valeurs_Brutes_Ressuage_BCH[Connecteur 10],1),COUNT(Valeurs_Brutes_Ressuage_BCH[Connecteur 10])-30,0,30))+L5+L6</f>
        <v>58.63</v>
      </c>
      <c r="M90" s="48">
        <f>P89+Mesures_Ressuage_BCH!B20</f>
        <v>68</v>
      </c>
      <c r="N90" s="33"/>
      <c r="O90" s="36" t="s">
        <v>92</v>
      </c>
      <c r="P90" s="35" t="str">
        <f>"+" &amp; Mesures_Ressuage_BCH!B20 &amp; "°C"</f>
        <v>+8°C</v>
      </c>
    </row>
    <row r="91" spans="1:16" s="27" customFormat="1" x14ac:dyDescent="0.25">
      <c r="B91" s="42" t="s">
        <v>93</v>
      </c>
      <c r="C91" s="43">
        <f ca="1">MIN(OFFSET(INDEX(Valeurs_Brutes_Ressuage_BCH[Connecteur 1],1),COUNT(Valeurs_Brutes_Ressuage_BCH[Connecteur 1])-30,0,30))+C5+C6</f>
        <v>59.17</v>
      </c>
      <c r="D91" s="43">
        <f ca="1">MIN(OFFSET(INDEX(Valeurs_Brutes_Ressuage_BCH[Connecteur 2],1),COUNT(Valeurs_Brutes_Ressuage_BCH[Connecteur 2])-30,0,30))+D5+D6</f>
        <v>56.57</v>
      </c>
      <c r="E91" s="43">
        <f ca="1">MIN(OFFSET(INDEX(Valeurs_Brutes_Ressuage_BCH[Connecteur 3],1),COUNT(Valeurs_Brutes_Ressuage_BCH[Connecteur 3])-30,0,30))+E5+E6</f>
        <v>55.080000000000005</v>
      </c>
      <c r="F91" s="43">
        <f ca="1">MIN(OFFSET(INDEX(Valeurs_Brutes_Ressuage_BCH[Connecteur 4],1),COUNT(Valeurs_Brutes_Ressuage_BCH[Connecteur 4])-30,0,30))+F5+F6</f>
        <v>56.46</v>
      </c>
      <c r="G91" s="43">
        <f ca="1">MIN(OFFSET(INDEX(Valeurs_Brutes_Ressuage_BCH[Connecteur 5],1),COUNT(Valeurs_Brutes_Ressuage_BCH[Connecteur 5])-30,0,30))+G5+G6</f>
        <v>58.260000000000005</v>
      </c>
      <c r="H91" s="43">
        <f ca="1">MIN(OFFSET(INDEX(Valeurs_Brutes_Ressuage_BCH[Connecteur 6],1),COUNT(Valeurs_Brutes_Ressuage_BCH[Connecteur 6])-30,0,30))+H5+H6</f>
        <v>59.940000000000005</v>
      </c>
      <c r="I91" s="43">
        <f ca="1">MIN(OFFSET(INDEX(Valeurs_Brutes_Ressuage_BCH[Connecteur 7],1),COUNT(Valeurs_Brutes_Ressuage_BCH[Connecteur 7])-30,0,30))+I5+I6</f>
        <v>59.49</v>
      </c>
      <c r="J91" s="43">
        <f ca="1">MIN(OFFSET(INDEX(Valeurs_Brutes_Ressuage_BCH[Connecteur 8],1),COUNT(Valeurs_Brutes_Ressuage_BCH[Connecteur 8])-30,0,30))+J5+J6</f>
        <v>56.7</v>
      </c>
      <c r="K91" s="43">
        <f ca="1">MIN(OFFSET(INDEX(Valeurs_Brutes_Ressuage_BCH[Connecteur 9],1),COUNT(Valeurs_Brutes_Ressuage_BCH[Connecteur 9])-30,0,30))+K5+K6</f>
        <v>61.690000000000005</v>
      </c>
      <c r="L91" s="43">
        <f ca="1">MIN(OFFSET(INDEX(Valeurs_Brutes_Ressuage_BCH[Connecteur 10],1),COUNT(Valeurs_Brutes_Ressuage_BCH[Connecteur 10])-30,0,30))+L5+L6</f>
        <v>56.580000000000005</v>
      </c>
      <c r="M91" s="48">
        <f>P89 - Mesures_Ressuage_BCH!B20</f>
        <v>52</v>
      </c>
      <c r="N91" s="33"/>
      <c r="O91" s="36" t="s">
        <v>94</v>
      </c>
      <c r="P91" s="35" t="str">
        <f>"-" &amp; Mesures_Ressuage_BCH!B20 &amp; "°C"</f>
        <v>-8°C</v>
      </c>
    </row>
    <row r="92" spans="1:16" s="27" customFormat="1" x14ac:dyDescent="0.25">
      <c r="B92" s="42" t="s">
        <v>95</v>
      </c>
      <c r="C92" s="43">
        <f ca="1">AVERAGE(OFFSET(INDEX(Valeurs_Brutes_Ressuage_BCH[Connecteur 1],1),COUNT(Valeurs_Brutes_Ressuage_BCH[Connecteur 1])-30,0,30))+C5+C6</f>
        <v>60.377999999999993</v>
      </c>
      <c r="D92" s="43">
        <f ca="1">AVERAGE(OFFSET(INDEX(Valeurs_Brutes_Ressuage_BCH[Connecteur 2],1),COUNT(Valeurs_Brutes_Ressuage_BCH[Connecteur 2])-30,0,30))+D5+D6</f>
        <v>57.88</v>
      </c>
      <c r="E92" s="43">
        <f ca="1">AVERAGE(OFFSET(INDEX(Valeurs_Brutes_Ressuage_BCH[Connecteur 3],1),COUNT(Valeurs_Brutes_Ressuage_BCH[Connecteur 3])-30,0,30))+E5+E6</f>
        <v>56.034666666666659</v>
      </c>
      <c r="F92" s="43">
        <f ca="1">AVERAGE(OFFSET(INDEX(Valeurs_Brutes_Ressuage_BCH[Connecteur 4],1),COUNT(Valeurs_Brutes_Ressuage_BCH[Connecteur 4])-30,0,30))+F5+F6</f>
        <v>57.591999999999992</v>
      </c>
      <c r="G92" s="43">
        <f ca="1">AVERAGE(OFFSET(INDEX(Valeurs_Brutes_Ressuage_BCH[Connecteur 5],1),COUNT(Valeurs_Brutes_Ressuage_BCH[Connecteur 5])-30,0,30))+G5+G6</f>
        <v>59.312666666666679</v>
      </c>
      <c r="H92" s="43">
        <f ca="1">AVERAGE(OFFSET(INDEX(Valeurs_Brutes_Ressuage_BCH[Connecteur 6],1),COUNT(Valeurs_Brutes_Ressuage_BCH[Connecteur 6])-30,0,30))+H5+H6</f>
        <v>61.196333333333349</v>
      </c>
      <c r="I92" s="43">
        <f ca="1">AVERAGE(OFFSET(INDEX(Valeurs_Brutes_Ressuage_BCH[Connecteur 7],1),COUNT(Valeurs_Brutes_Ressuage_BCH[Connecteur 7])-30,0,30))+I5+I6</f>
        <v>60.778666666666666</v>
      </c>
      <c r="J92" s="43">
        <f ca="1">AVERAGE(OFFSET(INDEX(Valeurs_Brutes_Ressuage_BCH[Connecteur 8],1),COUNT(Valeurs_Brutes_Ressuage_BCH[Connecteur 8])-30,0,30))+J5+J6</f>
        <v>57.98566666666666</v>
      </c>
      <c r="K92" s="43">
        <f ca="1">AVERAGE(OFFSET(INDEX(Valeurs_Brutes_Ressuage_BCH[Connecteur 9],1),COUNT(Valeurs_Brutes_Ressuage_BCH[Connecteur 9])-30,0,30))+K5+K6</f>
        <v>63.271999999999998</v>
      </c>
      <c r="L92" s="43">
        <f ca="1">AVERAGE(OFFSET(INDEX(Valeurs_Brutes_Ressuage_BCH[Connecteur 10],1),COUNT(Valeurs_Brutes_Ressuage_BCH[Connecteur 10])-30,0,30))+L5+L6</f>
        <v>57.456333333333355</v>
      </c>
      <c r="M92" s="44"/>
      <c r="N92" s="33"/>
    </row>
    <row r="93" spans="1:16" s="27" customFormat="1" x14ac:dyDescent="0.25">
      <c r="B93" s="42" t="s">
        <v>96</v>
      </c>
      <c r="C93" s="45">
        <f ca="1">C90-C91</f>
        <v>2.5500000000000043</v>
      </c>
      <c r="D93" s="45">
        <f t="shared" ref="D93:L93" ca="1" si="0">D90-D91</f>
        <v>2.8000000000000043</v>
      </c>
      <c r="E93" s="45">
        <f t="shared" ca="1" si="0"/>
        <v>1.9099999999999966</v>
      </c>
      <c r="F93" s="45">
        <f t="shared" ca="1" si="0"/>
        <v>2.3300000000000054</v>
      </c>
      <c r="G93" s="45">
        <f t="shared" ca="1" si="0"/>
        <v>2.2199999999999989</v>
      </c>
      <c r="H93" s="45">
        <f t="shared" ca="1" si="0"/>
        <v>2.759999999999998</v>
      </c>
      <c r="I93" s="45">
        <f t="shared" ca="1" si="0"/>
        <v>2.730000000000004</v>
      </c>
      <c r="J93" s="45">
        <f t="shared" ca="1" si="0"/>
        <v>2.6199999999999974</v>
      </c>
      <c r="K93" s="45">
        <f t="shared" ca="1" si="0"/>
        <v>3.3599999999999781</v>
      </c>
      <c r="L93" s="45">
        <f t="shared" ca="1" si="0"/>
        <v>2.0499999999999972</v>
      </c>
      <c r="M93" s="44"/>
      <c r="N93" s="33"/>
    </row>
    <row r="94" spans="1:16" s="27" customFormat="1" x14ac:dyDescent="0.25">
      <c r="B94" s="42" t="s">
        <v>97</v>
      </c>
      <c r="C94" s="372">
        <f ca="1">ABS(MAX(C90:L90)- MIN(C91:L91))</f>
        <v>9.9699999999999775</v>
      </c>
      <c r="D94" s="372"/>
      <c r="E94" s="372"/>
      <c r="F94" s="372"/>
      <c r="G94" s="372"/>
      <c r="H94" s="372"/>
      <c r="I94" s="372"/>
      <c r="J94" s="372"/>
      <c r="K94" s="372"/>
      <c r="L94" s="372"/>
      <c r="M94" s="372"/>
      <c r="N94" s="33"/>
    </row>
    <row r="95" spans="1:16" s="27" customFormat="1" x14ac:dyDescent="0.25">
      <c r="B95" s="42" t="s">
        <v>98</v>
      </c>
      <c r="C95" s="372">
        <f ca="1">AVERAGE(C92:L92)</f>
        <v>59.188633333333335</v>
      </c>
      <c r="D95" s="372"/>
      <c r="E95" s="372"/>
      <c r="F95" s="372"/>
      <c r="G95" s="372"/>
      <c r="H95" s="372"/>
      <c r="I95" s="372"/>
      <c r="J95" s="372"/>
      <c r="K95" s="372"/>
      <c r="L95" s="372"/>
      <c r="M95" s="372"/>
      <c r="N95" s="33"/>
    </row>
    <row r="96" spans="1:16" s="27" customFormat="1" x14ac:dyDescent="0.25">
      <c r="B96" s="36" t="s">
        <v>99</v>
      </c>
      <c r="C96" s="46">
        <f ca="1">STDEV(OFFSET(INDEX(Valeurs_Brutes_Ressuage_BCH[Connecteur 1],1),COUNT(Valeurs_Brutes_Ressuage_BCH[Connecteur 1])-30,0,30))+C5+C6</f>
        <v>1.0151851915679806</v>
      </c>
      <c r="D96" s="46">
        <f ca="1">STDEV(OFFSET(INDEX(Valeurs_Brutes_Ressuage_BCH[Connecteur 2],1),COUNT(Valeurs_Brutes_Ressuage_BCH[Connecteur 2])-30,0,30))+D5+D6</f>
        <v>0.85791205784821234</v>
      </c>
      <c r="E96" s="46">
        <f ca="1">STDEV(OFFSET(INDEX(Valeurs_Brutes_Ressuage_BCH[Connecteur 3],1),COUNT(Valeurs_Brutes_Ressuage_BCH[Connecteur 3])-30,0,30))+E5+E6</f>
        <v>0.79520343281669847</v>
      </c>
      <c r="F96" s="46">
        <f ca="1">STDEV(OFFSET(INDEX(Valeurs_Brutes_Ressuage_BCH[Connecteur 4],1),COUNT(Valeurs_Brutes_Ressuage_BCH[Connecteur 4])-30,0,30))+F5+F6</f>
        <v>0.82414299864584006</v>
      </c>
      <c r="G96" s="46">
        <f ca="1">STDEV(OFFSET(INDEX(Valeurs_Brutes_Ressuage_BCH[Connecteur 5],1),COUNT(Valeurs_Brutes_Ressuage_BCH[Connecteur 5])-30,0,30))+G5+G6</f>
        <v>0.91522812050968461</v>
      </c>
      <c r="H96" s="46">
        <f ca="1">STDEV(OFFSET(INDEX(Valeurs_Brutes_Ressuage_BCH[Connecteur 6],1),COUNT(Valeurs_Brutes_Ressuage_BCH[Connecteur 6])-30,0,30))+H5+H6</f>
        <v>1.0871864995915297</v>
      </c>
      <c r="I96" s="46">
        <f ca="1">STDEV(OFFSET(INDEX(Valeurs_Brutes_Ressuage_BCH[Connecteur 7],1),COUNT(Valeurs_Brutes_Ressuage_BCH[Connecteur 7])-30,0,30))+I5+I6</f>
        <v>1.1032192743023508</v>
      </c>
      <c r="J96" s="46">
        <f ca="1">STDEV(OFFSET(INDEX(Valeurs_Brutes_Ressuage_BCH[Connecteur 8],1),COUNT(Valeurs_Brutes_Ressuage_BCH[Connecteur 8])-30,0,30))+J5+J6</f>
        <v>0.86109461649148478</v>
      </c>
      <c r="K96" s="46">
        <f ca="1">STDEV(OFFSET(INDEX(Valeurs_Brutes_Ressuage_BCH[Connecteur 9],1),COUNT(Valeurs_Brutes_Ressuage_BCH[Connecteur 9])-30,0,30))+K5+K6</f>
        <v>1.3718903090954049</v>
      </c>
      <c r="L96" s="46">
        <f ca="1">STDEV(OFFSET(INDEX(Valeurs_Brutes_Ressuage_BCH[Connecteur 10],1),COUNT(Valeurs_Brutes_Ressuage_BCH[Connecteur 10])-30,0,30))+L5+L6</f>
        <v>0.81841556908922819</v>
      </c>
      <c r="M96" s="44"/>
      <c r="N96" s="33"/>
      <c r="O96" s="47"/>
    </row>
    <row r="97" spans="14:14" s="27" customFormat="1" x14ac:dyDescent="0.25">
      <c r="N97" s="33"/>
    </row>
    <row r="98" spans="14:14" s="27" customFormat="1" x14ac:dyDescent="0.25">
      <c r="N98" s="33"/>
    </row>
    <row r="99" spans="14:14" s="27" customFormat="1" x14ac:dyDescent="0.25">
      <c r="N99" s="33"/>
    </row>
  </sheetData>
  <sheetProtection algorithmName="SHA-512" hashValue="PJkyrEe8NIzRSXdJxnJ6IVR5WeOap4TdzcLqgxJER79favdTrenqhjPb7LO8ILm1ZgNrFOmjRsk/GvQD7OPPhw==" saltValue="XwUfDjwoZC8s9O4EBznzDQ==" spinCount="100000" sheet="1" objects="1" scenarios="1"/>
  <mergeCells count="7">
    <mergeCell ref="A1:Q3"/>
    <mergeCell ref="A9:L9"/>
    <mergeCell ref="A87:XFD87"/>
    <mergeCell ref="C94:M94"/>
    <mergeCell ref="C95:M95"/>
    <mergeCell ref="A56:A86"/>
    <mergeCell ref="A11:A55"/>
  </mergeCells>
  <conditionalFormatting sqref="C89:L89">
    <cfRule type="cellIs" dxfId="63" priority="3" operator="greaterThan">
      <formula>$M$89</formula>
    </cfRule>
  </conditionalFormatting>
  <conditionalFormatting sqref="C90:L90">
    <cfRule type="cellIs" dxfId="62" priority="2" operator="greaterThan">
      <formula>$M$90</formula>
    </cfRule>
  </conditionalFormatting>
  <conditionalFormatting sqref="C91:L91">
    <cfRule type="cellIs" dxfId="61" priority="1" operator="lessThan">
      <formula>$M$91</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10"/>
  <sheetViews>
    <sheetView view="pageLayout" topLeftCell="A193" zoomScale="70" zoomScaleNormal="60" zoomScaleSheetLayoutView="77" zoomScalePageLayoutView="70" workbookViewId="0">
      <selection activeCell="I280" sqref="I280"/>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318</v>
      </c>
      <c r="C5" s="88"/>
      <c r="D5" s="88"/>
      <c r="E5" s="88"/>
      <c r="F5" s="88"/>
      <c r="G5" s="88"/>
      <c r="H5" s="88"/>
      <c r="I5" s="89"/>
    </row>
    <row r="10" spans="2:9" ht="21" x14ac:dyDescent="0.25">
      <c r="C10" s="379" t="s">
        <v>138</v>
      </c>
      <c r="D10" s="379"/>
      <c r="E10" s="472" t="str">
        <f>Mesures_Ressuage_BCH!D5</f>
        <v>a</v>
      </c>
      <c r="F10" s="472"/>
    </row>
    <row r="11" spans="2:9" ht="21" x14ac:dyDescent="0.25">
      <c r="C11" s="90"/>
      <c r="D11" s="90"/>
      <c r="E11" s="91"/>
      <c r="F11" s="91"/>
    </row>
    <row r="12" spans="2:9" x14ac:dyDescent="0.25">
      <c r="C12" s="92" t="s">
        <v>1</v>
      </c>
      <c r="D12" s="93" t="str">
        <f>Mesures_Ressuage_BCH!C7</f>
        <v>a</v>
      </c>
      <c r="F12" s="92" t="s">
        <v>18</v>
      </c>
      <c r="G12" s="93" t="str">
        <f>Mesures_Ressuage_BCH!G7</f>
        <v>a</v>
      </c>
    </row>
    <row r="13" spans="2:9" ht="15.75" x14ac:dyDescent="0.25">
      <c r="C13" s="94" t="s">
        <v>2</v>
      </c>
      <c r="D13" s="95" t="str">
        <f>Mesures_Ressuage_BCH!C8</f>
        <v>a</v>
      </c>
      <c r="F13" s="96" t="s">
        <v>19</v>
      </c>
      <c r="G13" s="95" t="str">
        <f>Mesures_Ressuage_BCH!G8</f>
        <v>a</v>
      </c>
    </row>
    <row r="14" spans="2:9" ht="15.75" x14ac:dyDescent="0.25">
      <c r="C14" s="97"/>
      <c r="D14" s="98"/>
      <c r="G14" s="99"/>
    </row>
    <row r="15" spans="2:9" ht="15.75" x14ac:dyDescent="0.25">
      <c r="C15" s="100" t="s">
        <v>139</v>
      </c>
      <c r="D15" s="101" t="str">
        <f>Mesures_Ressuage_BCH!C14</f>
        <v>a</v>
      </c>
      <c r="F15" s="92" t="s">
        <v>140</v>
      </c>
      <c r="G15" s="102" t="str">
        <f>Mesures_Ressuage_BCH!C15</f>
        <v>Annuelle</v>
      </c>
    </row>
    <row r="16" spans="2:9" ht="15.75" x14ac:dyDescent="0.25">
      <c r="C16" s="100" t="s">
        <v>141</v>
      </c>
      <c r="D16" s="103">
        <f>Mesures_Ressuage_BCH!G11</f>
        <v>9</v>
      </c>
      <c r="F16" s="92" t="s">
        <v>142</v>
      </c>
      <c r="G16" s="102" t="str">
        <f>Mesures_Ressuage_BCH!G12</f>
        <v>a</v>
      </c>
    </row>
    <row r="17" spans="1:9" ht="15.75" x14ac:dyDescent="0.25">
      <c r="C17" s="97"/>
      <c r="D17" s="98"/>
      <c r="F17" s="97"/>
      <c r="G17" s="27"/>
    </row>
    <row r="18" spans="1:9" ht="15.75" x14ac:dyDescent="0.25">
      <c r="C18" s="100" t="s">
        <v>143</v>
      </c>
      <c r="D18" s="140" t="str">
        <f>Mesures_Ressuage_BCH!C11</f>
        <v>a</v>
      </c>
      <c r="F18" s="92" t="s">
        <v>144</v>
      </c>
      <c r="G18" s="141" t="str">
        <f>Mesures_Ressuage_BCH!G10</f>
        <v>a</v>
      </c>
    </row>
    <row r="19" spans="1:9" ht="15.75" x14ac:dyDescent="0.25">
      <c r="C19" s="94" t="s">
        <v>145</v>
      </c>
      <c r="D19" s="101" t="str">
        <f>Mesures_Ressuage_BCH!C10</f>
        <v>LV</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319</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8" ht="36" x14ac:dyDescent="0.25">
      <c r="C51" s="462" t="s">
        <v>148</v>
      </c>
      <c r="D51" s="462"/>
      <c r="E51" s="462"/>
      <c r="F51" s="462"/>
    </row>
    <row r="52" spans="2:8" ht="20.25" customHeight="1" x14ac:dyDescent="0.25">
      <c r="B52" s="105"/>
    </row>
    <row r="53" spans="2:8" ht="23.25" x14ac:dyDescent="0.25">
      <c r="B53" s="106" t="s">
        <v>149</v>
      </c>
    </row>
    <row r="55" spans="2:8" ht="21" x14ac:dyDescent="0.25">
      <c r="B55" s="107" t="s">
        <v>320</v>
      </c>
      <c r="E55" s="471" t="s">
        <v>328</v>
      </c>
      <c r="F55" s="471"/>
      <c r="G55" s="471"/>
      <c r="H55" s="108"/>
    </row>
    <row r="56" spans="2:8" ht="21" customHeight="1" x14ac:dyDescent="0.25">
      <c r="B56" s="107" t="s">
        <v>321</v>
      </c>
      <c r="E56" s="471" t="str">
        <f>"Températures (mini et maxi) d’utilisation : " &amp; Mesures_Ressuage_BCH!B19 + Mesures_Ressuage_BCH!B20 &amp; "°C à ambiante"</f>
        <v>Températures (mini et maxi) d’utilisation : 68°C à ambiante</v>
      </c>
      <c r="F56" s="471"/>
      <c r="G56" s="471"/>
      <c r="H56" s="471"/>
    </row>
    <row r="57" spans="2:8" ht="21" x14ac:dyDescent="0.25">
      <c r="B57" s="107" t="s">
        <v>322</v>
      </c>
      <c r="E57" s="471" t="s">
        <v>155</v>
      </c>
      <c r="F57" s="471"/>
      <c r="G57" s="108"/>
      <c r="H57" s="108"/>
    </row>
    <row r="59" spans="2:8" ht="23.25" x14ac:dyDescent="0.25">
      <c r="B59" s="106" t="s">
        <v>156</v>
      </c>
    </row>
    <row r="61" spans="2:8" ht="21" x14ac:dyDescent="0.25">
      <c r="B61" s="471"/>
      <c r="C61" s="471"/>
      <c r="D61" s="471"/>
      <c r="E61" s="471"/>
      <c r="F61" s="471"/>
      <c r="G61" s="471"/>
    </row>
    <row r="62" spans="2:8" ht="21" x14ac:dyDescent="0.25">
      <c r="B62" s="471"/>
      <c r="C62" s="471"/>
      <c r="D62" s="471"/>
    </row>
    <row r="64" spans="2:8" ht="21" x14ac:dyDescent="0.25">
      <c r="B64" s="107" t="s">
        <v>160</v>
      </c>
    </row>
    <row r="66" spans="1:10" ht="21" x14ac:dyDescent="0.25">
      <c r="B66" s="471" t="s">
        <v>329</v>
      </c>
      <c r="C66" s="471"/>
      <c r="D66" s="471"/>
      <c r="E66" s="471" t="s">
        <v>332</v>
      </c>
      <c r="F66" s="471"/>
      <c r="G66" s="471"/>
      <c r="H66" s="471"/>
      <c r="I66" s="471"/>
    </row>
    <row r="67" spans="1:10" ht="21" x14ac:dyDescent="0.25">
      <c r="B67" s="471"/>
      <c r="C67" s="471"/>
      <c r="D67" s="471"/>
      <c r="E67" s="471" t="s">
        <v>330</v>
      </c>
      <c r="F67" s="471"/>
      <c r="G67" s="471"/>
      <c r="H67" s="471"/>
      <c r="I67" s="471"/>
    </row>
    <row r="68" spans="1:10" ht="21" x14ac:dyDescent="0.25">
      <c r="B68" s="471"/>
      <c r="C68" s="471"/>
      <c r="D68" s="471"/>
      <c r="E68" s="471" t="s">
        <v>331</v>
      </c>
      <c r="F68" s="471"/>
      <c r="G68" s="471"/>
      <c r="H68" s="471"/>
      <c r="I68" s="471"/>
    </row>
    <row r="69" spans="1:10" ht="21" x14ac:dyDescent="0.25">
      <c r="B69" s="471"/>
      <c r="C69" s="471"/>
      <c r="D69" s="471"/>
      <c r="E69" s="471" t="s">
        <v>333</v>
      </c>
      <c r="F69" s="471"/>
      <c r="G69" s="471"/>
      <c r="H69" s="471"/>
      <c r="I69" s="108"/>
    </row>
    <row r="72" spans="1:10" ht="21" customHeight="1" x14ac:dyDescent="0.25">
      <c r="A72" s="463" t="s">
        <v>327</v>
      </c>
      <c r="B72" s="463"/>
      <c r="C72" s="463"/>
      <c r="D72" s="463"/>
      <c r="E72" s="463"/>
      <c r="F72" s="463"/>
      <c r="G72" s="463"/>
      <c r="H72" s="463"/>
      <c r="I72" s="463"/>
      <c r="J72" s="463"/>
    </row>
    <row r="73" spans="1:10" ht="21" customHeight="1" x14ac:dyDescent="0.25">
      <c r="A73" s="463"/>
      <c r="B73" s="463"/>
      <c r="C73" s="463"/>
      <c r="D73" s="463"/>
      <c r="E73" s="463"/>
      <c r="F73" s="463"/>
      <c r="G73" s="463"/>
      <c r="H73" s="463"/>
      <c r="I73" s="463"/>
      <c r="J73" s="463"/>
    </row>
    <row r="74" spans="1:10" ht="15" customHeight="1" x14ac:dyDescent="0.25">
      <c r="A74" s="463"/>
      <c r="B74" s="463"/>
      <c r="C74" s="463"/>
      <c r="D74" s="463"/>
      <c r="E74" s="463"/>
      <c r="F74" s="463"/>
      <c r="G74" s="463"/>
      <c r="H74" s="463"/>
      <c r="I74" s="463"/>
      <c r="J74" s="463"/>
    </row>
    <row r="75" spans="1:10" ht="15" customHeight="1" x14ac:dyDescent="0.25">
      <c r="A75" s="463"/>
      <c r="B75" s="463"/>
      <c r="C75" s="463"/>
      <c r="D75" s="463"/>
      <c r="E75" s="463"/>
      <c r="F75" s="463"/>
      <c r="G75" s="463"/>
      <c r="H75" s="463"/>
      <c r="I75" s="463"/>
      <c r="J75" s="463"/>
    </row>
    <row r="76" spans="1:10" x14ac:dyDescent="0.25">
      <c r="A76" s="463"/>
      <c r="B76" s="463"/>
      <c r="C76" s="463"/>
      <c r="D76" s="463"/>
      <c r="E76" s="463"/>
      <c r="F76" s="463"/>
      <c r="G76" s="463"/>
      <c r="H76" s="463"/>
      <c r="I76" s="463"/>
      <c r="J76" s="463"/>
    </row>
    <row r="77" spans="1:10" x14ac:dyDescent="0.25">
      <c r="A77" s="463"/>
      <c r="B77" s="463"/>
      <c r="C77" s="463"/>
      <c r="D77" s="463"/>
      <c r="E77" s="463"/>
      <c r="F77" s="463"/>
      <c r="G77" s="463"/>
      <c r="H77" s="463"/>
      <c r="I77" s="463"/>
      <c r="J77" s="463"/>
    </row>
    <row r="78" spans="1:10" x14ac:dyDescent="0.25">
      <c r="A78" s="463"/>
      <c r="B78" s="463"/>
      <c r="C78" s="463"/>
      <c r="D78" s="463"/>
      <c r="E78" s="463"/>
      <c r="F78" s="463"/>
      <c r="G78" s="463"/>
      <c r="H78" s="463"/>
      <c r="I78" s="463"/>
      <c r="J78" s="463"/>
    </row>
    <row r="79" spans="1:10" x14ac:dyDescent="0.25">
      <c r="A79" s="463"/>
      <c r="B79" s="463"/>
      <c r="C79" s="463"/>
      <c r="D79" s="463"/>
      <c r="E79" s="463"/>
      <c r="F79" s="463"/>
      <c r="G79" s="463"/>
      <c r="H79" s="463"/>
      <c r="I79" s="463"/>
      <c r="J79" s="463"/>
    </row>
    <row r="80" spans="1:10" x14ac:dyDescent="0.25">
      <c r="A80" s="463"/>
      <c r="B80" s="463"/>
      <c r="C80" s="463"/>
      <c r="D80" s="463"/>
      <c r="E80" s="463"/>
      <c r="F80" s="463"/>
      <c r="G80" s="463"/>
      <c r="H80" s="463"/>
      <c r="I80" s="463"/>
      <c r="J80" s="463"/>
    </row>
    <row r="81" spans="1:10" x14ac:dyDescent="0.25">
      <c r="A81" s="463"/>
      <c r="B81" s="463"/>
      <c r="C81" s="463"/>
      <c r="D81" s="463"/>
      <c r="E81" s="463"/>
      <c r="F81" s="463"/>
      <c r="G81" s="463"/>
      <c r="H81" s="463"/>
      <c r="I81" s="463"/>
      <c r="J81" s="463"/>
    </row>
    <row r="85" spans="1:10" ht="36" x14ac:dyDescent="0.25">
      <c r="C85" s="462" t="s">
        <v>170</v>
      </c>
      <c r="D85" s="462"/>
      <c r="E85" s="462"/>
      <c r="F85" s="462"/>
      <c r="G85" s="462"/>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4" t="s">
        <v>10</v>
      </c>
      <c r="D94" s="464"/>
      <c r="E94" s="464"/>
      <c r="F94" s="464"/>
      <c r="G94" s="464"/>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5">Mesures_Ressuage_BCH!A42:A51</f>
        <v>Sonde 1</v>
      </c>
      <c r="D96" s="115" t="str" cm="1">
        <f t="array" ref="D96:G105">Mesures_Ressuage_BCH!C42:F51</f>
        <v>a</v>
      </c>
      <c r="E96" s="115" t="str">
        <v>a</v>
      </c>
      <c r="F96" s="115" t="str">
        <v>a</v>
      </c>
      <c r="G96" s="115" t="str">
        <v>a</v>
      </c>
      <c r="H96" s="111"/>
      <c r="I96" s="111"/>
    </row>
    <row r="97" spans="1:9" ht="17.25" x14ac:dyDescent="0.25">
      <c r="A97" s="111"/>
      <c r="B97" s="111"/>
      <c r="C97" s="112" t="str">
        <v>Sonde 2</v>
      </c>
      <c r="D97" s="115" t="str">
        <v>a</v>
      </c>
      <c r="E97" s="115" t="str">
        <v>a</v>
      </c>
      <c r="F97" s="115" t="str">
        <v>a</v>
      </c>
      <c r="G97" s="115" t="str">
        <v>a</v>
      </c>
      <c r="H97" s="111"/>
      <c r="I97" s="111"/>
    </row>
    <row r="98" spans="1:9" ht="17.25" x14ac:dyDescent="0.25">
      <c r="A98" s="111"/>
      <c r="B98" s="111"/>
      <c r="C98" s="112" t="str">
        <v>Sonde 3</v>
      </c>
      <c r="D98" s="115" t="str">
        <v>a</v>
      </c>
      <c r="E98" s="115" t="str">
        <v>a</v>
      </c>
      <c r="F98" s="115" t="str">
        <v>a</v>
      </c>
      <c r="G98" s="115" t="str">
        <v>a</v>
      </c>
      <c r="H98" s="111"/>
      <c r="I98" s="111"/>
    </row>
    <row r="99" spans="1:9" ht="17.25" x14ac:dyDescent="0.25">
      <c r="A99" s="111"/>
      <c r="B99" s="111"/>
      <c r="C99" s="112" t="str">
        <v>Sonde 4</v>
      </c>
      <c r="D99" s="115" t="str">
        <v>a</v>
      </c>
      <c r="E99" s="115" t="str">
        <v>a</v>
      </c>
      <c r="F99" s="115" t="str">
        <v>a</v>
      </c>
      <c r="G99" s="115" t="str">
        <v>a</v>
      </c>
      <c r="H99" s="111"/>
      <c r="I99" s="111"/>
    </row>
    <row r="100" spans="1:9" ht="17.25" x14ac:dyDescent="0.25">
      <c r="A100" s="111"/>
      <c r="B100" s="111"/>
      <c r="C100" s="112" t="str">
        <v>Sonde 5</v>
      </c>
      <c r="D100" s="115" t="str">
        <v>a</v>
      </c>
      <c r="E100" s="115" t="str">
        <v>a</v>
      </c>
      <c r="F100" s="115" t="str">
        <v>a</v>
      </c>
      <c r="G100" s="115" t="str">
        <v>a</v>
      </c>
      <c r="H100" s="111"/>
      <c r="I100" s="111"/>
    </row>
    <row r="101" spans="1:9" ht="17.25" x14ac:dyDescent="0.25">
      <c r="A101" s="111"/>
      <c r="B101" s="111"/>
      <c r="C101" s="112" t="str">
        <v>Sonde 6</v>
      </c>
      <c r="D101" s="115" t="str">
        <v>a</v>
      </c>
      <c r="E101" s="115" t="str">
        <v>a</v>
      </c>
      <c r="F101" s="115" t="str">
        <v>a</v>
      </c>
      <c r="G101" s="115" t="str">
        <v>a</v>
      </c>
      <c r="H101" s="111"/>
      <c r="I101" s="111"/>
    </row>
    <row r="102" spans="1:9" ht="17.25" x14ac:dyDescent="0.25">
      <c r="A102" s="111"/>
      <c r="B102" s="111"/>
      <c r="C102" s="112" t="str">
        <v>Sonde 7</v>
      </c>
      <c r="D102" s="115" t="str">
        <v>a</v>
      </c>
      <c r="E102" s="115" t="str">
        <v>a</v>
      </c>
      <c r="F102" s="115" t="str">
        <v>a</v>
      </c>
      <c r="G102" s="115" t="str">
        <v>a</v>
      </c>
      <c r="H102" s="111"/>
      <c r="I102" s="111"/>
    </row>
    <row r="103" spans="1:9" ht="17.25" x14ac:dyDescent="0.25">
      <c r="A103" s="111"/>
      <c r="B103" s="111"/>
      <c r="C103" s="112" t="str">
        <v>Sonde 8</v>
      </c>
      <c r="D103" s="115" t="str">
        <v>a</v>
      </c>
      <c r="E103" s="115" t="str">
        <v>a</v>
      </c>
      <c r="F103" s="115" t="str">
        <v>a</v>
      </c>
      <c r="G103" s="115" t="str">
        <v>a</v>
      </c>
      <c r="H103" s="111"/>
      <c r="I103" s="111"/>
    </row>
    <row r="104" spans="1:9" ht="17.25" x14ac:dyDescent="0.25">
      <c r="A104" s="111"/>
      <c r="B104" s="111"/>
      <c r="C104" s="112" t="str">
        <v>Sonde 9</v>
      </c>
      <c r="D104" s="115" t="str">
        <v>a</v>
      </c>
      <c r="E104" s="115" t="str">
        <v>a</v>
      </c>
      <c r="F104" s="115" t="str">
        <v>a</v>
      </c>
      <c r="G104" s="115" t="str">
        <v>a</v>
      </c>
      <c r="H104" s="111"/>
      <c r="I104" s="111"/>
    </row>
    <row r="105" spans="1:9" ht="17.25" x14ac:dyDescent="0.25">
      <c r="A105" s="111"/>
      <c r="B105" s="111"/>
      <c r="C105" s="112" t="str">
        <v>Sonde 10</v>
      </c>
      <c r="D105" s="115" t="str">
        <v>a</v>
      </c>
      <c r="E105" s="115" t="str">
        <v>a</v>
      </c>
      <c r="F105" s="115" t="str">
        <v>a</v>
      </c>
      <c r="G105" s="115" t="str">
        <v>a</v>
      </c>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5" t="s">
        <v>176</v>
      </c>
      <c r="C116" s="465"/>
      <c r="D116" s="465"/>
      <c r="E116" s="465"/>
      <c r="F116" s="465"/>
    </row>
    <row r="118" spans="1:9" ht="26.25" x14ac:dyDescent="0.25">
      <c r="B118" s="109" t="s">
        <v>177</v>
      </c>
    </row>
    <row r="119" spans="1:9" ht="21" x14ac:dyDescent="0.3">
      <c r="E119" s="107" t="s">
        <v>178</v>
      </c>
      <c r="F119" s="107"/>
      <c r="G119" s="116" t="str">
        <f>Mesures_Ressuage_BCH!$M$42</f>
        <v>a</v>
      </c>
    </row>
    <row r="120" spans="1:9" ht="21" x14ac:dyDescent="0.3">
      <c r="B120" s="117" t="s">
        <v>179</v>
      </c>
      <c r="C120" s="107" t="s">
        <v>180</v>
      </c>
      <c r="E120" s="107" t="s">
        <v>181</v>
      </c>
      <c r="F120" s="107"/>
      <c r="G120" s="116" t="str">
        <f>Mesures_Ressuage_BCH!$N$42</f>
        <v>a</v>
      </c>
    </row>
    <row r="121" spans="1:9" ht="21" x14ac:dyDescent="0.25">
      <c r="B121" s="117" t="s">
        <v>182</v>
      </c>
      <c r="C121" s="110" t="s">
        <v>183</v>
      </c>
      <c r="E121" s="107" t="s">
        <v>184</v>
      </c>
      <c r="F121" s="107"/>
      <c r="G121" s="118" t="str">
        <f>Mesures_Ressuage_BCH!$O$42</f>
        <v>a</v>
      </c>
    </row>
    <row r="122" spans="1:9" ht="21" x14ac:dyDescent="0.35">
      <c r="B122" s="119" t="s">
        <v>185</v>
      </c>
      <c r="C122" s="120" t="s">
        <v>186</v>
      </c>
      <c r="E122" s="107" t="s">
        <v>187</v>
      </c>
      <c r="F122" s="107"/>
      <c r="G122" s="121" t="str">
        <f>"±" &amp;  SUBSTITUTE(ROUND(AVERAGE(Mesures_Ressuage_BCH!$D$23:$D$32),2),"-"," ") &amp; "°C"</f>
        <v>±0,1°C</v>
      </c>
    </row>
    <row r="127" spans="1:9" ht="36" x14ac:dyDescent="0.25">
      <c r="C127" s="462" t="s">
        <v>188</v>
      </c>
      <c r="D127" s="462"/>
      <c r="E127" s="462"/>
      <c r="F127" s="462"/>
    </row>
    <row r="128" spans="1:9" ht="36" x14ac:dyDescent="0.25">
      <c r="B128" s="104"/>
      <c r="C128" s="104"/>
      <c r="D128" s="104"/>
    </row>
    <row r="129" spans="2:9" x14ac:dyDescent="0.25">
      <c r="B129" s="338"/>
      <c r="C129" s="338"/>
      <c r="D129" s="338"/>
      <c r="E129" s="338"/>
      <c r="F129" s="338"/>
      <c r="G129" s="338"/>
      <c r="H129" s="338"/>
      <c r="I129" s="338"/>
    </row>
    <row r="130" spans="2:9" x14ac:dyDescent="0.25">
      <c r="B130" s="338"/>
      <c r="C130" s="338"/>
      <c r="D130" s="338"/>
      <c r="E130" s="338"/>
      <c r="F130" s="338"/>
      <c r="G130" s="338"/>
      <c r="H130" s="338"/>
      <c r="I130" s="338"/>
    </row>
    <row r="131" spans="2:9" x14ac:dyDescent="0.25">
      <c r="B131" s="338"/>
      <c r="C131" s="338"/>
      <c r="D131" s="338"/>
      <c r="E131" s="338"/>
      <c r="F131" s="338"/>
      <c r="G131" s="338"/>
      <c r="H131" s="338"/>
      <c r="I131" s="338"/>
    </row>
    <row r="132" spans="2:9" x14ac:dyDescent="0.25">
      <c r="B132" s="338"/>
      <c r="C132" s="338"/>
      <c r="D132" s="338"/>
      <c r="E132" s="338"/>
      <c r="F132" s="338"/>
      <c r="G132" s="338"/>
      <c r="H132" s="338"/>
      <c r="I132" s="338"/>
    </row>
    <row r="133" spans="2:9" x14ac:dyDescent="0.25">
      <c r="B133" s="338"/>
      <c r="C133" s="338"/>
      <c r="D133" s="338"/>
      <c r="E133" s="338"/>
      <c r="F133" s="338"/>
      <c r="G133" s="338"/>
      <c r="H133" s="338"/>
      <c r="I133" s="338"/>
    </row>
    <row r="134" spans="2:9" x14ac:dyDescent="0.25">
      <c r="B134" s="338"/>
      <c r="C134" s="338"/>
      <c r="D134" s="338"/>
      <c r="E134" s="338"/>
      <c r="F134" s="338"/>
      <c r="G134" s="338"/>
      <c r="H134" s="338"/>
      <c r="I134" s="338"/>
    </row>
    <row r="135" spans="2:9" x14ac:dyDescent="0.25">
      <c r="B135" s="338"/>
      <c r="C135" s="338"/>
      <c r="D135" s="338"/>
      <c r="E135" s="338"/>
      <c r="F135" s="338"/>
      <c r="G135" s="338"/>
      <c r="H135" s="338"/>
      <c r="I135" s="338"/>
    </row>
    <row r="136" spans="2:9" x14ac:dyDescent="0.25">
      <c r="B136" s="338"/>
      <c r="C136" s="338"/>
      <c r="D136" s="338"/>
      <c r="E136" s="338"/>
      <c r="F136" s="338"/>
      <c r="G136" s="338"/>
      <c r="H136" s="338"/>
      <c r="I136" s="338"/>
    </row>
    <row r="137" spans="2:9" x14ac:dyDescent="0.25">
      <c r="B137" s="338"/>
      <c r="C137" s="338"/>
      <c r="D137" s="338"/>
      <c r="E137" s="338"/>
      <c r="F137" s="338"/>
      <c r="G137" s="338"/>
      <c r="H137" s="338"/>
      <c r="I137" s="338"/>
    </row>
    <row r="138" spans="2:9" x14ac:dyDescent="0.25">
      <c r="B138" s="338"/>
      <c r="C138" s="338"/>
      <c r="D138" s="338"/>
      <c r="E138" s="338"/>
      <c r="F138" s="338"/>
      <c r="G138" s="338"/>
      <c r="H138" s="338"/>
      <c r="I138" s="338"/>
    </row>
    <row r="139" spans="2:9" x14ac:dyDescent="0.25">
      <c r="B139" s="338"/>
      <c r="C139" s="338"/>
      <c r="D139" s="338"/>
      <c r="E139" s="338"/>
      <c r="F139" s="338"/>
      <c r="G139" s="338"/>
      <c r="H139" s="338"/>
      <c r="I139" s="338"/>
    </row>
    <row r="140" spans="2:9" x14ac:dyDescent="0.25">
      <c r="B140" s="338"/>
      <c r="C140" s="338"/>
      <c r="D140" s="338"/>
      <c r="E140" s="338"/>
      <c r="F140" s="338"/>
      <c r="G140" s="338"/>
      <c r="H140" s="338"/>
      <c r="I140" s="338"/>
    </row>
    <row r="141" spans="2:9" x14ac:dyDescent="0.25">
      <c r="B141" s="338"/>
      <c r="C141" s="338"/>
      <c r="D141" s="338"/>
      <c r="E141" s="338"/>
      <c r="F141" s="338"/>
      <c r="G141" s="338"/>
      <c r="H141" s="338"/>
      <c r="I141" s="338"/>
    </row>
    <row r="142" spans="2:9" x14ac:dyDescent="0.25">
      <c r="B142" s="338"/>
      <c r="C142" s="338"/>
      <c r="D142" s="338"/>
      <c r="E142" s="338"/>
      <c r="F142" s="338"/>
      <c r="G142" s="338"/>
      <c r="H142" s="338"/>
      <c r="I142" s="338"/>
    </row>
    <row r="143" spans="2:9" x14ac:dyDescent="0.25">
      <c r="B143" s="338"/>
      <c r="C143" s="338"/>
      <c r="D143" s="338"/>
      <c r="E143" s="338"/>
      <c r="F143" s="338"/>
      <c r="G143" s="338"/>
      <c r="H143" s="338"/>
      <c r="I143" s="338"/>
    </row>
    <row r="144" spans="2:9" x14ac:dyDescent="0.25">
      <c r="B144" s="338"/>
      <c r="C144" s="338"/>
      <c r="D144" s="338"/>
      <c r="E144" s="338"/>
      <c r="F144" s="338"/>
      <c r="G144" s="338"/>
      <c r="H144" s="338"/>
      <c r="I144" s="338"/>
    </row>
    <row r="163" spans="1:8" ht="36" x14ac:dyDescent="0.25">
      <c r="C163" s="462" t="s">
        <v>323</v>
      </c>
      <c r="D163" s="462"/>
      <c r="E163" s="462"/>
      <c r="F163" s="462"/>
      <c r="G163" s="462"/>
      <c r="H163" s="462"/>
    </row>
    <row r="167" spans="1:8" x14ac:dyDescent="0.25">
      <c r="A167" s="122" t="str" cm="1">
        <f t="array" ref="A167:C177">Mesures_Ressuage_BCH!A22:C32</f>
        <v>Positions</v>
      </c>
      <c r="B167" s="122" t="str">
        <v>Thermocouples</v>
      </c>
      <c r="C167" s="122" t="str">
        <v>N° voie Enregistreur</v>
      </c>
    </row>
    <row r="168" spans="1:8" x14ac:dyDescent="0.25">
      <c r="A168" s="122">
        <v>1</v>
      </c>
      <c r="B168" s="123">
        <v>1</v>
      </c>
      <c r="C168" s="124">
        <v>1</v>
      </c>
    </row>
    <row r="169" spans="1:8" x14ac:dyDescent="0.25">
      <c r="A169" s="122">
        <v>2</v>
      </c>
      <c r="B169" s="123">
        <v>2</v>
      </c>
      <c r="C169" s="124">
        <v>2</v>
      </c>
    </row>
    <row r="170" spans="1:8" x14ac:dyDescent="0.25">
      <c r="A170" s="122">
        <v>3</v>
      </c>
      <c r="B170" s="123">
        <v>3</v>
      </c>
      <c r="C170" s="124">
        <v>3</v>
      </c>
    </row>
    <row r="171" spans="1:8" x14ac:dyDescent="0.25">
      <c r="A171" s="122">
        <v>4</v>
      </c>
      <c r="B171" s="123">
        <v>4</v>
      </c>
      <c r="C171" s="124">
        <v>4</v>
      </c>
    </row>
    <row r="172" spans="1:8" x14ac:dyDescent="0.25">
      <c r="A172" s="122">
        <v>5</v>
      </c>
      <c r="B172" s="123">
        <v>5</v>
      </c>
      <c r="C172" s="124">
        <v>5</v>
      </c>
    </row>
    <row r="173" spans="1:8" x14ac:dyDescent="0.25">
      <c r="A173" s="122">
        <v>6</v>
      </c>
      <c r="B173" s="123">
        <v>6</v>
      </c>
      <c r="C173" s="124">
        <v>6</v>
      </c>
    </row>
    <row r="174" spans="1:8" x14ac:dyDescent="0.25">
      <c r="A174" s="122">
        <v>7</v>
      </c>
      <c r="B174" s="123">
        <v>7</v>
      </c>
      <c r="C174" s="124">
        <v>7</v>
      </c>
    </row>
    <row r="175" spans="1:8" x14ac:dyDescent="0.25">
      <c r="A175" s="122">
        <v>8</v>
      </c>
      <c r="B175" s="123">
        <v>8</v>
      </c>
      <c r="C175" s="124">
        <v>8</v>
      </c>
    </row>
    <row r="176" spans="1:8" x14ac:dyDescent="0.25">
      <c r="A176" s="122">
        <v>9</v>
      </c>
      <c r="B176" s="123">
        <v>9</v>
      </c>
      <c r="C176" s="124">
        <v>9</v>
      </c>
    </row>
    <row r="177" spans="1:3" x14ac:dyDescent="0.25">
      <c r="A177" s="122">
        <v>10</v>
      </c>
      <c r="B177" s="123">
        <v>10</v>
      </c>
      <c r="C177" s="124">
        <v>10</v>
      </c>
    </row>
    <row r="196" spans="1:9" ht="36" x14ac:dyDescent="0.25">
      <c r="C196" s="462" t="str">
        <f>"6. Résultats et exploitation des résultats à " &amp; Mesures_Ressuage_BCH!$B$19 &amp; "°C"</f>
        <v>6. Résultats et exploitation des résultats à 60°C</v>
      </c>
      <c r="D196" s="462"/>
      <c r="E196" s="462"/>
      <c r="F196" s="462"/>
      <c r="G196" s="462"/>
      <c r="H196" s="462"/>
    </row>
    <row r="200" spans="1:9" x14ac:dyDescent="0.25">
      <c r="A200" s="122" t="str" cm="1">
        <f t="array" ref="A200:B201">Mesures_Ressuage_BCH!$A$19:$B$20</f>
        <v>Consignes</v>
      </c>
      <c r="B200" s="124">
        <v>60</v>
      </c>
      <c r="G200" s="466" t="s">
        <v>191</v>
      </c>
      <c r="H200" s="467"/>
      <c r="I200" s="468"/>
    </row>
    <row r="201" spans="1:9" x14ac:dyDescent="0.25">
      <c r="A201" s="122" t="str">
        <v>Tolérances +/-</v>
      </c>
      <c r="B201" s="124">
        <v>8</v>
      </c>
      <c r="G201" s="22" t="s">
        <v>192</v>
      </c>
      <c r="H201" s="22" t="s">
        <v>193</v>
      </c>
      <c r="I201" s="22" t="s">
        <v>194</v>
      </c>
    </row>
    <row r="202" spans="1:9" x14ac:dyDescent="0.25">
      <c r="G202" s="125" cm="1">
        <f t="array" ref="G202">INDEX(Valeurs_Brutes_Ressuage_BCH[Connecteur 1], COUNTA(Valeurs_Brutes_Ressuage_BCH[Connecteur 1])-30)</f>
        <v>60.7</v>
      </c>
      <c r="H202" s="125" cm="1">
        <f t="array" ref="H202">INDEX(Valeurs_Brutes_Ressuage_BCH[Connecteur 1], COUNTA(Valeurs_Brutes_Ressuage_BCH[Connecteur 1]))</f>
        <v>60.94</v>
      </c>
      <c r="I202" s="125">
        <f>H202-G202</f>
        <v>0.23999999999999488</v>
      </c>
    </row>
    <row r="205" spans="1:9" ht="23.25" x14ac:dyDescent="0.25">
      <c r="B205" s="469" t="s">
        <v>195</v>
      </c>
      <c r="C205" s="469"/>
    </row>
    <row r="208" spans="1:9" ht="30" x14ac:dyDescent="0.25">
      <c r="B208" s="126" t="s">
        <v>196</v>
      </c>
      <c r="C208" s="127" t="s">
        <v>197</v>
      </c>
      <c r="D208" s="127" t="s">
        <v>112</v>
      </c>
      <c r="E208" s="128" t="s">
        <v>198</v>
      </c>
      <c r="F208" s="127" t="s">
        <v>199</v>
      </c>
    </row>
    <row r="209" spans="1:6" x14ac:dyDescent="0.25">
      <c r="B209" s="129" t="s">
        <v>200</v>
      </c>
      <c r="C209" s="130" t="str">
        <f>B200 &amp; "°C"</f>
        <v>60°C</v>
      </c>
      <c r="D209" s="130" t="s">
        <v>201</v>
      </c>
      <c r="E209" s="130" t="s">
        <v>201</v>
      </c>
      <c r="F209" s="131" t="s">
        <v>201</v>
      </c>
    </row>
    <row r="210" spans="1:6" x14ac:dyDescent="0.25">
      <c r="B210" s="129" t="s">
        <v>202</v>
      </c>
      <c r="C210" s="130" t="str">
        <f>B200 &amp; "°C"</f>
        <v>60°C</v>
      </c>
      <c r="D210" s="130" t="s">
        <v>201</v>
      </c>
      <c r="E210" s="130" t="s">
        <v>201</v>
      </c>
      <c r="F210" s="131" t="s">
        <v>201</v>
      </c>
    </row>
    <row r="211" spans="1:6" ht="15" customHeight="1" x14ac:dyDescent="0.25">
      <c r="A211" s="470" t="s">
        <v>203</v>
      </c>
      <c r="B211" s="129" t="s">
        <v>204</v>
      </c>
      <c r="C211" s="132">
        <f ca="1">MAX(Ressuage_BCH!C90:L90)</f>
        <v>65.049999999999983</v>
      </c>
      <c r="D211" s="130">
        <f ca="1">_xlfn.XLOOKUP(INT(SUBSTITUTE(E211,"Connecteur ","")),Mesures_Ressuage_BCH!$C$23:$C$32,Mesures_Ressuage_BCH!$A$23:$A$32)</f>
        <v>9</v>
      </c>
      <c r="E211" s="130" t="str" cm="1">
        <f t="array" aca="1" ref="E211" ca="1">_xlfn.XLOOKUP(C211,Ressuage_BCH!C90:L90,_xlfn.ANCHORARRAY(Ressuage_BCH!C88))</f>
        <v>Connecteur 9</v>
      </c>
      <c r="F211" s="130">
        <f ca="1">_xlfn.XLOOKUP(INT(SUBSTITUTE(E211,"Connecteur ","")),Mesures_Ressuage_BCH!$C$23:$C$32,Mesures_Ressuage_BCH!$B$23:$B$32)</f>
        <v>9</v>
      </c>
    </row>
    <row r="212" spans="1:6" x14ac:dyDescent="0.25">
      <c r="A212" s="470"/>
      <c r="B212" s="129" t="s">
        <v>205</v>
      </c>
      <c r="C212" s="132">
        <f ca="1">MIN(Ressuage_BCH!C90:L90)</f>
        <v>56.99</v>
      </c>
      <c r="D212" s="130">
        <f ca="1">_xlfn.XLOOKUP(INT(SUBSTITUTE(E212,"Connecteur ","")),Mesures_Ressuage_BCH!$C$23:$C$32,Mesures_Ressuage_BCH!$A$23:$A$32)</f>
        <v>3</v>
      </c>
      <c r="E212" s="130" t="str" cm="1">
        <f t="array" aca="1" ref="E212" ca="1">_xlfn.XLOOKUP(C212,Ressuage_BCH!C90:L90,_xlfn.ANCHORARRAY(Ressuage_BCH!C88))</f>
        <v>Connecteur 3</v>
      </c>
      <c r="F212" s="131">
        <f ca="1">_xlfn.XLOOKUP(INT(SUBSTITUTE(E212,"Connecteur ","")),Mesures_Ressuage_BCH!$C$23:$C$32,Mesures_Ressuage_BCH!$B$23:$B$32)</f>
        <v>3</v>
      </c>
    </row>
    <row r="213" spans="1:6" ht="34.5" customHeight="1" x14ac:dyDescent="0.25">
      <c r="A213" s="470"/>
      <c r="B213" s="129" t="s">
        <v>206</v>
      </c>
      <c r="C213" s="132">
        <f ca="1">MIN(Ressuage_BCH!C91:L91)</f>
        <v>55.080000000000005</v>
      </c>
      <c r="D213" s="130">
        <f ca="1">_xlfn.XLOOKUP(INT(SUBSTITUTE(E213,"Connecteur ","")),Mesures_Ressuage_BCH!$C$23:$C$32,Mesures_Ressuage_BCH!$A$23:$A$32)</f>
        <v>3</v>
      </c>
      <c r="E213" s="130" t="str" cm="1">
        <f t="array" aca="1" ref="E213" ca="1">_xlfn.XLOOKUP(C213,Ressuage_BCH!C91:L91,_xlfn.ANCHORARRAY(Ressuage_BCH!C88))</f>
        <v>Connecteur 3</v>
      </c>
      <c r="F213" s="131">
        <f ca="1">_xlfn.XLOOKUP(INT(SUBSTITUTE(E213,"Connecteur ","")),Mesures_Ressuage_BCH!$C$23:$C$32,Mesures_Ressuage_BCH!$B$23:$B$32)</f>
        <v>3</v>
      </c>
    </row>
    <row r="214" spans="1:6" x14ac:dyDescent="0.25">
      <c r="A214" s="470"/>
      <c r="B214" s="129" t="s">
        <v>207</v>
      </c>
      <c r="C214" s="132">
        <f ca="1">Ressuage_BCH!C95</f>
        <v>59.188633333333335</v>
      </c>
      <c r="D214" s="130" t="s">
        <v>201</v>
      </c>
      <c r="E214" s="130" t="s">
        <v>201</v>
      </c>
      <c r="F214" s="131" t="s">
        <v>201</v>
      </c>
    </row>
    <row r="215" spans="1:6" x14ac:dyDescent="0.25">
      <c r="C215" s="89"/>
      <c r="D215" s="89"/>
      <c r="E215" s="89"/>
      <c r="F215" s="89"/>
    </row>
    <row r="226" spans="2:9" ht="36" x14ac:dyDescent="0.25">
      <c r="B226" s="462" t="str">
        <f>"7. Résultats et exploitation des résultats à " &amp; Mesures_Ressuage_BCH!$B$19 &amp; "°C"</f>
        <v>7. Résultats et exploitation des résultats à 60°C</v>
      </c>
      <c r="C226" s="462"/>
      <c r="D226" s="462"/>
      <c r="E226" s="462"/>
      <c r="F226" s="462"/>
    </row>
    <row r="229" spans="2:9" x14ac:dyDescent="0.25">
      <c r="B229" s="338" t="s">
        <v>209</v>
      </c>
      <c r="C229" s="338"/>
    </row>
    <row r="232" spans="2:9" x14ac:dyDescent="0.25">
      <c r="C232" s="27"/>
      <c r="D232" s="27"/>
      <c r="E232" s="27"/>
      <c r="F232" s="457" t="s">
        <v>191</v>
      </c>
      <c r="G232" s="459"/>
      <c r="H232" s="459"/>
      <c r="I232" s="458"/>
    </row>
    <row r="233" spans="2:9" ht="30" x14ac:dyDescent="0.25">
      <c r="C233" s="36" t="s">
        <v>9</v>
      </c>
      <c r="D233" s="36" t="s">
        <v>12</v>
      </c>
      <c r="E233" s="133" t="s">
        <v>210</v>
      </c>
      <c r="F233" s="36" t="s">
        <v>211</v>
      </c>
      <c r="G233" s="36" t="s">
        <v>212</v>
      </c>
      <c r="H233" s="36" t="s">
        <v>213</v>
      </c>
      <c r="I233" s="36" t="s">
        <v>214</v>
      </c>
    </row>
    <row r="234" spans="2:9" x14ac:dyDescent="0.25">
      <c r="C234" s="38" cm="1">
        <f t="array" ref="C234:E243">Mesures_Ressuage_BCH!$A$23:$C$32</f>
        <v>1</v>
      </c>
      <c r="D234" s="38">
        <v>1</v>
      </c>
      <c r="E234" s="38">
        <v>1</v>
      </c>
      <c r="F234" s="134" cm="1">
        <f t="array" aca="1" ref="F234" ca="1">_xlfn.XLOOKUP(SUBSTITUTE(Ressuage_PV_BCH!E234,Ressuage_PV_BCH!E234,"Connecteur " &amp; Ressuage_PV_BCH!E234),_xlfn.ANCHORARRAY(Ressuage_BCH!C88),Ressuage_BCH!C91:L91)</f>
        <v>59.17</v>
      </c>
      <c r="G234" s="134" cm="1">
        <f t="array" aca="1" ref="G234" ca="1">_xlfn.XLOOKUP(SUBSTITUTE(Ressuage_PV_BCH!E234,Ressuage_PV_BCH!E234,"Connecteur " &amp; Ressuage_PV_BCH!E234),_xlfn.ANCHORARRAY(Ressuage_BCH!C88),Ressuage_BCH!C90:L90)</f>
        <v>61.720000000000006</v>
      </c>
      <c r="H234" s="134" cm="1">
        <f t="array" aca="1" ref="H234" ca="1">_xlfn.XLOOKUP(SUBSTITUTE(Ressuage_PV_BCH!E234,Ressuage_PV_BCH!E234,"Connecteur " &amp; Ressuage_PV_BCH!E234),_xlfn.ANCHORARRAY(Ressuage_BCH!C88),Ressuage_BCH!C92:L92)</f>
        <v>60.377999999999993</v>
      </c>
      <c r="I234" s="134" cm="1">
        <f t="array" aca="1" ref="I234" ca="1">_xlfn.XLOOKUP(SUBSTITUTE(Ressuage_PV_BCH!E234,Ressuage_PV_BCH!E234,"Connecteur " &amp; Ressuage_PV_BCH!E234),_xlfn.ANCHORARRAY(Ressuage_BCH!C88),Ressuage_BCH!C93:L93)</f>
        <v>2.5500000000000043</v>
      </c>
    </row>
    <row r="235" spans="2:9" x14ac:dyDescent="0.25">
      <c r="C235" s="38">
        <v>2</v>
      </c>
      <c r="D235" s="38">
        <v>2</v>
      </c>
      <c r="E235" s="38">
        <v>2</v>
      </c>
      <c r="F235" s="134" cm="1">
        <f t="array" aca="1" ref="F235" ca="1">_xlfn.XLOOKUP(SUBSTITUTE(Ressuage_PV_BCH!E235,Ressuage_PV_BCH!E235,"Connecteur " &amp; Ressuage_PV_BCH!E235),_xlfn.ANCHORARRAY(Ressuage_BCH!C88),Ressuage_BCH!C91:L91)</f>
        <v>56.57</v>
      </c>
      <c r="G235" s="134" cm="1">
        <f t="array" aca="1" ref="G235" ca="1">_xlfn.XLOOKUP(SUBSTITUTE(Ressuage_PV_BCH!E235,Ressuage_PV_BCH!E235,"Connecteur " &amp; Ressuage_PV_BCH!E235),_xlfn.ANCHORARRAY(Ressuage_BCH!C88),Ressuage_BCH!C90:L90)</f>
        <v>59.370000000000005</v>
      </c>
      <c r="H235" s="134" cm="1">
        <f t="array" aca="1" ref="H235" ca="1">_xlfn.XLOOKUP(SUBSTITUTE(Ressuage_PV_BCH!E235,Ressuage_PV_BCH!E235,"Connecteur " &amp; Ressuage_PV_BCH!E235),_xlfn.ANCHORARRAY(Ressuage_BCH!C88),Ressuage_BCH!C92:L92)</f>
        <v>57.88</v>
      </c>
      <c r="I235" s="134" cm="1">
        <f t="array" aca="1" ref="I235" ca="1">_xlfn.XLOOKUP(SUBSTITUTE(Ressuage_PV_BCH!E235,Ressuage_PV_BCH!E235,"Connecteur " &amp; Ressuage_PV_BCH!E235),_xlfn.ANCHORARRAY(Ressuage_BCH!C88),Ressuage_BCH!C93:L93)</f>
        <v>2.8000000000000043</v>
      </c>
    </row>
    <row r="236" spans="2:9" x14ac:dyDescent="0.25">
      <c r="C236" s="38">
        <v>3</v>
      </c>
      <c r="D236" s="38">
        <v>3</v>
      </c>
      <c r="E236" s="38">
        <v>3</v>
      </c>
      <c r="F236" s="134" cm="1">
        <f t="array" aca="1" ref="F236" ca="1">_xlfn.XLOOKUP(SUBSTITUTE(Ressuage_PV_BCH!E236,Ressuage_PV_BCH!E236,"Connecteur " &amp; Ressuage_PV_BCH!E236),_xlfn.ANCHORARRAY(Ressuage_BCH!C88),Ressuage_BCH!C91:L91)</f>
        <v>55.080000000000005</v>
      </c>
      <c r="G236" s="134" cm="1">
        <f t="array" aca="1" ref="G236" ca="1">_xlfn.XLOOKUP(SUBSTITUTE(Ressuage_PV_BCH!E236,Ressuage_PV_BCH!E236,"Connecteur " &amp; Ressuage_PV_BCH!E236),_xlfn.ANCHORARRAY(Ressuage_BCH!C88),Ressuage_BCH!C90:L90)</f>
        <v>56.99</v>
      </c>
      <c r="H236" s="134" cm="1">
        <f t="array" aca="1" ref="H236" ca="1">_xlfn.XLOOKUP(SUBSTITUTE(Ressuage_PV_BCH!E236,Ressuage_PV_BCH!E236,"Connecteur " &amp; Ressuage_PV_BCH!E236),_xlfn.ANCHORARRAY(Ressuage_BCH!C88),Ressuage_BCH!C92:L92)</f>
        <v>56.034666666666659</v>
      </c>
      <c r="I236" s="134" cm="1">
        <f t="array" aca="1" ref="I236" ca="1">_xlfn.XLOOKUP(SUBSTITUTE(Ressuage_PV_BCH!E236,Ressuage_PV_BCH!E236,"Connecteur " &amp; Ressuage_PV_BCH!E236),_xlfn.ANCHORARRAY(Ressuage_BCH!C88),Ressuage_BCH!C93:L93)</f>
        <v>1.9099999999999966</v>
      </c>
    </row>
    <row r="237" spans="2:9" x14ac:dyDescent="0.25">
      <c r="C237" s="38">
        <v>4</v>
      </c>
      <c r="D237" s="38">
        <v>4</v>
      </c>
      <c r="E237" s="38">
        <v>4</v>
      </c>
      <c r="F237" s="134" cm="1">
        <f t="array" aca="1" ref="F237" ca="1">_xlfn.XLOOKUP(SUBSTITUTE(Ressuage_PV_BCH!E237,Ressuage_PV_BCH!E237,"Connecteur " &amp; Ressuage_PV_BCH!E237),_xlfn.ANCHORARRAY(Ressuage_BCH!C88),Ressuage_BCH!C91:L91)</f>
        <v>56.46</v>
      </c>
      <c r="G237" s="134" cm="1">
        <f t="array" aca="1" ref="G237" ca="1">_xlfn.XLOOKUP(SUBSTITUTE(Ressuage_PV_BCH!E237,Ressuage_PV_BCH!E237,"Connecteur " &amp; Ressuage_PV_BCH!E237),_xlfn.ANCHORARRAY(Ressuage_BCH!C88),Ressuage_BCH!C90:L90)</f>
        <v>58.790000000000006</v>
      </c>
      <c r="H237" s="134" cm="1">
        <f t="array" aca="1" ref="H237" ca="1">_xlfn.XLOOKUP(SUBSTITUTE(Ressuage_PV_BCH!E237,Ressuage_PV_BCH!E237,"Connecteur " &amp; Ressuage_PV_BCH!E237),_xlfn.ANCHORARRAY(Ressuage_BCH!C88),Ressuage_BCH!C92:L92)</f>
        <v>57.591999999999992</v>
      </c>
      <c r="I237" s="134" cm="1">
        <f t="array" aca="1" ref="I237" ca="1">_xlfn.XLOOKUP(SUBSTITUTE(Ressuage_PV_BCH!E237,Ressuage_PV_BCH!E237,"Connecteur " &amp; Ressuage_PV_BCH!E237),_xlfn.ANCHORARRAY(Ressuage_BCH!C88),Ressuage_BCH!C93:L93)</f>
        <v>2.3300000000000054</v>
      </c>
    </row>
    <row r="238" spans="2:9" x14ac:dyDescent="0.25">
      <c r="C238" s="38">
        <v>5</v>
      </c>
      <c r="D238" s="38">
        <v>5</v>
      </c>
      <c r="E238" s="38">
        <v>5</v>
      </c>
      <c r="F238" s="134" cm="1">
        <f t="array" aca="1" ref="F238" ca="1">_xlfn.XLOOKUP(SUBSTITUTE(Ressuage_PV_BCH!E238,Ressuage_PV_BCH!E238,"Connecteur " &amp; Ressuage_PV_BCH!E238),_xlfn.ANCHORARRAY(Ressuage_BCH!C88),Ressuage_BCH!C91:L91)</f>
        <v>58.260000000000005</v>
      </c>
      <c r="G238" s="134" cm="1">
        <f t="array" aca="1" ref="G238" ca="1">_xlfn.XLOOKUP(SUBSTITUTE(Ressuage_PV_BCH!E238,Ressuage_PV_BCH!E238,"Connecteur "&amp;Ressuage_PV_BCH!E238),_xlfn.ANCHORARRAY(Ressuage_BCH!C88),Ressuage_BCH!C90:L90)</f>
        <v>60.480000000000004</v>
      </c>
      <c r="H238" s="134" cm="1">
        <f t="array" aca="1" ref="H238" ca="1">_xlfn.XLOOKUP(SUBSTITUTE(Ressuage_PV_BCH!E238,Ressuage_PV_BCH!E238,"Connecteur " &amp; Ressuage_PV_BCH!E238),_xlfn.ANCHORARRAY(Ressuage_BCH!C88),Ressuage_BCH!C92:L92)</f>
        <v>59.312666666666679</v>
      </c>
      <c r="I238" s="134" cm="1">
        <f t="array" aca="1" ref="I238" ca="1">_xlfn.XLOOKUP(SUBSTITUTE(Ressuage_PV_BCH!E238,Ressuage_PV_BCH!E238,"Connecteur " &amp; Ressuage_PV_BCH!E238),_xlfn.ANCHORARRAY(Ressuage_BCH!C88),Ressuage_BCH!C93:L93)</f>
        <v>2.2199999999999989</v>
      </c>
    </row>
    <row r="239" spans="2:9" x14ac:dyDescent="0.25">
      <c r="C239" s="38">
        <v>6</v>
      </c>
      <c r="D239" s="38">
        <v>6</v>
      </c>
      <c r="E239" s="38">
        <v>6</v>
      </c>
      <c r="F239" s="134" cm="1">
        <f t="array" aca="1" ref="F239" ca="1">_xlfn.XLOOKUP(SUBSTITUTE(Ressuage_PV_BCH!E239,Ressuage_PV_BCH!E239,"Connecteur " &amp; Ressuage_PV_BCH!E239),_xlfn.ANCHORARRAY(Ressuage_BCH!C88),Ressuage_BCH!C91:L91)</f>
        <v>59.940000000000005</v>
      </c>
      <c r="G239" s="134" cm="1">
        <f t="array" aca="1" ref="G239" ca="1">_xlfn.XLOOKUP(SUBSTITUTE(Ressuage_PV_BCH!E239,Ressuage_PV_BCH!E239,"Connecteur " &amp; Ressuage_PV_BCH!E239),_xlfn.ANCHORARRAY(Ressuage_BCH!C88),Ressuage_BCH!C90:L90)</f>
        <v>62.7</v>
      </c>
      <c r="H239" s="134" cm="1">
        <f t="array" aca="1" ref="H239" ca="1">_xlfn.XLOOKUP(SUBSTITUTE(Ressuage_PV_BCH!E239,Ressuage_PV_BCH!E239,"Connecteur " &amp; Ressuage_PV_BCH!E239),_xlfn.ANCHORARRAY(Ressuage_BCH!C88),Ressuage_BCH!C92:L92)</f>
        <v>61.196333333333349</v>
      </c>
      <c r="I239" s="134" cm="1">
        <f t="array" aca="1" ref="I239" ca="1">_xlfn.XLOOKUP(SUBSTITUTE(Ressuage_PV_BCH!E239,Ressuage_PV_BCH!E239,"Connecteur " &amp; Ressuage_PV_BCH!E239),_xlfn.ANCHORARRAY(Ressuage_BCH!C88),Ressuage_BCH!C93:L93)</f>
        <v>2.759999999999998</v>
      </c>
    </row>
    <row r="240" spans="2:9" x14ac:dyDescent="0.25">
      <c r="C240" s="38">
        <v>7</v>
      </c>
      <c r="D240" s="38">
        <v>7</v>
      </c>
      <c r="E240" s="38">
        <v>7</v>
      </c>
      <c r="F240" s="134" cm="1">
        <f t="array" aca="1" ref="F240" ca="1">_xlfn.XLOOKUP(SUBSTITUTE(Ressuage_PV_BCH!E240,Ressuage_PV_BCH!E240,"Connecteur " &amp; Ressuage_PV_BCH!E240),_xlfn.ANCHORARRAY(Ressuage_BCH!C88),Ressuage_BCH!C91:L91)</f>
        <v>59.49</v>
      </c>
      <c r="G240" s="134" cm="1">
        <f t="array" aca="1" ref="G240" ca="1">_xlfn.XLOOKUP(SUBSTITUTE(Ressuage_PV_BCH!E240,Ressuage_PV_BCH!E240,"Connecteur " &amp; Ressuage_PV_BCH!E240),_xlfn.ANCHORARRAY(Ressuage_BCH!C88),Ressuage_BCH!C90:L90)</f>
        <v>62.220000000000006</v>
      </c>
      <c r="H240" s="134" cm="1">
        <f t="array" aca="1" ref="H240" ca="1">_xlfn.XLOOKUP(SUBSTITUTE(Ressuage_PV_BCH!E240,Ressuage_PV_BCH!E240,"Connecteur " &amp; Ressuage_PV_BCH!E240),_xlfn.ANCHORARRAY(Ressuage_BCH!C88),Ressuage_BCH!C92:L92)</f>
        <v>60.778666666666666</v>
      </c>
      <c r="I240" s="134" cm="1">
        <f t="array" aca="1" ref="I240" ca="1">_xlfn.XLOOKUP(SUBSTITUTE(Ressuage_PV_BCH!E240,Ressuage_PV_BCH!E240,"Connecteur " &amp; Ressuage_PV_BCH!E240),_xlfn.ANCHORARRAY(Ressuage_BCH!C88),Ressuage_BCH!C93:L93)</f>
        <v>2.730000000000004</v>
      </c>
    </row>
    <row r="241" spans="2:9" x14ac:dyDescent="0.25">
      <c r="C241" s="38">
        <v>8</v>
      </c>
      <c r="D241" s="38">
        <v>8</v>
      </c>
      <c r="E241" s="38">
        <v>8</v>
      </c>
      <c r="F241" s="134" cm="1">
        <f t="array" aca="1" ref="F241" ca="1">_xlfn.XLOOKUP(SUBSTITUTE(Ressuage_PV_BCH!E241,Ressuage_PV_BCH!E241,"Connecteur " &amp; Ressuage_PV_BCH!E241),_xlfn.ANCHORARRAY(Ressuage_BCH!C88),Ressuage_BCH!C91:L91)</f>
        <v>56.7</v>
      </c>
      <c r="G241" s="134" cm="1">
        <f t="array" aca="1" ref="G241" ca="1">_xlfn.XLOOKUP(SUBSTITUTE(Ressuage_PV_BCH!E241,Ressuage_PV_BCH!E241,"Connecteur " &amp; Ressuage_PV_BCH!E241),_xlfn.ANCHORARRAY(Ressuage_BCH!C88),Ressuage_BCH!C90:L90)</f>
        <v>59.32</v>
      </c>
      <c r="H241" s="134" cm="1">
        <f t="array" aca="1" ref="H241" ca="1">_xlfn.XLOOKUP(SUBSTITUTE(Ressuage_PV_BCH!E241,Ressuage_PV_BCH!E241,"Connecteur " &amp; Ressuage_PV_BCH!E241),_xlfn.ANCHORARRAY(Ressuage_BCH!C88),Ressuage_BCH!C92:L92)</f>
        <v>57.98566666666666</v>
      </c>
      <c r="I241" s="134" cm="1">
        <f t="array" aca="1" ref="I241" ca="1">_xlfn.XLOOKUP(SUBSTITUTE(Ressuage_PV_BCH!E241,Ressuage_PV_BCH!E241,"Connecteur " &amp; Ressuage_PV_BCH!E241),_xlfn.ANCHORARRAY(Ressuage_BCH!C88),Ressuage_BCH!C93:L93)</f>
        <v>2.6199999999999974</v>
      </c>
    </row>
    <row r="242" spans="2:9" x14ac:dyDescent="0.25">
      <c r="C242" s="38">
        <v>9</v>
      </c>
      <c r="D242" s="38">
        <v>9</v>
      </c>
      <c r="E242" s="38">
        <v>9</v>
      </c>
      <c r="F242" s="134" cm="1">
        <f t="array" aca="1" ref="F242" ca="1">_xlfn.XLOOKUP(SUBSTITUTE(Ressuage_PV_BCH!E242,Ressuage_PV_BCH!E242,"Connecteur " &amp; Ressuage_PV_BCH!E242),_xlfn.ANCHORARRAY(Ressuage_BCH!C88),Ressuage_BCH!C91:L91)</f>
        <v>61.690000000000005</v>
      </c>
      <c r="G242" s="134" cm="1">
        <f t="array" aca="1" ref="G242" ca="1">_xlfn.XLOOKUP(SUBSTITUTE(Ressuage_PV_BCH!E242,Ressuage_PV_BCH!E242,"Connecteur " &amp; Ressuage_PV_BCH!E242),_xlfn.ANCHORARRAY(Ressuage_BCH!C88),Ressuage_BCH!C90:L90)</f>
        <v>65.049999999999983</v>
      </c>
      <c r="H242" s="134" cm="1">
        <f t="array" aca="1" ref="H242" ca="1">_xlfn.XLOOKUP(SUBSTITUTE(Ressuage_PV_BCH!E242,Ressuage_PV_BCH!E242,"Connecteur " &amp; Ressuage_PV_BCH!E242),_xlfn.ANCHORARRAY(Ressuage_BCH!C88),Ressuage_BCH!C92:L92)</f>
        <v>63.271999999999998</v>
      </c>
      <c r="I242" s="134" cm="1">
        <f t="array" aca="1" ref="I242" ca="1">_xlfn.XLOOKUP(SUBSTITUTE(Ressuage_PV_BCH!E242,Ressuage_PV_BCH!E242,"Connecteur " &amp; Ressuage_PV_BCH!E242),_xlfn.ANCHORARRAY(Ressuage_BCH!C88),Ressuage_BCH!C93:L93)</f>
        <v>3.3599999999999781</v>
      </c>
    </row>
    <row r="243" spans="2:9" x14ac:dyDescent="0.25">
      <c r="C243" s="38">
        <v>10</v>
      </c>
      <c r="D243" s="38">
        <v>10</v>
      </c>
      <c r="E243" s="38">
        <v>10</v>
      </c>
      <c r="F243" s="134" cm="1">
        <f t="array" aca="1" ref="F243" ca="1">_xlfn.XLOOKUP(SUBSTITUTE(Ressuage_PV_BCH!E243,Ressuage_PV_BCH!E243,"Connecteur " &amp; Ressuage_PV_BCH!E243),_xlfn.ANCHORARRAY(Ressuage_BCH!C88),Ressuage_BCH!C91:L91)</f>
        <v>56.580000000000005</v>
      </c>
      <c r="G243" s="134" cm="1">
        <f t="array" aca="1" ref="G243" ca="1">_xlfn.XLOOKUP(SUBSTITUTE(Ressuage_PV_BCH!E243,Ressuage_PV_BCH!E243,"Connecteur " &amp; Ressuage_PV_BCH!E243),_xlfn.ANCHORARRAY(Ressuage_BCH!C88),Ressuage_BCH!C90:L90)</f>
        <v>58.63</v>
      </c>
      <c r="H243" s="134" cm="1">
        <f t="array" aca="1" ref="H243" ca="1">_xlfn.XLOOKUP(SUBSTITUTE(Ressuage_PV_BCH!E243,Ressuage_PV_BCH!E243,"Connecteur " &amp; Ressuage_PV_BCH!E243),_xlfn.ANCHORARRAY(Ressuage_BCH!C88),Ressuage_BCH!C92:L92)</f>
        <v>57.456333333333355</v>
      </c>
      <c r="I243" s="134" cm="1">
        <f t="array" aca="1" ref="I243" ca="1">_xlfn.XLOOKUP(SUBSTITUTE(Ressuage_PV_BCH!E243,Ressuage_PV_BCH!E243,"Connecteur " &amp; Ressuage_PV_BCH!E243),_xlfn.ANCHORARRAY(Ressuage_BCH!C88),Ressuage_BCH!C93:L93)</f>
        <v>2.0499999999999972</v>
      </c>
    </row>
    <row r="252" spans="2:9" x14ac:dyDescent="0.25">
      <c r="B252" s="135"/>
    </row>
    <row r="254" spans="2:9" ht="36" x14ac:dyDescent="0.3">
      <c r="C254" s="136" t="str">
        <f>"8. Résultats et exploitation des résultats à " &amp; Mesures_Ressuage_BCH!B19 &amp; "°C"</f>
        <v>8. Résultats et exploitation des résultats à 60°C</v>
      </c>
      <c r="D254" s="137"/>
      <c r="E254" s="137"/>
      <c r="F254" s="137"/>
    </row>
    <row r="257" spans="2:2" x14ac:dyDescent="0.25">
      <c r="B257" t="s">
        <v>216</v>
      </c>
    </row>
    <row r="293" spans="2:8" ht="36" x14ac:dyDescent="0.55000000000000004">
      <c r="G293" s="460" t="s">
        <v>217</v>
      </c>
      <c r="H293" s="460"/>
    </row>
    <row r="297" spans="2:8" ht="23.25" customHeight="1" x14ac:dyDescent="0.25">
      <c r="B297" s="461" t="s">
        <v>326</v>
      </c>
      <c r="C297" s="461"/>
      <c r="D297" s="461"/>
      <c r="E297" s="461"/>
      <c r="F297" s="138" t="str">
        <f ca="1">IF(OR(AVERAGE(Ressuage_BCH!C90:L90)&gt;Ressuage_BCH!M90,AVERAGE(Ressuage_BCH!C91:L91)&lt;Ressuage_BCH!M91),"NON CONFORME","CONFORME")</f>
        <v>CONFORME</v>
      </c>
      <c r="G297" s="139"/>
    </row>
    <row r="298" spans="2:8" ht="23.25" customHeight="1" x14ac:dyDescent="0.25">
      <c r="B298" s="461"/>
      <c r="C298" s="461"/>
      <c r="D298" s="461"/>
      <c r="E298" s="461"/>
      <c r="F298" s="139"/>
      <c r="G298" s="139"/>
    </row>
    <row r="299" spans="2:8" ht="15" customHeight="1" x14ac:dyDescent="0.25">
      <c r="B299" s="139"/>
      <c r="C299" s="139"/>
      <c r="D299" s="139"/>
      <c r="E299" s="139"/>
      <c r="F299" s="139"/>
      <c r="G299" s="139"/>
    </row>
    <row r="303" spans="2:8" x14ac:dyDescent="0.25">
      <c r="C303" s="129" t="s">
        <v>219</v>
      </c>
      <c r="D303" s="129"/>
      <c r="E303" s="129" t="str">
        <f>Mesures_Ressuage_BCH!$B$19 &amp; "°C"</f>
        <v>60°C</v>
      </c>
    </row>
    <row r="304" spans="2:8" x14ac:dyDescent="0.25">
      <c r="C304" s="456" t="s">
        <v>220</v>
      </c>
      <c r="D304" s="456"/>
      <c r="E304" s="142">
        <f>Mesures_Ressuage_BCH!$B$19</f>
        <v>60</v>
      </c>
    </row>
    <row r="305" spans="3:5" x14ac:dyDescent="0.25">
      <c r="C305" s="456" t="s">
        <v>221</v>
      </c>
      <c r="D305" s="456"/>
      <c r="E305" s="134">
        <f ca="1">Ressuage_BCH!C94</f>
        <v>9.9699999999999775</v>
      </c>
    </row>
    <row r="306" spans="3:5" x14ac:dyDescent="0.25">
      <c r="C306" s="456" t="s">
        <v>222</v>
      </c>
      <c r="D306" s="456"/>
      <c r="E306" s="38" t="str">
        <f>"±" &amp; Mesures_Ressuage_BCH!$B$20</f>
        <v>±8</v>
      </c>
    </row>
    <row r="307" spans="3:5" x14ac:dyDescent="0.25">
      <c r="C307" s="457" t="s">
        <v>324</v>
      </c>
      <c r="D307" s="458"/>
      <c r="E307" s="38" t="str">
        <f ca="1">IF(MIN(Ressuage_BCH!$C$91:$L$91)&lt;Ressuage_BCH!$M$91,"NON CONFORME","CONFORME")</f>
        <v>CONFORME</v>
      </c>
    </row>
    <row r="308" spans="3:5" x14ac:dyDescent="0.25">
      <c r="C308" s="457" t="s">
        <v>325</v>
      </c>
      <c r="D308" s="458"/>
      <c r="E308" s="38" t="str">
        <f ca="1">IF(MAX(Ressuage_BCH!$C$90:$L$90)&lt;Ressuage_BCH!$M$91,"NON CONFORME","CONFORME")</f>
        <v>CONFORME</v>
      </c>
    </row>
    <row r="309" spans="3:5" x14ac:dyDescent="0.25">
      <c r="C309" s="457" t="s">
        <v>245</v>
      </c>
      <c r="D309" s="458"/>
      <c r="E309" s="38" t="str">
        <f ca="1">IF(F297="CONFORME","OUI","NON")</f>
        <v>OUI</v>
      </c>
    </row>
    <row r="310" spans="3:5" x14ac:dyDescent="0.25">
      <c r="C310" s="456" t="s">
        <v>224</v>
      </c>
      <c r="D310" s="456"/>
      <c r="E310" s="38">
        <v>2</v>
      </c>
    </row>
  </sheetData>
  <sheetProtection algorithmName="SHA-512" hashValue="dcAddS3x4ylcFuPeDABem5/Up/wGmFcMaVwKZN7zrbkir8CZ9Nz1vO9QB+QjsVZXpNFPNVfk6uwTHKKKbosSQA==" saltValue="79yX57XkCszKZ2FBCL9MJg==" spinCount="100000" sheet="1" objects="1" scenarios="1"/>
  <mergeCells count="42">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9:D309"/>
    <mergeCell ref="C310:D310"/>
    <mergeCell ref="B229:C229"/>
    <mergeCell ref="F232:I232"/>
    <mergeCell ref="G293:H293"/>
    <mergeCell ref="B297:E298"/>
    <mergeCell ref="C304:D304"/>
    <mergeCell ref="C305:D305"/>
    <mergeCell ref="C307:D307"/>
    <mergeCell ref="C308:D308"/>
  </mergeCells>
  <conditionalFormatting sqref="F297">
    <cfRule type="containsText" dxfId="60" priority="1" operator="containsText" text="NON CONFORME">
      <formula>NOT(ISERROR(SEARCH("NON CONFORME",F297)))</formula>
    </cfRule>
    <cfRule type="containsText" dxfId="59"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zoomScale="60" zoomScaleNormal="100" workbookViewId="0">
      <selection activeCell="I45" sqref="I45"/>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5" t="s">
        <v>293</v>
      </c>
      <c r="C1" s="475"/>
      <c r="D1" s="475"/>
      <c r="E1" s="475"/>
      <c r="F1" s="475"/>
      <c r="G1" s="475"/>
      <c r="H1" s="475"/>
      <c r="I1" s="475"/>
      <c r="J1" s="51"/>
      <c r="K1" s="51"/>
      <c r="L1" s="51"/>
      <c r="M1" s="51"/>
    </row>
    <row r="2" spans="1:13" x14ac:dyDescent="0.25">
      <c r="L2" s="51"/>
      <c r="M2" s="51"/>
    </row>
    <row r="3" spans="1:13" x14ac:dyDescent="0.25">
      <c r="A3" s="476" t="s">
        <v>101</v>
      </c>
      <c r="B3" s="476"/>
      <c r="C3" s="476"/>
      <c r="D3" s="476"/>
      <c r="E3" s="476"/>
      <c r="F3" s="476"/>
      <c r="G3" s="476"/>
      <c r="H3" s="476"/>
      <c r="I3" s="476"/>
    </row>
    <row r="4" spans="1:13" x14ac:dyDescent="0.25">
      <c r="A4" t="s">
        <v>294</v>
      </c>
      <c r="B4" s="52"/>
      <c r="C4" s="52"/>
      <c r="D4" s="52"/>
      <c r="E4" s="52"/>
      <c r="F4" s="52"/>
      <c r="G4" s="52"/>
      <c r="H4" s="52"/>
      <c r="I4" s="52"/>
    </row>
    <row r="5" spans="1:13" x14ac:dyDescent="0.25">
      <c r="A5" t="s">
        <v>295</v>
      </c>
      <c r="B5" s="52"/>
      <c r="C5" s="52"/>
      <c r="D5" s="52"/>
      <c r="E5" s="52"/>
      <c r="F5" s="52"/>
      <c r="G5" s="52"/>
      <c r="H5" s="52"/>
      <c r="I5" s="52"/>
    </row>
    <row r="6" spans="1:13" x14ac:dyDescent="0.25">
      <c r="A6" t="s">
        <v>296</v>
      </c>
      <c r="B6" s="52"/>
      <c r="C6" s="52"/>
      <c r="D6" s="52"/>
      <c r="E6" s="52"/>
      <c r="F6" s="52"/>
      <c r="G6" s="52"/>
      <c r="H6" s="52"/>
      <c r="I6" s="52"/>
    </row>
    <row r="8" spans="1:13" x14ac:dyDescent="0.25">
      <c r="A8" s="477" t="s">
        <v>105</v>
      </c>
      <c r="B8" s="477"/>
      <c r="C8" s="477"/>
      <c r="D8" s="477"/>
      <c r="E8" s="477"/>
      <c r="F8" s="477"/>
      <c r="G8" s="477"/>
      <c r="H8" s="477"/>
      <c r="I8" s="477"/>
    </row>
    <row r="9" spans="1:13" x14ac:dyDescent="0.25">
      <c r="A9" s="52"/>
    </row>
    <row r="10" spans="1:13" x14ac:dyDescent="0.25">
      <c r="A10" s="52" t="s">
        <v>297</v>
      </c>
    </row>
    <row r="12" spans="1:13" x14ac:dyDescent="0.25">
      <c r="B12" s="180" t="s">
        <v>196</v>
      </c>
      <c r="C12" s="180" t="s">
        <v>299</v>
      </c>
    </row>
    <row r="13" spans="1:13" x14ac:dyDescent="0.25">
      <c r="B13" s="181" t="s">
        <v>298</v>
      </c>
      <c r="C13" s="181" t="str">
        <f>Mesures_Ressuage_BCH!P42</f>
        <v>a</v>
      </c>
      <c r="E13" s="49" t="s">
        <v>305</v>
      </c>
      <c r="H13" s="181">
        <f>AVERAGE(Mesures_Ressuage_BCH!D23:D32)</f>
        <v>9.9999999999999992E-2</v>
      </c>
    </row>
    <row r="14" spans="1:13" x14ac:dyDescent="0.25">
      <c r="B14" s="181" t="str">
        <f>"Sonde TUS N°" &amp; Mesures_Ressuage_BCH!B32</f>
        <v>Sonde TUS N°10</v>
      </c>
      <c r="C14" s="181" t="str">
        <f>Mesures_Ressuage_BCH!C51</f>
        <v>a</v>
      </c>
      <c r="E14" s="49" t="s">
        <v>306</v>
      </c>
      <c r="H14" s="181">
        <f>Mesures_Ressuage_BCH!E32</f>
        <v>0.1</v>
      </c>
    </row>
    <row r="16" spans="1:13" x14ac:dyDescent="0.25">
      <c r="A16" s="49" t="s">
        <v>300</v>
      </c>
    </row>
    <row r="18" spans="1:9" x14ac:dyDescent="0.25">
      <c r="B18" s="180" t="s">
        <v>301</v>
      </c>
      <c r="C18" s="180" t="s">
        <v>302</v>
      </c>
    </row>
    <row r="19" spans="1:9" x14ac:dyDescent="0.25">
      <c r="B19" s="181" t="s">
        <v>303</v>
      </c>
      <c r="C19" s="181" t="str">
        <f>Mesures_Ressuage_BCH!N48</f>
        <v>A</v>
      </c>
      <c r="E19" s="27" t="s">
        <v>307</v>
      </c>
      <c r="H19" s="181">
        <f>Mesures_Ressuage_BCH!O48</f>
        <v>0.5</v>
      </c>
    </row>
    <row r="23" spans="1:9" x14ac:dyDescent="0.25">
      <c r="A23" s="49" t="str">
        <f>"Température : " &amp; Mesures_Ressuage_BCH!B19 &amp; "°C"</f>
        <v>Température : 60°C</v>
      </c>
      <c r="B23" s="49" t="str">
        <f>"Critère d'acceptation : +/- " &amp; Mesures_Ressuage_BCH!B20 &amp; "°C"</f>
        <v>Critère d'acceptation : +/- 8°C</v>
      </c>
    </row>
    <row r="25" spans="1:9" ht="16.5" thickBot="1" x14ac:dyDescent="0.3"/>
    <row r="26" spans="1:9" x14ac:dyDescent="0.25">
      <c r="A26" s="473" t="s">
        <v>309</v>
      </c>
      <c r="B26" s="474"/>
      <c r="C26" s="474"/>
      <c r="D26" s="474"/>
      <c r="E26" s="474"/>
      <c r="F26" s="474"/>
      <c r="G26" s="474"/>
      <c r="H26" s="474"/>
      <c r="I26" s="182" t="s">
        <v>315</v>
      </c>
    </row>
    <row r="27" spans="1:9" ht="47.25" x14ac:dyDescent="0.25">
      <c r="A27" s="183" t="s">
        <v>36</v>
      </c>
      <c r="B27" s="180" t="s">
        <v>310</v>
      </c>
      <c r="C27" s="180" t="s">
        <v>311</v>
      </c>
      <c r="D27" s="180" t="s">
        <v>312</v>
      </c>
      <c r="E27" s="70" t="s">
        <v>313</v>
      </c>
      <c r="F27" s="180" t="s">
        <v>314</v>
      </c>
      <c r="G27" s="70" t="s">
        <v>316</v>
      </c>
      <c r="H27" s="180" t="s">
        <v>317</v>
      </c>
      <c r="I27" s="184" t="s">
        <v>131</v>
      </c>
    </row>
    <row r="28" spans="1:9" ht="33.75" customHeight="1" thickBot="1" x14ac:dyDescent="0.3">
      <c r="A28" s="188">
        <f>Ressuage_BCH!test_propagation</f>
        <v>45329.342361111114</v>
      </c>
      <c r="B28" s="186" t="str">
        <f>Mesures_Ressuage_BCH!C11</f>
        <v>a</v>
      </c>
      <c r="C28" s="187">
        <f>Mesures_Ressuage_BCH!B32</f>
        <v>10</v>
      </c>
      <c r="D28" s="82">
        <f ca="1">Ressuage_BCH!C92</f>
        <v>60.377999999999993</v>
      </c>
      <c r="E28" s="82">
        <f ca="1">D28+H13+H14</f>
        <v>60.577999999999996</v>
      </c>
      <c r="F28" s="77">
        <f>Mesures_Ressuage_BCH!M48</f>
        <v>60</v>
      </c>
      <c r="G28" s="77">
        <f>F28+H19</f>
        <v>60.5</v>
      </c>
      <c r="H28" s="82">
        <f ca="1">G28-E28</f>
        <v>-7.799999999999585E-2</v>
      </c>
      <c r="I28" s="185" t="str">
        <f ca="1">IF(OR(H28&lt;5,H28&gt;5),"CONFORME","NON CONFORME")</f>
        <v>CONFORME</v>
      </c>
    </row>
  </sheetData>
  <sheetProtection algorithmName="SHA-512" hashValue="epLeD4/qIeK8Ae5FiYxTKQhXJbfF6F12B2wua/qiBh5oTQMXxCAj/IWyBenYEmgqLWvgHTXuZe6I7h/pc7kKxA==" saltValue="4YOfm4pl8HF95FYOGhpXEA==" spinCount="100000" sheet="1" objects="1" scenarios="1"/>
  <mergeCells count="4">
    <mergeCell ref="A26:H26"/>
    <mergeCell ref="B1:I1"/>
    <mergeCell ref="A3:I3"/>
    <mergeCell ref="A8:I8"/>
  </mergeCells>
  <conditionalFormatting sqref="I28">
    <cfRule type="containsText" dxfId="58" priority="1" operator="containsText" text="NON CONFORME">
      <formula>NOT(ISERROR(SEARCH("NON CONFORME",I28)))</formula>
    </cfRule>
    <cfRule type="containsText" dxfId="57" priority="2" operator="containsText" text="CONFORME">
      <formula>NOT(ISERROR(SEARCH("CONFORME",I28)))</formula>
    </cfRule>
  </conditionalFormatting>
  <pageMargins left="0.7" right="0.7" top="0.75" bottom="0.75" header="0.3" footer="0.3"/>
  <pageSetup paperSize="9" scale="25" orientation="portrait"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3"/>
  <sheetViews>
    <sheetView zoomScaleNormal="100" workbookViewId="0">
      <selection activeCell="L51" sqref="L51"/>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52" t="s">
        <v>11</v>
      </c>
      <c r="C2" s="453"/>
      <c r="D2" s="453"/>
      <c r="E2" s="453"/>
      <c r="F2" s="453"/>
      <c r="G2" s="453"/>
      <c r="H2" s="453"/>
      <c r="I2" s="453"/>
      <c r="J2" s="453"/>
      <c r="K2" s="453"/>
      <c r="L2" s="1"/>
      <c r="M2" s="1"/>
      <c r="N2" s="1"/>
      <c r="O2" s="1"/>
    </row>
    <row r="3" spans="1:16" ht="15" customHeight="1" x14ac:dyDescent="0.25">
      <c r="A3" s="1"/>
      <c r="B3" s="453"/>
      <c r="C3" s="453"/>
      <c r="D3" s="453"/>
      <c r="E3" s="453"/>
      <c r="F3" s="453"/>
      <c r="G3" s="453"/>
      <c r="H3" s="453"/>
      <c r="I3" s="453"/>
      <c r="J3" s="453"/>
      <c r="K3" s="453"/>
      <c r="L3" s="1"/>
      <c r="M3" s="1"/>
      <c r="N3" s="1"/>
      <c r="O3" s="1"/>
    </row>
    <row r="4" spans="1:16" ht="57" x14ac:dyDescent="0.25">
      <c r="A4" s="1"/>
      <c r="B4" s="2"/>
      <c r="C4" s="2"/>
      <c r="D4" s="2"/>
      <c r="E4" s="2"/>
      <c r="F4" s="2"/>
      <c r="G4" s="2"/>
      <c r="H4" s="2"/>
      <c r="I4" s="2"/>
      <c r="J4" s="2"/>
      <c r="K4" s="2"/>
      <c r="L4" s="1"/>
      <c r="M4" s="1"/>
      <c r="N4" s="1"/>
      <c r="O4" s="1"/>
    </row>
    <row r="5" spans="1:16" x14ac:dyDescent="0.25">
      <c r="A5" s="445" t="s">
        <v>0</v>
      </c>
      <c r="B5" s="445"/>
      <c r="C5" s="445"/>
      <c r="D5" s="163"/>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445" t="s">
        <v>1</v>
      </c>
      <c r="B7" s="445"/>
      <c r="C7" s="4"/>
      <c r="D7" s="1"/>
      <c r="E7" s="445" t="s">
        <v>18</v>
      </c>
      <c r="F7" s="445"/>
      <c r="G7" s="4"/>
      <c r="H7" s="1"/>
      <c r="I7" s="1"/>
      <c r="J7" s="1"/>
      <c r="K7" s="1"/>
      <c r="L7" s="1"/>
      <c r="M7" s="1"/>
      <c r="N7" s="1"/>
      <c r="O7" s="5"/>
    </row>
    <row r="8" spans="1:16" x14ac:dyDescent="0.25">
      <c r="A8" s="445" t="s">
        <v>2</v>
      </c>
      <c r="B8" s="445"/>
      <c r="C8" s="6"/>
      <c r="D8" s="1"/>
      <c r="E8" s="445" t="s">
        <v>19</v>
      </c>
      <c r="F8" s="445"/>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441" t="s">
        <v>3</v>
      </c>
      <c r="B10" s="442"/>
      <c r="C10" s="7"/>
      <c r="D10" s="1"/>
      <c r="E10" s="441" t="s">
        <v>20</v>
      </c>
      <c r="F10" s="442"/>
      <c r="G10" s="8"/>
      <c r="H10" s="1"/>
      <c r="I10" s="1"/>
      <c r="J10" s="1"/>
      <c r="K10" s="1"/>
      <c r="L10" s="1"/>
      <c r="M10" s="1"/>
      <c r="N10" s="1"/>
      <c r="O10" s="1"/>
    </row>
    <row r="11" spans="1:16" x14ac:dyDescent="0.25">
      <c r="A11" s="441" t="s">
        <v>4</v>
      </c>
      <c r="B11" s="442"/>
      <c r="C11" s="8"/>
      <c r="D11" s="1"/>
      <c r="E11" s="445" t="s">
        <v>21</v>
      </c>
      <c r="F11" s="445"/>
      <c r="G11" s="160">
        <v>9</v>
      </c>
      <c r="H11" s="1"/>
      <c r="I11" s="1"/>
      <c r="J11" s="1"/>
      <c r="K11" s="1"/>
      <c r="L11" s="1"/>
      <c r="M11" s="1"/>
      <c r="N11" s="1"/>
      <c r="O11" s="1"/>
    </row>
    <row r="12" spans="1:16" x14ac:dyDescent="0.25">
      <c r="A12" s="1"/>
      <c r="B12" s="1"/>
      <c r="C12" s="1"/>
      <c r="D12" s="1"/>
      <c r="E12" s="445" t="s">
        <v>22</v>
      </c>
      <c r="F12" s="445"/>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441" t="s">
        <v>5</v>
      </c>
      <c r="B14" s="442"/>
      <c r="C14" s="4"/>
      <c r="D14" s="1"/>
      <c r="E14" s="1"/>
      <c r="F14" s="1"/>
      <c r="G14" s="1"/>
      <c r="H14" s="1"/>
      <c r="I14" s="1"/>
      <c r="J14" s="1"/>
      <c r="K14" s="1"/>
      <c r="L14" s="1"/>
      <c r="M14" s="1"/>
      <c r="N14" s="1"/>
      <c r="O14" s="1"/>
    </row>
    <row r="15" spans="1:16" x14ac:dyDescent="0.25">
      <c r="A15" s="441" t="s">
        <v>6</v>
      </c>
      <c r="B15" s="442"/>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9">
        <v>10</v>
      </c>
      <c r="B32" s="11"/>
      <c r="C32" s="11"/>
      <c r="D32" s="175"/>
      <c r="E32" s="175"/>
      <c r="F32" s="1"/>
      <c r="G32" s="1"/>
      <c r="H32" s="1"/>
      <c r="I32" s="1"/>
      <c r="J32" s="1"/>
      <c r="K32" s="1"/>
      <c r="L32" s="1"/>
      <c r="M32" s="1"/>
      <c r="N32" s="1"/>
      <c r="O32" s="1"/>
    </row>
    <row r="33" spans="1:15" x14ac:dyDescent="0.25">
      <c r="A33" s="15">
        <v>11</v>
      </c>
      <c r="B33" s="11"/>
      <c r="C33" s="11"/>
      <c r="D33" s="175"/>
      <c r="E33" s="175"/>
      <c r="F33" s="1"/>
      <c r="G33" s="1"/>
      <c r="H33" s="1"/>
      <c r="I33" s="1"/>
      <c r="J33" s="1"/>
      <c r="K33" s="1"/>
      <c r="L33" s="1"/>
      <c r="M33" s="1"/>
      <c r="N33" s="1"/>
      <c r="O33" s="1"/>
    </row>
    <row r="34" spans="1:15" x14ac:dyDescent="0.25">
      <c r="A34" s="19">
        <v>12</v>
      </c>
      <c r="B34" s="11"/>
      <c r="C34" s="11"/>
      <c r="D34" s="175"/>
      <c r="E34" s="175"/>
      <c r="F34" s="1"/>
      <c r="G34" s="1"/>
      <c r="H34" s="1"/>
      <c r="I34" s="1"/>
      <c r="J34" s="1"/>
      <c r="K34" s="1"/>
      <c r="L34" s="1"/>
      <c r="M34" s="1"/>
      <c r="N34" s="1"/>
      <c r="O34" s="1"/>
    </row>
    <row r="35" spans="1:15" x14ac:dyDescent="0.25">
      <c r="A35" s="1"/>
      <c r="B35" s="161"/>
      <c r="C35" s="161"/>
      <c r="D35" s="161"/>
      <c r="E35" s="16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4" t="s">
        <v>13</v>
      </c>
      <c r="C38" s="444"/>
      <c r="D38" s="1"/>
      <c r="E38" s="1"/>
      <c r="F38" s="1"/>
      <c r="G38" s="1"/>
      <c r="H38" s="1"/>
      <c r="I38" s="1"/>
      <c r="J38" s="1"/>
      <c r="K38" s="1"/>
      <c r="L38" s="444" t="s">
        <v>30</v>
      </c>
      <c r="M38" s="444"/>
      <c r="N38" s="1"/>
      <c r="O38" s="1"/>
    </row>
    <row r="39" spans="1:15" x14ac:dyDescent="0.25">
      <c r="A39" s="1"/>
      <c r="B39" s="1"/>
      <c r="C39" s="1"/>
      <c r="D39" s="1"/>
      <c r="E39" s="1"/>
      <c r="F39" s="1"/>
      <c r="G39" s="1"/>
      <c r="H39" s="1"/>
      <c r="I39" s="1"/>
      <c r="J39" s="1"/>
      <c r="K39" s="1"/>
      <c r="L39" s="1"/>
      <c r="M39" s="1"/>
      <c r="N39" s="1"/>
      <c r="O39" s="1"/>
    </row>
    <row r="40" spans="1:15" x14ac:dyDescent="0.25">
      <c r="A40" s="445" t="s">
        <v>10</v>
      </c>
      <c r="B40" s="445"/>
      <c r="C40" s="446"/>
      <c r="D40" s="446"/>
      <c r="E40" s="446"/>
      <c r="F40" s="447"/>
      <c r="G40" s="1"/>
      <c r="H40" s="1"/>
      <c r="I40" s="1"/>
      <c r="J40" s="1"/>
      <c r="K40" s="445" t="s">
        <v>26</v>
      </c>
      <c r="L40" s="445"/>
      <c r="M40" s="445"/>
      <c r="N40" s="445"/>
      <c r="O40" s="445"/>
    </row>
    <row r="41" spans="1:15" ht="45" x14ac:dyDescent="0.25">
      <c r="A41" s="445"/>
      <c r="B41" s="445"/>
      <c r="C41" s="3" t="s">
        <v>15</v>
      </c>
      <c r="D41" s="20" t="s">
        <v>17</v>
      </c>
      <c r="E41" s="20" t="s">
        <v>24</v>
      </c>
      <c r="F41" s="20" t="s">
        <v>25</v>
      </c>
      <c r="G41" s="1"/>
      <c r="H41" s="1"/>
      <c r="I41" s="1"/>
      <c r="J41" s="1"/>
      <c r="K41" s="448"/>
      <c r="L41" s="448"/>
      <c r="M41" s="3" t="s">
        <v>32</v>
      </c>
      <c r="N41" s="3" t="s">
        <v>34</v>
      </c>
      <c r="O41" s="3" t="s">
        <v>35</v>
      </c>
    </row>
    <row r="42" spans="1:15" x14ac:dyDescent="0.25">
      <c r="A42" s="441" t="str">
        <f>CONCATENATE("Sonde ", B23)</f>
        <v xml:space="preserve">Sonde </v>
      </c>
      <c r="B42" s="442"/>
      <c r="C42" s="10"/>
      <c r="D42" s="10"/>
      <c r="E42" s="10"/>
      <c r="F42" s="10"/>
      <c r="G42" s="1"/>
      <c r="H42" s="1"/>
      <c r="I42" s="1"/>
      <c r="J42" s="1"/>
      <c r="K42" s="449" t="s">
        <v>27</v>
      </c>
      <c r="L42" s="450"/>
      <c r="M42" s="10"/>
      <c r="N42" s="10"/>
      <c r="O42" s="10"/>
    </row>
    <row r="43" spans="1:15" x14ac:dyDescent="0.25">
      <c r="A43" s="441" t="str">
        <f t="shared" ref="A43:A53" si="0">"Sonde " &amp; B24</f>
        <v xml:space="preserve">Sonde </v>
      </c>
      <c r="B43" s="442"/>
      <c r="C43" s="10"/>
      <c r="D43" s="10"/>
      <c r="E43" s="10"/>
      <c r="F43" s="10"/>
      <c r="G43" s="1"/>
      <c r="H43" s="1"/>
      <c r="I43" s="1"/>
      <c r="J43" s="1"/>
      <c r="K43" s="1"/>
      <c r="L43" s="1"/>
      <c r="M43" s="1"/>
      <c r="N43" s="1"/>
      <c r="O43" s="1"/>
    </row>
    <row r="44" spans="1:15" x14ac:dyDescent="0.25">
      <c r="A44" s="441" t="str">
        <f>"Sonde " &amp; B25</f>
        <v xml:space="preserve">Sonde </v>
      </c>
      <c r="B44" s="442"/>
      <c r="C44" s="10"/>
      <c r="D44" s="10"/>
      <c r="E44" s="10"/>
      <c r="F44" s="10"/>
      <c r="G44" s="1"/>
      <c r="H44" s="1"/>
      <c r="I44" s="1"/>
      <c r="J44" s="1"/>
      <c r="K44" s="1"/>
      <c r="L44" s="1"/>
      <c r="M44" s="1"/>
      <c r="N44" s="1"/>
      <c r="O44" s="1"/>
    </row>
    <row r="45" spans="1:15" x14ac:dyDescent="0.25">
      <c r="A45" s="441" t="str">
        <f t="shared" si="0"/>
        <v xml:space="preserve">Sonde </v>
      </c>
      <c r="B45" s="442"/>
      <c r="C45" s="10"/>
      <c r="D45" s="10"/>
      <c r="E45" s="10"/>
      <c r="F45" s="10"/>
      <c r="G45" s="1"/>
      <c r="H45" s="1"/>
      <c r="I45" s="1"/>
      <c r="J45" s="1"/>
      <c r="K45" s="1"/>
      <c r="L45" s="1"/>
      <c r="M45" s="1"/>
      <c r="N45" s="1"/>
      <c r="O45" s="1"/>
    </row>
    <row r="46" spans="1:15" ht="26.25" x14ac:dyDescent="0.25">
      <c r="A46" s="441" t="str">
        <f t="shared" si="0"/>
        <v xml:space="preserve">Sonde </v>
      </c>
      <c r="B46" s="442"/>
      <c r="C46" s="10"/>
      <c r="D46" s="10"/>
      <c r="E46" s="10"/>
      <c r="F46" s="10"/>
      <c r="G46" s="1"/>
      <c r="H46" s="1"/>
      <c r="I46" s="1"/>
      <c r="J46" s="1"/>
      <c r="K46" s="1"/>
      <c r="L46" s="444" t="s">
        <v>31</v>
      </c>
      <c r="M46" s="444"/>
      <c r="N46" s="1"/>
      <c r="O46" s="1"/>
    </row>
    <row r="47" spans="1:15" ht="45" x14ac:dyDescent="0.25">
      <c r="A47" s="441" t="str">
        <f t="shared" si="0"/>
        <v xml:space="preserve">Sonde </v>
      </c>
      <c r="B47" s="442"/>
      <c r="C47" s="10"/>
      <c r="D47" s="10"/>
      <c r="E47" s="10"/>
      <c r="F47" s="10"/>
      <c r="G47" s="1"/>
      <c r="H47" s="1"/>
      <c r="I47" s="1"/>
      <c r="J47" s="1"/>
      <c r="K47" s="1"/>
      <c r="L47" s="1"/>
      <c r="M47" s="21" t="s">
        <v>33</v>
      </c>
      <c r="N47" s="1"/>
      <c r="O47" s="1"/>
    </row>
    <row r="48" spans="1:15" x14ac:dyDescent="0.25">
      <c r="A48" s="441" t="str">
        <f t="shared" si="0"/>
        <v xml:space="preserve">Sonde </v>
      </c>
      <c r="B48" s="442"/>
      <c r="C48" s="10"/>
      <c r="D48" s="10"/>
      <c r="E48" s="10"/>
      <c r="F48" s="10"/>
      <c r="G48" s="1"/>
      <c r="H48" s="1"/>
      <c r="I48" s="1"/>
      <c r="J48" s="1"/>
      <c r="K48" s="443" t="s">
        <v>28</v>
      </c>
      <c r="L48" s="443"/>
      <c r="M48" s="10"/>
      <c r="N48" s="1"/>
      <c r="O48" s="1"/>
    </row>
    <row r="49" spans="1:15" x14ac:dyDescent="0.25">
      <c r="A49" s="441" t="str">
        <f t="shared" si="0"/>
        <v xml:space="preserve">Sonde </v>
      </c>
      <c r="B49" s="442"/>
      <c r="C49" s="10"/>
      <c r="D49" s="10"/>
      <c r="E49" s="10"/>
      <c r="F49" s="10"/>
      <c r="G49" s="1"/>
      <c r="H49" s="1"/>
      <c r="I49" s="1"/>
      <c r="J49" s="1"/>
      <c r="K49" s="443" t="s">
        <v>29</v>
      </c>
      <c r="L49" s="443"/>
      <c r="M49" s="10"/>
      <c r="N49" s="1"/>
      <c r="O49" s="1"/>
    </row>
    <row r="50" spans="1:15" x14ac:dyDescent="0.25">
      <c r="A50" s="441" t="str">
        <f t="shared" si="0"/>
        <v xml:space="preserve">Sonde </v>
      </c>
      <c r="B50" s="442"/>
      <c r="C50" s="10"/>
      <c r="D50" s="10"/>
      <c r="E50" s="10"/>
      <c r="F50" s="10"/>
      <c r="G50" s="1"/>
      <c r="H50" s="1"/>
      <c r="I50" s="1"/>
      <c r="J50" s="1"/>
      <c r="K50" s="443" t="s">
        <v>30</v>
      </c>
      <c r="L50" s="443"/>
      <c r="M50" s="10"/>
      <c r="N50" s="1"/>
      <c r="O50" s="1"/>
    </row>
    <row r="51" spans="1:15" x14ac:dyDescent="0.25">
      <c r="A51" s="441" t="str">
        <f t="shared" si="0"/>
        <v xml:space="preserve">Sonde </v>
      </c>
      <c r="B51" s="442"/>
      <c r="C51" s="10"/>
      <c r="D51" s="10"/>
      <c r="E51" s="10"/>
      <c r="F51" s="10"/>
      <c r="G51" s="1"/>
      <c r="H51" s="1"/>
      <c r="I51" s="1"/>
      <c r="J51" s="1"/>
      <c r="K51" s="1"/>
      <c r="L51" s="1"/>
      <c r="M51" s="1"/>
      <c r="N51" s="1"/>
      <c r="O51" s="1"/>
    </row>
    <row r="52" spans="1:15" x14ac:dyDescent="0.25">
      <c r="A52" s="441" t="str">
        <f t="shared" si="0"/>
        <v xml:space="preserve">Sonde </v>
      </c>
      <c r="B52" s="442"/>
      <c r="C52" s="10"/>
      <c r="D52" s="10"/>
      <c r="E52" s="10"/>
      <c r="F52" s="10"/>
      <c r="G52" s="1"/>
      <c r="H52" s="1"/>
      <c r="I52" s="1"/>
      <c r="J52" s="1"/>
      <c r="K52" s="1"/>
      <c r="L52" s="1"/>
      <c r="M52" s="1"/>
      <c r="N52" s="1"/>
      <c r="O52" s="1"/>
    </row>
    <row r="53" spans="1:15" x14ac:dyDescent="0.25">
      <c r="A53" s="441" t="str">
        <f t="shared" si="0"/>
        <v xml:space="preserve">Sonde </v>
      </c>
      <c r="B53" s="442"/>
      <c r="C53" s="10"/>
      <c r="D53" s="10"/>
      <c r="E53" s="10"/>
      <c r="F53" s="10"/>
      <c r="G53" s="1"/>
      <c r="H53" s="1"/>
      <c r="I53" s="1"/>
      <c r="J53" s="1"/>
      <c r="K53" s="1"/>
      <c r="L53" s="1"/>
      <c r="M53" s="1"/>
      <c r="N53" s="1"/>
      <c r="O53" s="1"/>
    </row>
  </sheetData>
  <sheetProtection algorithmName="SHA-512" hashValue="fZ33rNiLciWFRgTvwjJfYkWRNdQoIWrEEqqbi8XtfO6pki/1A7g1//pNdc9JdbjtQzyzgHDxgHPQyBqHM8grBA==" saltValue="0BEkmcaNQ2iUq+9r16Q/TQ==" spinCount="100000" sheet="1" objects="1" scenarios="1"/>
  <protectedRanges>
    <protectedRange sqref="C10" name="Donnees controleur_8"/>
  </protectedRanges>
  <dataConsolidate/>
  <mergeCells count="36">
    <mergeCell ref="A51:B51"/>
    <mergeCell ref="A52:B52"/>
    <mergeCell ref="A53:B53"/>
    <mergeCell ref="A47:B47"/>
    <mergeCell ref="A48:B48"/>
    <mergeCell ref="K48:L48"/>
    <mergeCell ref="A49:B49"/>
    <mergeCell ref="K49:L49"/>
    <mergeCell ref="A50:B50"/>
    <mergeCell ref="K50:L50"/>
    <mergeCell ref="A46:B46"/>
    <mergeCell ref="L46:M46"/>
    <mergeCell ref="A15:B15"/>
    <mergeCell ref="B38:C38"/>
    <mergeCell ref="L38:M38"/>
    <mergeCell ref="A40:F40"/>
    <mergeCell ref="K40:O40"/>
    <mergeCell ref="A41:B41"/>
    <mergeCell ref="K41:L41"/>
    <mergeCell ref="A42:B42"/>
    <mergeCell ref="K42:L42"/>
    <mergeCell ref="A43:B43"/>
    <mergeCell ref="A44:B44"/>
    <mergeCell ref="A45:B45"/>
    <mergeCell ref="A14:B14"/>
    <mergeCell ref="B2:K3"/>
    <mergeCell ref="A5:C5"/>
    <mergeCell ref="A7:B7"/>
    <mergeCell ref="E7:F7"/>
    <mergeCell ref="A8:B8"/>
    <mergeCell ref="E8:F8"/>
    <mergeCell ref="A10:B10"/>
    <mergeCell ref="E10:F10"/>
    <mergeCell ref="A11:B11"/>
    <mergeCell ref="E11:F11"/>
    <mergeCell ref="E12:F12"/>
  </mergeCells>
  <conditionalFormatting sqref="A1:O53">
    <cfRule type="expression" dxfId="56" priority="1">
      <formula>AND(NOT(CELL("protege", A1)), A1="")</formula>
    </cfRule>
  </conditionalFormatting>
  <dataValidations count="3">
    <dataValidation type="list" showErrorMessage="1" promptTitle="Périodicité" prompt="Veuillez choisir" sqref="C15" xr:uid="{281236F4-D248-4C76-B8CF-13F98E53320A}">
      <formula1>" ,Annuelle,Trimestrielle,Mensuelle"</formula1>
    </dataValidation>
    <dataValidation type="list" showInputMessage="1" showErrorMessage="1" sqref="D16:D17" xr:uid="{142C8FB2-7426-4351-8774-C88B6624DBDF}">
      <formula1>$C$15:$C$17</formula1>
    </dataValidation>
    <dataValidation type="list" allowBlank="1" showInputMessage="1" showErrorMessage="1" sqref="C10"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5</xdr:row>
                    <xdr:rowOff>95250</xdr:rowOff>
                  </from>
                  <to>
                    <xdr:col>12</xdr:col>
                    <xdr:colOff>904875</xdr:colOff>
                    <xdr:row>12</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topLeftCell="A25" workbookViewId="0">
      <selection activeCell="A2" sqref="A2"/>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1cAaWfnCjKmXDtTO0wxE5uuBW0pYEqtDV1Jk5/o+HrQeEjzqKAJ3xN6EbOnp56R0llZZOjCH9Pmom41mERuPnA==" saltValue="k3v3rXE9DjTirGG4jbf+Xg=="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topLeftCell="A88" workbookViewId="0">
      <selection activeCell="I99" sqref="I99"/>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4" t="str">
        <f>"-30°C"</f>
        <v>-30°C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B5" s="34" t="s">
        <v>23</v>
      </c>
      <c r="C5" s="35" t="e">
        <f>_xlfn.XLOOKUP(INT(SUBSTITUTE(C14,"Connecteur ","")),Mesures_Congel!C23:C34,Mesures_Congel!D23:D34)</f>
        <v>#N/A</v>
      </c>
      <c r="D5" s="35" t="e">
        <f>_xlfn.XLOOKUP(INT(SUBSTITUTE(D14,"Connecteur ","")),Mesures_Congel!C23:C34,Mesures_Congel!D23:D34)</f>
        <v>#N/A</v>
      </c>
      <c r="E5" s="35" t="e">
        <f>_xlfn.XLOOKUP(INT(SUBSTITUTE(E14,"Connecteur ","")),Mesures_Congel!C23:C34,Mesures_Congel!D23:D34)</f>
        <v>#N/A</v>
      </c>
      <c r="F5" s="35" t="e">
        <f>_xlfn.XLOOKUP(INT(SUBSTITUTE(F14,"Connecteur ","")),Mesures_Congel!C23:C34,Mesures_Congel!D23:D34)</f>
        <v>#N/A</v>
      </c>
      <c r="G5" s="35" t="e">
        <f>_xlfn.XLOOKUP(INT(SUBSTITUTE(G14,"Connecteur ","")),Mesures_Congel!C23:C34,Mesures_Congel!D23:D34)</f>
        <v>#N/A</v>
      </c>
      <c r="H5" s="35" t="e">
        <f>_xlfn.XLOOKUP(INT(SUBSTITUTE(H14,"Connecteur ","")),Mesures_Congel!C23:C34,Mesures_Congel!D23:D34)</f>
        <v>#N/A</v>
      </c>
      <c r="I5" s="35" t="e">
        <f>_xlfn.XLOOKUP(INT(SUBSTITUTE(I14,"Connecteur ","")),Mesures_Congel!C23:C34,Mesures_Congel!D23:D34)</f>
        <v>#N/A</v>
      </c>
      <c r="J5" s="35" t="e">
        <f>_xlfn.XLOOKUP(INT(SUBSTITUTE(J14,"Connecteur ","")),Mesures_Congel!C23:C34,Mesures_Congel!D23:D34)</f>
        <v>#N/A</v>
      </c>
      <c r="K5" s="35" t="e">
        <f>_xlfn.XLOOKUP(INT(SUBSTITUTE(K14,"Connecteur ","")),Mesures_Congel!C23:C34,Mesures_Congel!D23:D34)</f>
        <v>#N/A</v>
      </c>
      <c r="L5" s="35" t="e">
        <f>_xlfn.XLOOKUP(INT(SUBSTITUTE(L14,"Connecteur ","")),Mesures_Congel!C23:C34,Mesures_Congel!D23:D34)</f>
        <v>#N/A</v>
      </c>
      <c r="M5" s="35" t="e">
        <f>_xlfn.XLOOKUP(INT(SUBSTITUTE(M14,"Connecteur ","")),Mesures_Congel!C23:C34,Mesures_Congel!D23:D34)</f>
        <v>#N/A</v>
      </c>
      <c r="N5" s="35" t="e">
        <f>_xlfn.XLOOKUP(INT(SUBSTITUTE(N14,"Connecteur ","")),Mesures_Congel!C23:C34,Mesures_Congel!D23:D34)</f>
        <v>#N/A</v>
      </c>
      <c r="P5" s="33"/>
    </row>
    <row r="6" spans="1:19" s="27" customFormat="1" x14ac:dyDescent="0.25">
      <c r="B6" s="34" t="s">
        <v>87</v>
      </c>
      <c r="C6" s="35" t="e">
        <f>_xlfn.XLOOKUP(INT(SUBSTITUTE(C14,"Connecteur ","")),Mesures_Congel!C23:C34,Mesures_Congel!E23:E34)</f>
        <v>#N/A</v>
      </c>
      <c r="D6" s="35" t="e">
        <f>_xlfn.XLOOKUP(INT(SUBSTITUTE(D14,"Connecteur ","")),Mesures_Congel!C23:C34,Mesures_Congel!E23:E34)</f>
        <v>#N/A</v>
      </c>
      <c r="E6" s="35" t="e">
        <f>_xlfn.XLOOKUP(INT(SUBSTITUTE(E14,"Connecteur ","")),Mesures_Congel!C23:C34,Mesures_Congel!E23:E34)</f>
        <v>#N/A</v>
      </c>
      <c r="F6" s="35" t="e">
        <f>_xlfn.XLOOKUP(INT(SUBSTITUTE(F14,"Connecteur ","")),Mesures_Congel!C23:C34,Mesures_Congel!E23:E34)</f>
        <v>#N/A</v>
      </c>
      <c r="G6" s="35" t="e">
        <f>_xlfn.XLOOKUP(INT(SUBSTITUTE(G14,"Connecteur ","")),Mesures_Congel!C23:C34,Mesures_Congel!E23:E34)</f>
        <v>#N/A</v>
      </c>
      <c r="H6" s="35" t="e">
        <f>_xlfn.XLOOKUP(INT(SUBSTITUTE(H14,"Connecteur ","")),Mesures_Congel!C23:C34,Mesures_Congel!E23:E34)</f>
        <v>#N/A</v>
      </c>
      <c r="I6" s="35" t="e">
        <f>_xlfn.XLOOKUP(INT(SUBSTITUTE(I14,"Connecteur ","")),Mesures_Congel!C23:C34,Mesures_Congel!E23:E34)</f>
        <v>#N/A</v>
      </c>
      <c r="J6" s="35" t="e">
        <f>_xlfn.XLOOKUP(INT(SUBSTITUTE(J14,"Connecteur ","")),Mesures_Congel!C23:C34,Mesures_Congel!E23:E34)</f>
        <v>#N/A</v>
      </c>
      <c r="K6" s="35" t="e">
        <f>_xlfn.XLOOKUP(INT(SUBSTITUTE(K14,"Connecteur ","")),Mesures_Congel!C23:C34,Mesures_Congel!E23:E34)</f>
        <v>#N/A</v>
      </c>
      <c r="L6" s="35" t="e">
        <f>_xlfn.XLOOKUP(INT(SUBSTITUTE(L14,"Connecteur ","")),Mesures_Congel!C23:C34,Mesures_Congel!E23:E34)</f>
        <v>#N/A</v>
      </c>
      <c r="M6" s="35" t="e">
        <f>_xlfn.XLOOKUP(INT(SUBSTITUTE(M14,"Connecteur ","")),Mesures_Congel!C23:C34,Mesures_Congel!E23:E34)</f>
        <v>#N/A</v>
      </c>
      <c r="N6" s="35" t="e">
        <f>_xlfn.XLOOKUP(INT(SUBSTITUTE(N14,"Connecteur ","")),Mesures_Congel!C23:C34,Mesures_Congel!E23:E34)</f>
        <v>#N/A</v>
      </c>
      <c r="P6" s="33"/>
    </row>
    <row r="7" spans="1:19" s="27" customFormat="1" x14ac:dyDescent="0.25">
      <c r="P7" s="33"/>
    </row>
    <row r="8" spans="1:19" s="27" customFormat="1" x14ac:dyDescent="0.25">
      <c r="P8" s="33"/>
    </row>
    <row r="9" spans="1:19" s="27" customFormat="1" x14ac:dyDescent="0.25">
      <c r="A9" s="338" t="s">
        <v>88</v>
      </c>
      <c r="B9" s="338"/>
      <c r="C9" s="338"/>
      <c r="D9" s="338"/>
      <c r="E9" s="338"/>
      <c r="F9" s="338"/>
      <c r="G9" s="338"/>
      <c r="H9" s="338"/>
      <c r="I9" s="338"/>
      <c r="J9" s="338"/>
      <c r="K9" s="338"/>
      <c r="L9" s="338"/>
      <c r="M9" s="338"/>
      <c r="N9" s="338"/>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4"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3" t="s">
        <v>89</v>
      </c>
      <c r="B12" s="39"/>
      <c r="C12" s="40"/>
      <c r="D12" s="40"/>
      <c r="E12" s="40"/>
      <c r="F12" s="40"/>
      <c r="G12" s="40"/>
      <c r="H12" s="40"/>
      <c r="I12" s="40"/>
      <c r="J12" s="40"/>
      <c r="K12" s="40"/>
      <c r="L12" s="40"/>
      <c r="M12" s="40"/>
      <c r="N12" s="40"/>
      <c r="P12" s="33"/>
    </row>
    <row r="13" spans="1:19" s="455"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R15+Mesures_Congel!B20</f>
        <v>0</v>
      </c>
      <c r="P15" s="33"/>
      <c r="Q15" s="36" t="s">
        <v>7</v>
      </c>
      <c r="R15" s="48">
        <f>Mesures_Congel!B19</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R15+Mesures_Congel!B20</f>
        <v>0</v>
      </c>
      <c r="P16" s="33"/>
      <c r="Q16" s="36" t="s">
        <v>92</v>
      </c>
      <c r="R16" s="35" t="str">
        <f>"+" &amp; Mesures_Congel!B20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Mesures_Congel!B20</f>
        <v>0</v>
      </c>
      <c r="P17" s="33"/>
      <c r="Q17" s="36" t="s">
        <v>94</v>
      </c>
      <c r="R17" s="35" t="str">
        <f>"-" &amp; Mesures_Congel!B20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2" t="e">
        <f ca="1">ABS(MAX(C16:N16)- MIN(C17:N17))</f>
        <v>#REF!</v>
      </c>
      <c r="D20" s="372"/>
      <c r="E20" s="372"/>
      <c r="F20" s="372"/>
      <c r="G20" s="372"/>
      <c r="H20" s="372"/>
      <c r="I20" s="372"/>
      <c r="J20" s="372"/>
      <c r="K20" s="372"/>
      <c r="L20" s="372"/>
      <c r="M20" s="372"/>
      <c r="N20" s="372"/>
      <c r="O20" s="372"/>
      <c r="P20" s="33"/>
    </row>
    <row r="21" spans="2:18" s="27" customFormat="1" x14ac:dyDescent="0.25">
      <c r="B21" s="42" t="s">
        <v>98</v>
      </c>
      <c r="C21" s="372" t="e">
        <f ca="1">AVERAGE(C18:N18)</f>
        <v>#REF!</v>
      </c>
      <c r="D21" s="372"/>
      <c r="E21" s="372"/>
      <c r="F21" s="372"/>
      <c r="G21" s="372"/>
      <c r="H21" s="372"/>
      <c r="I21" s="372"/>
      <c r="J21" s="372"/>
      <c r="K21" s="372"/>
      <c r="L21" s="372"/>
      <c r="M21" s="372"/>
      <c r="N21" s="372"/>
      <c r="O21" s="372"/>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kc0VjboWMTApGiSfPWGcdFV8Bpke1nPXjppQ03jOgFTcJ5LaRt0ZHnwD9WbfUnnG3khhigDgCZgNHcxuZOhGig==" saltValue="ShQnkMZbFAUPGwJWfA2uFg=="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8"/>
  <sheetViews>
    <sheetView view="pageLayout" topLeftCell="A247" zoomScale="70" zoomScaleNormal="60" zoomScaleSheetLayoutView="77" zoomScalePageLayoutView="70" workbookViewId="0">
      <selection activeCell="A270" sqref="A270"/>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379" t="s">
        <v>138</v>
      </c>
      <c r="D10" s="379"/>
      <c r="E10" s="472">
        <f>Mesures_Congel!D5</f>
        <v>0</v>
      </c>
      <c r="F10" s="472"/>
    </row>
    <row r="11" spans="2:9" ht="21" x14ac:dyDescent="0.25">
      <c r="C11" s="90"/>
      <c r="D11" s="90"/>
      <c r="E11" s="91"/>
      <c r="F11" s="91"/>
    </row>
    <row r="12" spans="2:9" x14ac:dyDescent="0.25">
      <c r="C12" s="92" t="s">
        <v>1</v>
      </c>
      <c r="D12" s="93">
        <f>Mesures_Congel!C7</f>
        <v>0</v>
      </c>
      <c r="F12" s="92" t="s">
        <v>18</v>
      </c>
      <c r="G12" s="93">
        <f>Mesures_Congel!G7</f>
        <v>0</v>
      </c>
    </row>
    <row r="13" spans="2:9" ht="15.75" x14ac:dyDescent="0.25">
      <c r="C13" s="94" t="s">
        <v>2</v>
      </c>
      <c r="D13" s="95">
        <f>Mesures_Congel!C8</f>
        <v>0</v>
      </c>
      <c r="F13" s="96" t="s">
        <v>19</v>
      </c>
      <c r="G13" s="95">
        <f>Mesures_Congel!G8</f>
        <v>0</v>
      </c>
    </row>
    <row r="14" spans="2:9" ht="15.75" x14ac:dyDescent="0.25">
      <c r="C14" s="97"/>
      <c r="D14" s="98"/>
      <c r="G14" s="99"/>
    </row>
    <row r="15" spans="2:9" ht="15.75" x14ac:dyDescent="0.25">
      <c r="C15" s="100" t="s">
        <v>139</v>
      </c>
      <c r="D15" s="101">
        <f>Mesures_Congel!C14</f>
        <v>0</v>
      </c>
      <c r="F15" s="92" t="s">
        <v>140</v>
      </c>
      <c r="G15" s="102">
        <f>Mesures_Congel!C15</f>
        <v>0</v>
      </c>
    </row>
    <row r="16" spans="2:9" ht="15.75" x14ac:dyDescent="0.25">
      <c r="C16" s="100" t="s">
        <v>141</v>
      </c>
      <c r="D16" s="103">
        <f>Mesures_Congel!G11</f>
        <v>9</v>
      </c>
      <c r="F16" s="92" t="s">
        <v>142</v>
      </c>
      <c r="G16" s="102">
        <f>Mesures_Congel!G12</f>
        <v>0</v>
      </c>
    </row>
    <row r="17" spans="1:9" ht="15.75" x14ac:dyDescent="0.25">
      <c r="C17" s="97"/>
      <c r="D17" s="98"/>
      <c r="F17" s="97"/>
      <c r="G17" s="27"/>
    </row>
    <row r="18" spans="1:9" ht="15.75" x14ac:dyDescent="0.25">
      <c r="C18" s="100" t="s">
        <v>143</v>
      </c>
      <c r="D18" s="140">
        <f>Mesures_Congel!C11</f>
        <v>0</v>
      </c>
      <c r="F18" s="92" t="s">
        <v>144</v>
      </c>
      <c r="G18" s="141">
        <f>Mesures_Congel!G10</f>
        <v>0</v>
      </c>
    </row>
    <row r="19" spans="1:9" ht="15.75" x14ac:dyDescent="0.25">
      <c r="C19" s="94" t="s">
        <v>145</v>
      </c>
      <c r="D19" s="101">
        <f>Mesures_Congel!C10</f>
        <v>0</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147</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8" ht="36" x14ac:dyDescent="0.25">
      <c r="C51" s="462" t="s">
        <v>148</v>
      </c>
      <c r="D51" s="462"/>
      <c r="E51" s="462"/>
      <c r="F51" s="462"/>
    </row>
    <row r="52" spans="2:8" ht="20.25" customHeight="1" x14ac:dyDescent="0.25">
      <c r="B52" s="105"/>
    </row>
    <row r="53" spans="2:8" ht="23.25" x14ac:dyDescent="0.25">
      <c r="B53" s="106" t="s">
        <v>149</v>
      </c>
    </row>
    <row r="55" spans="2:8" ht="21" x14ac:dyDescent="0.25">
      <c r="B55" s="107" t="s">
        <v>150</v>
      </c>
      <c r="E55" s="471" t="s">
        <v>151</v>
      </c>
      <c r="F55" s="471"/>
      <c r="G55" s="471"/>
      <c r="H55" s="108"/>
    </row>
    <row r="56" spans="2:8" ht="21" customHeight="1" x14ac:dyDescent="0.25">
      <c r="B56" s="107" t="s">
        <v>152</v>
      </c>
      <c r="E56" s="471" t="s">
        <v>153</v>
      </c>
      <c r="F56" s="471"/>
      <c r="G56" s="471"/>
      <c r="H56" s="471"/>
    </row>
    <row r="57" spans="2:8" ht="21" x14ac:dyDescent="0.25">
      <c r="B57" s="107" t="s">
        <v>154</v>
      </c>
      <c r="E57" s="471" t="s">
        <v>155</v>
      </c>
      <c r="F57" s="471"/>
      <c r="G57" s="108"/>
      <c r="H57" s="108"/>
    </row>
    <row r="59" spans="2:8" ht="23.25" x14ac:dyDescent="0.25">
      <c r="B59" s="106" t="s">
        <v>156</v>
      </c>
    </row>
    <row r="61" spans="2:8" ht="21" x14ac:dyDescent="0.25">
      <c r="B61" s="471" t="s">
        <v>157</v>
      </c>
      <c r="C61" s="471"/>
      <c r="D61" s="471"/>
      <c r="E61" s="471" t="s">
        <v>158</v>
      </c>
      <c r="F61" s="471"/>
      <c r="G61" s="471"/>
    </row>
    <row r="62" spans="2:8" ht="21" x14ac:dyDescent="0.25">
      <c r="B62" s="471" t="s">
        <v>159</v>
      </c>
      <c r="C62" s="471"/>
      <c r="D62" s="471"/>
    </row>
    <row r="64" spans="2:8" ht="21" x14ac:dyDescent="0.25">
      <c r="B64" s="107" t="s">
        <v>160</v>
      </c>
    </row>
    <row r="66" spans="1:10" ht="21" x14ac:dyDescent="0.25">
      <c r="B66" s="471" t="s">
        <v>161</v>
      </c>
      <c r="C66" s="471"/>
      <c r="D66" s="471"/>
      <c r="E66" s="471" t="s">
        <v>162</v>
      </c>
      <c r="F66" s="471"/>
      <c r="G66" s="471"/>
      <c r="H66" s="471"/>
      <c r="I66" s="471"/>
    </row>
    <row r="67" spans="1:10" ht="23.25" x14ac:dyDescent="0.25">
      <c r="B67" s="471" t="s">
        <v>163</v>
      </c>
      <c r="C67" s="471"/>
      <c r="D67" s="471"/>
      <c r="E67" s="471" t="s">
        <v>164</v>
      </c>
      <c r="F67" s="471"/>
      <c r="G67" s="471"/>
      <c r="H67" s="471"/>
      <c r="I67" s="471"/>
    </row>
    <row r="68" spans="1:10" ht="21" x14ac:dyDescent="0.25">
      <c r="B68" s="471" t="s">
        <v>165</v>
      </c>
      <c r="C68" s="471"/>
      <c r="D68" s="471"/>
      <c r="E68" s="471" t="s">
        <v>166</v>
      </c>
      <c r="F68" s="471"/>
      <c r="G68" s="471"/>
      <c r="H68" s="471"/>
      <c r="I68" s="471"/>
    </row>
    <row r="69" spans="1:10" ht="23.25" x14ac:dyDescent="0.25">
      <c r="B69" s="471" t="s">
        <v>167</v>
      </c>
      <c r="C69" s="471"/>
      <c r="D69" s="471"/>
      <c r="E69" s="471" t="s">
        <v>168</v>
      </c>
      <c r="F69" s="471"/>
      <c r="G69" s="471"/>
      <c r="H69" s="471"/>
      <c r="I69" s="108"/>
    </row>
    <row r="72" spans="1:10" ht="21" customHeight="1" x14ac:dyDescent="0.25">
      <c r="A72" s="463" t="s">
        <v>169</v>
      </c>
      <c r="B72" s="463"/>
      <c r="C72" s="463"/>
      <c r="D72" s="463"/>
      <c r="E72" s="463"/>
      <c r="F72" s="463"/>
      <c r="G72" s="463"/>
      <c r="H72" s="463"/>
      <c r="I72" s="463"/>
      <c r="J72" s="463"/>
    </row>
    <row r="73" spans="1:10" ht="21" customHeight="1" x14ac:dyDescent="0.25">
      <c r="A73" s="463"/>
      <c r="B73" s="463"/>
      <c r="C73" s="463"/>
      <c r="D73" s="463"/>
      <c r="E73" s="463"/>
      <c r="F73" s="463"/>
      <c r="G73" s="463"/>
      <c r="H73" s="463"/>
      <c r="I73" s="463"/>
      <c r="J73" s="463"/>
    </row>
    <row r="74" spans="1:10" ht="15" customHeight="1" x14ac:dyDescent="0.25">
      <c r="A74" s="463"/>
      <c r="B74" s="463"/>
      <c r="C74" s="463"/>
      <c r="D74" s="463"/>
      <c r="E74" s="463"/>
      <c r="F74" s="463"/>
      <c r="G74" s="463"/>
      <c r="H74" s="463"/>
      <c r="I74" s="463"/>
      <c r="J74" s="463"/>
    </row>
    <row r="75" spans="1:10" ht="15" customHeight="1" x14ac:dyDescent="0.25">
      <c r="A75" s="463"/>
      <c r="B75" s="463"/>
      <c r="C75" s="463"/>
      <c r="D75" s="463"/>
      <c r="E75" s="463"/>
      <c r="F75" s="463"/>
      <c r="G75" s="463"/>
      <c r="H75" s="463"/>
      <c r="I75" s="463"/>
      <c r="J75" s="463"/>
    </row>
    <row r="76" spans="1:10" x14ac:dyDescent="0.25">
      <c r="A76" s="463"/>
      <c r="B76" s="463"/>
      <c r="C76" s="463"/>
      <c r="D76" s="463"/>
      <c r="E76" s="463"/>
      <c r="F76" s="463"/>
      <c r="G76" s="463"/>
      <c r="H76" s="463"/>
      <c r="I76" s="463"/>
      <c r="J76" s="463"/>
    </row>
    <row r="77" spans="1:10" x14ac:dyDescent="0.25">
      <c r="A77" s="463"/>
      <c r="B77" s="463"/>
      <c r="C77" s="463"/>
      <c r="D77" s="463"/>
      <c r="E77" s="463"/>
      <c r="F77" s="463"/>
      <c r="G77" s="463"/>
      <c r="H77" s="463"/>
      <c r="I77" s="463"/>
      <c r="J77" s="463"/>
    </row>
    <row r="78" spans="1:10" x14ac:dyDescent="0.25">
      <c r="A78" s="463"/>
      <c r="B78" s="463"/>
      <c r="C78" s="463"/>
      <c r="D78" s="463"/>
      <c r="E78" s="463"/>
      <c r="F78" s="463"/>
      <c r="G78" s="463"/>
      <c r="H78" s="463"/>
      <c r="I78" s="463"/>
      <c r="J78" s="463"/>
    </row>
    <row r="79" spans="1:10" x14ac:dyDescent="0.25">
      <c r="A79" s="463"/>
      <c r="B79" s="463"/>
      <c r="C79" s="463"/>
      <c r="D79" s="463"/>
      <c r="E79" s="463"/>
      <c r="F79" s="463"/>
      <c r="G79" s="463"/>
      <c r="H79" s="463"/>
      <c r="I79" s="463"/>
      <c r="J79" s="463"/>
    </row>
    <row r="80" spans="1:10" x14ac:dyDescent="0.25">
      <c r="A80" s="463"/>
      <c r="B80" s="463"/>
      <c r="C80" s="463"/>
      <c r="D80" s="463"/>
      <c r="E80" s="463"/>
      <c r="F80" s="463"/>
      <c r="G80" s="463"/>
      <c r="H80" s="463"/>
      <c r="I80" s="463"/>
      <c r="J80" s="463"/>
    </row>
    <row r="81" spans="1:10" x14ac:dyDescent="0.25">
      <c r="A81" s="463"/>
      <c r="B81" s="463"/>
      <c r="C81" s="463"/>
      <c r="D81" s="463"/>
      <c r="E81" s="463"/>
      <c r="F81" s="463"/>
      <c r="G81" s="463"/>
      <c r="H81" s="463"/>
      <c r="I81" s="463"/>
      <c r="J81" s="463"/>
    </row>
    <row r="85" spans="1:10" ht="36" x14ac:dyDescent="0.25">
      <c r="C85" s="462" t="s">
        <v>170</v>
      </c>
      <c r="D85" s="462"/>
      <c r="E85" s="462"/>
      <c r="F85" s="462"/>
      <c r="G85" s="462"/>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4" t="s">
        <v>10</v>
      </c>
      <c r="D94" s="464"/>
      <c r="E94" s="464"/>
      <c r="F94" s="464"/>
      <c r="G94" s="464"/>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7">Mesures_Congel!A42:A53</f>
        <v xml:space="preserve">Sonde </v>
      </c>
      <c r="D96" s="115" cm="1">
        <f t="array" ref="D96:G107">Mesures_Congel!C42:F53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2" t="str">
        <v xml:space="preserve">Sonde </v>
      </c>
      <c r="D106" s="115">
        <v>0</v>
      </c>
      <c r="E106" s="115">
        <v>0</v>
      </c>
      <c r="F106" s="115">
        <v>0</v>
      </c>
      <c r="G106" s="115">
        <v>0</v>
      </c>
      <c r="H106" s="111"/>
      <c r="I106" s="111"/>
    </row>
    <row r="107" spans="1:9" ht="17.25" x14ac:dyDescent="0.25">
      <c r="A107" s="111"/>
      <c r="B107" s="111"/>
      <c r="C107" s="112" t="str">
        <v xml:space="preserve">Sonde </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5" t="s">
        <v>176</v>
      </c>
      <c r="C116" s="465"/>
      <c r="D116" s="465"/>
      <c r="E116" s="465"/>
      <c r="F116" s="465"/>
    </row>
    <row r="118" spans="1:9" ht="26.25" x14ac:dyDescent="0.25">
      <c r="B118" s="109" t="s">
        <v>177</v>
      </c>
    </row>
    <row r="119" spans="1:9" ht="21" x14ac:dyDescent="0.3">
      <c r="E119" s="107" t="s">
        <v>178</v>
      </c>
      <c r="F119" s="107"/>
      <c r="G119" s="116">
        <f>Mesures_Congel!$M$42</f>
        <v>0</v>
      </c>
    </row>
    <row r="120" spans="1:9" ht="21" x14ac:dyDescent="0.3">
      <c r="B120" s="117" t="s">
        <v>179</v>
      </c>
      <c r="C120" s="107" t="s">
        <v>180</v>
      </c>
      <c r="E120" s="107" t="s">
        <v>181</v>
      </c>
      <c r="F120" s="107"/>
      <c r="G120" s="116">
        <f>Mesures_Congel!$N$42</f>
        <v>0</v>
      </c>
    </row>
    <row r="121" spans="1:9" ht="21" x14ac:dyDescent="0.25">
      <c r="B121" s="117" t="s">
        <v>182</v>
      </c>
      <c r="C121" s="110" t="s">
        <v>183</v>
      </c>
      <c r="E121" s="107" t="s">
        <v>184</v>
      </c>
      <c r="F121" s="107"/>
      <c r="G121" s="118">
        <f>Mesures_Congel!$O$42</f>
        <v>0</v>
      </c>
    </row>
    <row r="122" spans="1:9" ht="21" x14ac:dyDescent="0.35">
      <c r="B122" s="119" t="s">
        <v>185</v>
      </c>
      <c r="C122" s="120" t="s">
        <v>186</v>
      </c>
      <c r="E122" s="107" t="s">
        <v>187</v>
      </c>
      <c r="F122" s="107"/>
      <c r="G122" s="121" t="e">
        <f>"±" &amp;  SUBSTITUTE(ROUND(AVERAGE(Mesures_Congel!$D$23:$D$34),2),"-"," ") &amp; "°C"</f>
        <v>#DIV/0!</v>
      </c>
    </row>
    <row r="127" spans="1:9" ht="36" x14ac:dyDescent="0.25">
      <c r="C127" s="462" t="s">
        <v>188</v>
      </c>
      <c r="D127" s="462"/>
      <c r="E127" s="462"/>
      <c r="F127" s="462"/>
    </row>
    <row r="128" spans="1:9" ht="36" x14ac:dyDescent="0.25">
      <c r="B128" s="104"/>
      <c r="C128" s="104"/>
      <c r="D128" s="104"/>
    </row>
    <row r="129" spans="2:9" x14ac:dyDescent="0.25">
      <c r="B129" s="338"/>
      <c r="C129" s="338"/>
      <c r="D129" s="338"/>
      <c r="E129" s="338"/>
      <c r="F129" s="338"/>
      <c r="G129" s="338"/>
      <c r="H129" s="338"/>
      <c r="I129" s="338"/>
    </row>
    <row r="130" spans="2:9" x14ac:dyDescent="0.25">
      <c r="B130" s="338"/>
      <c r="C130" s="338"/>
      <c r="D130" s="338"/>
      <c r="E130" s="338"/>
      <c r="F130" s="338"/>
      <c r="G130" s="338"/>
      <c r="H130" s="338"/>
      <c r="I130" s="338"/>
    </row>
    <row r="131" spans="2:9" x14ac:dyDescent="0.25">
      <c r="B131" s="338"/>
      <c r="C131" s="338"/>
      <c r="D131" s="338"/>
      <c r="E131" s="338"/>
      <c r="F131" s="338"/>
      <c r="G131" s="338"/>
      <c r="H131" s="338"/>
      <c r="I131" s="338"/>
    </row>
    <row r="132" spans="2:9" x14ac:dyDescent="0.25">
      <c r="B132" s="338"/>
      <c r="C132" s="338"/>
      <c r="D132" s="338"/>
      <c r="E132" s="338"/>
      <c r="F132" s="338"/>
      <c r="G132" s="338"/>
      <c r="H132" s="338"/>
      <c r="I132" s="338"/>
    </row>
    <row r="133" spans="2:9" x14ac:dyDescent="0.25">
      <c r="B133" s="338"/>
      <c r="C133" s="338"/>
      <c r="D133" s="338"/>
      <c r="E133" s="338"/>
      <c r="F133" s="338"/>
      <c r="G133" s="338"/>
      <c r="H133" s="338"/>
      <c r="I133" s="338"/>
    </row>
    <row r="134" spans="2:9" x14ac:dyDescent="0.25">
      <c r="B134" s="338"/>
      <c r="C134" s="338"/>
      <c r="D134" s="338"/>
      <c r="E134" s="338"/>
      <c r="F134" s="338"/>
      <c r="G134" s="338"/>
      <c r="H134" s="338"/>
      <c r="I134" s="338"/>
    </row>
    <row r="135" spans="2:9" x14ac:dyDescent="0.25">
      <c r="B135" s="338"/>
      <c r="C135" s="338"/>
      <c r="D135" s="338"/>
      <c r="E135" s="338"/>
      <c r="F135" s="338"/>
      <c r="G135" s="338"/>
      <c r="H135" s="338"/>
      <c r="I135" s="338"/>
    </row>
    <row r="136" spans="2:9" x14ac:dyDescent="0.25">
      <c r="B136" s="338"/>
      <c r="C136" s="338"/>
      <c r="D136" s="338"/>
      <c r="E136" s="338"/>
      <c r="F136" s="338"/>
      <c r="G136" s="338"/>
      <c r="H136" s="338"/>
      <c r="I136" s="338"/>
    </row>
    <row r="137" spans="2:9" x14ac:dyDescent="0.25">
      <c r="B137" s="338"/>
      <c r="C137" s="338"/>
      <c r="D137" s="338"/>
      <c r="E137" s="338"/>
      <c r="F137" s="338"/>
      <c r="G137" s="338"/>
      <c r="H137" s="338"/>
      <c r="I137" s="338"/>
    </row>
    <row r="138" spans="2:9" x14ac:dyDescent="0.25">
      <c r="B138" s="338"/>
      <c r="C138" s="338"/>
      <c r="D138" s="338"/>
      <c r="E138" s="338"/>
      <c r="F138" s="338"/>
      <c r="G138" s="338"/>
      <c r="H138" s="338"/>
      <c r="I138" s="338"/>
    </row>
    <row r="139" spans="2:9" x14ac:dyDescent="0.25">
      <c r="B139" s="338"/>
      <c r="C139" s="338"/>
      <c r="D139" s="338"/>
      <c r="E139" s="338"/>
      <c r="F139" s="338"/>
      <c r="G139" s="338"/>
      <c r="H139" s="338"/>
      <c r="I139" s="338"/>
    </row>
    <row r="140" spans="2:9" x14ac:dyDescent="0.25">
      <c r="B140" s="338"/>
      <c r="C140" s="338"/>
      <c r="D140" s="338"/>
      <c r="E140" s="338"/>
      <c r="F140" s="338"/>
      <c r="G140" s="338"/>
      <c r="H140" s="338"/>
      <c r="I140" s="338"/>
    </row>
    <row r="141" spans="2:9" x14ac:dyDescent="0.25">
      <c r="B141" s="338"/>
      <c r="C141" s="338"/>
      <c r="D141" s="338"/>
      <c r="E141" s="338"/>
      <c r="F141" s="338"/>
      <c r="G141" s="338"/>
      <c r="H141" s="338"/>
      <c r="I141" s="338"/>
    </row>
    <row r="142" spans="2:9" x14ac:dyDescent="0.25">
      <c r="B142" s="338"/>
      <c r="C142" s="338"/>
      <c r="D142" s="338"/>
      <c r="E142" s="338"/>
      <c r="F142" s="338"/>
      <c r="G142" s="338"/>
      <c r="H142" s="338"/>
      <c r="I142" s="338"/>
    </row>
    <row r="143" spans="2:9" x14ac:dyDescent="0.25">
      <c r="B143" s="338"/>
      <c r="C143" s="338"/>
      <c r="D143" s="338"/>
      <c r="E143" s="338"/>
      <c r="F143" s="338"/>
      <c r="G143" s="338"/>
      <c r="H143" s="338"/>
      <c r="I143" s="338"/>
    </row>
    <row r="144" spans="2:9" x14ac:dyDescent="0.25">
      <c r="B144" s="338"/>
      <c r="C144" s="338"/>
      <c r="D144" s="338"/>
      <c r="E144" s="338"/>
      <c r="F144" s="338"/>
      <c r="G144" s="338"/>
      <c r="H144" s="338"/>
      <c r="I144" s="338"/>
    </row>
    <row r="163" spans="1:8" ht="36" x14ac:dyDescent="0.25">
      <c r="C163" s="462" t="s">
        <v>189</v>
      </c>
      <c r="D163" s="462"/>
      <c r="E163" s="462"/>
      <c r="F163" s="462"/>
      <c r="G163" s="462"/>
      <c r="H163" s="462"/>
    </row>
    <row r="167" spans="1:8" x14ac:dyDescent="0.25">
      <c r="A167" s="122" t="str" cm="1">
        <f t="array" ref="A167:C179">Mesures_Congel!A22:C34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78" spans="1:3" x14ac:dyDescent="0.25">
      <c r="A178" s="122">
        <v>11</v>
      </c>
      <c r="B178" s="123">
        <v>0</v>
      </c>
      <c r="C178" s="124">
        <v>0</v>
      </c>
    </row>
    <row r="179" spans="1:3" x14ac:dyDescent="0.25">
      <c r="A179" s="122">
        <v>12</v>
      </c>
      <c r="B179" s="123">
        <v>0</v>
      </c>
      <c r="C179" s="124">
        <v>0</v>
      </c>
    </row>
    <row r="196" spans="1:9" ht="36" x14ac:dyDescent="0.25">
      <c r="C196" s="462" t="s">
        <v>190</v>
      </c>
      <c r="D196" s="462"/>
      <c r="E196" s="462"/>
      <c r="F196" s="462"/>
      <c r="G196" s="462"/>
      <c r="H196" s="462"/>
    </row>
    <row r="200" spans="1:9" x14ac:dyDescent="0.25">
      <c r="A200" s="122" t="str" cm="1">
        <f t="array" ref="A200:B201">Mesures_Congel!$A$19:$B$20</f>
        <v>Consignes</v>
      </c>
      <c r="B200" s="124">
        <v>0</v>
      </c>
      <c r="G200" s="466" t="s">
        <v>191</v>
      </c>
      <c r="H200" s="467"/>
      <c r="I200" s="468"/>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69" t="s">
        <v>195</v>
      </c>
      <c r="C205" s="469"/>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0" t="s">
        <v>203</v>
      </c>
      <c r="B211" s="129" t="s">
        <v>204</v>
      </c>
      <c r="C211" s="132" t="e">
        <f>MAX(Congel!#REF!)</f>
        <v>#REF!</v>
      </c>
      <c r="D211" s="130" t="e">
        <f>_xlfn.XLOOKUP(INT(SUBSTITUTE(E211,"Connecteur ","")),Mesures_Congel!$C$23:$C$34,Mesures_Congel!$A$23:$A$34)</f>
        <v>#REF!</v>
      </c>
      <c r="E211" s="130" t="e">
        <f>_xlfn.XLOOKUP(C211,Congel!#REF!,Congel!C10:N10)</f>
        <v>#REF!</v>
      </c>
      <c r="F211" s="130" t="e">
        <f>_xlfn.XLOOKUP(INT(SUBSTITUTE(E211,"Connecteur ","")),Mesures_Congel!$C$23:$C$34,Mesures_Congel!$B$23:$B$34)</f>
        <v>#REF!</v>
      </c>
    </row>
    <row r="212" spans="1:6" x14ac:dyDescent="0.25">
      <c r="A212" s="470"/>
      <c r="B212" s="129" t="s">
        <v>205</v>
      </c>
      <c r="C212" s="132" t="e">
        <f>MIN(Congel!#REF!)</f>
        <v>#REF!</v>
      </c>
      <c r="D212" s="130" t="e">
        <f>_xlfn.XLOOKUP(INT(SUBSTITUTE(E212,"Connecteur ","")),Mesures_Congel!$C$23:$C$34,Mesures_Congel!$A$23:$A$34)</f>
        <v>#REF!</v>
      </c>
      <c r="E212" s="130" t="e">
        <f>_xlfn.XLOOKUP(C212,Congel!#REF!,Congel!C10:N10)</f>
        <v>#REF!</v>
      </c>
      <c r="F212" s="131" t="e">
        <f>_xlfn.XLOOKUP(INT(SUBSTITUTE(E212,"Connecteur ","")),Mesures_Congel!$C$23:$C$34,Mesures_Congel!$B$23:$B$34)</f>
        <v>#REF!</v>
      </c>
    </row>
    <row r="213" spans="1:6" ht="34.5" customHeight="1" x14ac:dyDescent="0.25">
      <c r="A213" s="470"/>
      <c r="B213" s="129" t="s">
        <v>206</v>
      </c>
      <c r="C213" s="132" t="e">
        <f>MIN(Congel!#REF!)</f>
        <v>#REF!</v>
      </c>
      <c r="D213" s="130" t="e">
        <f>_xlfn.XLOOKUP(INT(SUBSTITUTE(E213,"Connecteur ","")),Mesures_Congel!$C$23:$C$34,Mesures_Congel!$A$23:$A$34)</f>
        <v>#REF!</v>
      </c>
      <c r="E213" s="130" t="e">
        <f>_xlfn.XLOOKUP(C213,Congel!#REF!,Congel!C10:N10)</f>
        <v>#REF!</v>
      </c>
      <c r="F213" s="131" t="e">
        <f>_xlfn.XLOOKUP(INT(SUBSTITUTE(E213,"Connecteur ","")),Mesures_Congel!$C$23:$C$34,Mesures_Congel!$B$23:$B$34)</f>
        <v>#REF!</v>
      </c>
    </row>
    <row r="214" spans="1:6" x14ac:dyDescent="0.25">
      <c r="A214" s="470"/>
      <c r="B214" s="129" t="s">
        <v>207</v>
      </c>
      <c r="C214" s="132" t="e">
        <f>Congel!#REF!</f>
        <v>#REF!</v>
      </c>
      <c r="D214" s="130" t="s">
        <v>201</v>
      </c>
      <c r="E214" s="130" t="s">
        <v>201</v>
      </c>
      <c r="F214" s="131" t="s">
        <v>201</v>
      </c>
    </row>
    <row r="215" spans="1:6" x14ac:dyDescent="0.25">
      <c r="C215" s="89"/>
      <c r="D215" s="89"/>
      <c r="E215" s="89"/>
      <c r="F215" s="89"/>
    </row>
    <row r="226" spans="2:9" ht="36" x14ac:dyDescent="0.25">
      <c r="B226" s="462" t="s">
        <v>208</v>
      </c>
      <c r="C226" s="462"/>
      <c r="D226" s="462"/>
      <c r="E226" s="462"/>
      <c r="F226" s="462"/>
    </row>
    <row r="229" spans="2:9" x14ac:dyDescent="0.25">
      <c r="B229" s="338" t="s">
        <v>209</v>
      </c>
      <c r="C229" s="338"/>
    </row>
    <row r="232" spans="2:9" x14ac:dyDescent="0.25">
      <c r="C232" s="27"/>
      <c r="D232" s="27"/>
      <c r="E232" s="27"/>
      <c r="F232" s="457" t="s">
        <v>191</v>
      </c>
      <c r="G232" s="459"/>
      <c r="H232" s="459"/>
      <c r="I232" s="458"/>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Mesures_Congel!$A$23:$C$34</f>
        <v>1</v>
      </c>
      <c r="D234" s="38">
        <v>0</v>
      </c>
      <c r="E234" s="38">
        <v>0</v>
      </c>
      <c r="F234" s="134" t="e">
        <f>_xlfn.XLOOKUP(SUBSTITUTE(Congel_PV!E234,Congel_PV!E234,"Connecteur " &amp; Congel_PV!E234),Congel!C10:N10,Congel!#REF!)</f>
        <v>#REF!</v>
      </c>
      <c r="G234" s="134" t="e">
        <f>_xlfn.XLOOKUP(SUBSTITUTE(Congel_PV!E234,Congel_PV!E234,"Connecteur " &amp; Congel_PV!E234),Congel!C10:N10,Congel!#REF!)</f>
        <v>#REF!</v>
      </c>
      <c r="H234" s="134" t="e">
        <f>_xlfn.XLOOKUP(SUBSTITUTE(Congel_PV!E234,Congel_PV!E234,"Connecteur " &amp; Congel_PV!E234),Congel!C10:N10,Congel!#REF!)</f>
        <v>#REF!</v>
      </c>
      <c r="I234" s="134" t="e">
        <f>_xlfn.XLOOKUP(SUBSTITUTE(Congel_PV!E234,Congel_PV!E234,"Connecteur " &amp; Congel_PV!E234),Congel!C10:N10,Congel!#REF!)</f>
        <v>#REF!</v>
      </c>
    </row>
    <row r="235" spans="2:9" x14ac:dyDescent="0.25">
      <c r="C235" s="38">
        <v>2</v>
      </c>
      <c r="D235" s="38">
        <v>0</v>
      </c>
      <c r="E235" s="38">
        <v>0</v>
      </c>
      <c r="F235" s="134" t="e">
        <f>_xlfn.XLOOKUP(SUBSTITUTE(Congel_PV!E235,Congel_PV!E235,"Connecteur " &amp; Congel_PV!E235),Congel!C10:N10,Congel!#REF!)</f>
        <v>#REF!</v>
      </c>
      <c r="G235" s="134" t="e">
        <f>_xlfn.XLOOKUP(SUBSTITUTE(Congel_PV!E235,Congel_PV!E235,"Connecteur " &amp; Congel_PV!E235),Congel!C10:N10,Congel!#REF!)</f>
        <v>#REF!</v>
      </c>
      <c r="H235" s="134" t="e">
        <f>_xlfn.XLOOKUP(SUBSTITUTE(Congel_PV!E235,Congel_PV!E235,"Connecteur " &amp; Congel_PV!E235),Congel!C10:N10,Congel!#REF!)</f>
        <v>#REF!</v>
      </c>
      <c r="I235" s="134" t="e">
        <f>_xlfn.XLOOKUP(SUBSTITUTE(Congel_PV!E235,Congel_PV!E235,"Connecteur " &amp; Congel_PV!E235),Congel!C10:N10,Congel!#REF!)</f>
        <v>#REF!</v>
      </c>
    </row>
    <row r="236" spans="2:9" x14ac:dyDescent="0.25">
      <c r="C236" s="38">
        <v>3</v>
      </c>
      <c r="D236" s="38">
        <v>0</v>
      </c>
      <c r="E236" s="38">
        <v>0</v>
      </c>
      <c r="F236" s="134" t="e">
        <f>_xlfn.XLOOKUP(SUBSTITUTE(Congel_PV!E236,Congel_PV!E236,"Connecteur " &amp; Congel_PV!E236),Congel!C10:N10,Congel!#REF!)</f>
        <v>#REF!</v>
      </c>
      <c r="G236" s="134" t="e">
        <f>_xlfn.XLOOKUP(SUBSTITUTE(Congel_PV!E236,Congel_PV!E236,"Connecteur " &amp; Congel_PV!E236),Congel!C10:N10,Congel!#REF!)</f>
        <v>#REF!</v>
      </c>
      <c r="H236" s="134" t="e">
        <f>_xlfn.XLOOKUP(SUBSTITUTE(Congel_PV!E236,Congel_PV!E236,"Connecteur " &amp; Congel_PV!E236),Congel!C10:N10,Congel!#REF!)</f>
        <v>#REF!</v>
      </c>
      <c r="I236" s="134" t="e">
        <f>_xlfn.XLOOKUP(SUBSTITUTE(Congel_PV!E236,Congel_PV!E236,"Connecteur " &amp; Congel_PV!E236),Congel!C10:N10,Congel!#REF!)</f>
        <v>#REF!</v>
      </c>
    </row>
    <row r="237" spans="2:9" x14ac:dyDescent="0.25">
      <c r="C237" s="38">
        <v>4</v>
      </c>
      <c r="D237" s="38">
        <v>0</v>
      </c>
      <c r="E237" s="38">
        <v>0</v>
      </c>
      <c r="F237" s="134" t="e">
        <f>_xlfn.XLOOKUP(SUBSTITUTE(Congel_PV!E237,Congel_PV!E237,"Connecteur " &amp; Congel_PV!E237),Congel!C10:N10,Congel!#REF!)</f>
        <v>#REF!</v>
      </c>
      <c r="G237" s="134" t="e">
        <f>_xlfn.XLOOKUP(SUBSTITUTE(Congel_PV!E237,Congel_PV!E237,"Connecteur " &amp; Congel_PV!E237),Congel!C10:N10,Congel!#REF!)</f>
        <v>#REF!</v>
      </c>
      <c r="H237" s="134" t="e">
        <f>_xlfn.XLOOKUP(SUBSTITUTE(Congel_PV!E237,Congel_PV!E237,"Connecteur " &amp; Congel_PV!E237),Congel!C10:N10,Congel!#REF!)</f>
        <v>#REF!</v>
      </c>
      <c r="I237" s="134" t="e">
        <f>_xlfn.XLOOKUP(SUBSTITUTE(Congel_PV!E237,Congel_PV!E237,"Connecteur " &amp; Congel_PV!E237),Congel!C10:N10,Congel!#REF!)</f>
        <v>#REF!</v>
      </c>
    </row>
    <row r="238" spans="2:9" x14ac:dyDescent="0.25">
      <c r="C238" s="38">
        <v>5</v>
      </c>
      <c r="D238" s="38">
        <v>0</v>
      </c>
      <c r="E238" s="38">
        <v>0</v>
      </c>
      <c r="F238" s="134" t="e">
        <f>_xlfn.XLOOKUP(SUBSTITUTE(Congel_PV!E238,Congel_PV!E238,"Connecteur " &amp; Congel_PV!E238),Congel!C10:N10,Congel!#REF!)</f>
        <v>#REF!</v>
      </c>
      <c r="G238" s="134" t="e">
        <f>_xlfn.XLOOKUP(SUBSTITUTE(Congel_PV!E238,Congel_PV!E238,"Connecteur "&amp;Congel_PV!E238),Congel!C10:N10,Congel!#REF!)</f>
        <v>#REF!</v>
      </c>
      <c r="H238" s="134" t="e">
        <f>_xlfn.XLOOKUP(SUBSTITUTE(Congel_PV!E238,Congel_PV!E238,"Connecteur " &amp; Congel_PV!E238),Congel!C10:N10,Congel!#REF!)</f>
        <v>#REF!</v>
      </c>
      <c r="I238" s="134" t="e">
        <f>_xlfn.XLOOKUP(SUBSTITUTE(Congel_PV!E238,Congel_PV!E238,"Connecteur " &amp; Congel_PV!E238),Congel!C10:N10,Congel!#REF!)</f>
        <v>#REF!</v>
      </c>
    </row>
    <row r="239" spans="2:9" x14ac:dyDescent="0.25">
      <c r="C239" s="38">
        <v>6</v>
      </c>
      <c r="D239" s="38">
        <v>0</v>
      </c>
      <c r="E239" s="38">
        <v>0</v>
      </c>
      <c r="F239" s="134" t="e">
        <f>_xlfn.XLOOKUP(SUBSTITUTE(Congel_PV!E239,Congel_PV!E239,"Connecteur " &amp; Congel_PV!E239),Congel!C10:N10,Congel!#REF!)</f>
        <v>#REF!</v>
      </c>
      <c r="G239" s="134" t="e">
        <f>_xlfn.XLOOKUP(SUBSTITUTE(Congel_PV!E239,Congel_PV!E239,"Connecteur " &amp; Congel_PV!E239),Congel!C10:N10,Congel!#REF!)</f>
        <v>#REF!</v>
      </c>
      <c r="H239" s="134" t="e">
        <f>_xlfn.XLOOKUP(SUBSTITUTE(Congel_PV!E239,Congel_PV!E239,"Connecteur " &amp; Congel_PV!E239),Congel!C10:N10,Congel!#REF!)</f>
        <v>#REF!</v>
      </c>
      <c r="I239" s="134" t="e">
        <f>_xlfn.XLOOKUP(SUBSTITUTE(Congel_PV!E239,Congel_PV!E239,"Connecteur " &amp; Congel_PV!E239),Congel!C10:N10,Congel!#REF!)</f>
        <v>#REF!</v>
      </c>
    </row>
    <row r="240" spans="2:9" x14ac:dyDescent="0.25">
      <c r="C240" s="38">
        <v>7</v>
      </c>
      <c r="D240" s="38">
        <v>0</v>
      </c>
      <c r="E240" s="38">
        <v>0</v>
      </c>
      <c r="F240" s="134" t="e">
        <f>_xlfn.XLOOKUP(SUBSTITUTE(Congel_PV!E240,Congel_PV!E240,"Connecteur " &amp; Congel_PV!E240),Congel!C10:N10,Congel!#REF!)</f>
        <v>#REF!</v>
      </c>
      <c r="G240" s="134" t="e">
        <f>_xlfn.XLOOKUP(SUBSTITUTE(Congel_PV!E240,Congel_PV!E240,"Connecteur " &amp; Congel_PV!E240),Congel!C10:N10,Congel!#REF!)</f>
        <v>#REF!</v>
      </c>
      <c r="H240" s="134" t="e">
        <f>_xlfn.XLOOKUP(SUBSTITUTE(Congel_PV!E240,Congel_PV!E240,"Connecteur " &amp; Congel_PV!E240),Congel!C10:N10,Congel!#REF!)</f>
        <v>#REF!</v>
      </c>
      <c r="I240" s="134" t="e">
        <f>_xlfn.XLOOKUP(SUBSTITUTE(Congel_PV!E240,Congel_PV!E240,"Connecteur " &amp; Congel_PV!E240),Congel!C10:N10,Congel!#REF!)</f>
        <v>#REF!</v>
      </c>
    </row>
    <row r="241" spans="2:9" x14ac:dyDescent="0.25">
      <c r="C241" s="38">
        <v>8</v>
      </c>
      <c r="D241" s="38">
        <v>0</v>
      </c>
      <c r="E241" s="38">
        <v>0</v>
      </c>
      <c r="F241" s="134" t="e">
        <f>_xlfn.XLOOKUP(SUBSTITUTE(Congel_PV!E241,Congel_PV!E241,"Connecteur " &amp; Congel_PV!E241),Congel!C10:N10,Congel!#REF!)</f>
        <v>#REF!</v>
      </c>
      <c r="G241" s="134" t="e">
        <f>_xlfn.XLOOKUP(SUBSTITUTE(Congel_PV!E241,Congel_PV!E241,"Connecteur " &amp; Congel_PV!E241),Congel!C10:N10,Congel!#REF!)</f>
        <v>#REF!</v>
      </c>
      <c r="H241" s="134" t="e">
        <f>_xlfn.XLOOKUP(SUBSTITUTE(Congel_PV!E241,Congel_PV!E241,"Connecteur " &amp; Congel_PV!E241),Congel!C10:N10,Congel!#REF!)</f>
        <v>#REF!</v>
      </c>
      <c r="I241" s="134" t="e">
        <f>_xlfn.XLOOKUP(SUBSTITUTE(Congel_PV!E241,Congel_PV!E241,"Connecteur " &amp; Congel_PV!E241),Congel!C10:N10,Congel!#REF!)</f>
        <v>#REF!</v>
      </c>
    </row>
    <row r="242" spans="2:9" x14ac:dyDescent="0.25">
      <c r="C242" s="38">
        <v>9</v>
      </c>
      <c r="D242" s="38">
        <v>0</v>
      </c>
      <c r="E242" s="38">
        <v>0</v>
      </c>
      <c r="F242" s="134" t="e">
        <f>_xlfn.XLOOKUP(SUBSTITUTE(Congel_PV!E242,Congel_PV!E242,"Connecteur " &amp; Congel_PV!E242),Congel!C10:N10,Congel!#REF!)</f>
        <v>#REF!</v>
      </c>
      <c r="G242" s="134" t="e">
        <f>_xlfn.XLOOKUP(SUBSTITUTE(Congel_PV!E242,Congel_PV!E242,"Connecteur " &amp; Congel_PV!E242),Congel!C10:N10,Congel!#REF!)</f>
        <v>#REF!</v>
      </c>
      <c r="H242" s="134" t="e">
        <f>_xlfn.XLOOKUP(SUBSTITUTE(Congel_PV!E242,Congel_PV!E242,"Connecteur " &amp; Congel_PV!E242),Congel!C10:N10,Congel!#REF!)</f>
        <v>#REF!</v>
      </c>
      <c r="I242" s="134" t="e">
        <f>_xlfn.XLOOKUP(SUBSTITUTE(Congel_PV!E242,Congel_PV!E242,"Connecteur " &amp; Congel_PV!E242),Congel!C10:N10,Congel!#REF!)</f>
        <v>#REF!</v>
      </c>
    </row>
    <row r="243" spans="2:9" x14ac:dyDescent="0.25">
      <c r="C243" s="38">
        <v>10</v>
      </c>
      <c r="D243" s="38">
        <v>0</v>
      </c>
      <c r="E243" s="38">
        <v>0</v>
      </c>
      <c r="F243" s="134" t="e">
        <f>_xlfn.XLOOKUP(SUBSTITUTE(Congel_PV!E243,Congel_PV!E243,"Connecteur " &amp; Congel_PV!E243),Congel!C10:N10,Congel!#REF!)</f>
        <v>#REF!</v>
      </c>
      <c r="G243" s="134" t="e">
        <f>_xlfn.XLOOKUP(SUBSTITUTE(Congel_PV!E243,Congel_PV!E243,"Connecteur " &amp; Congel_PV!E243),Congel!C10:N10,Congel!#REF!)</f>
        <v>#REF!</v>
      </c>
      <c r="H243" s="134" t="e">
        <f>_xlfn.XLOOKUP(SUBSTITUTE(Congel_PV!E243,Congel_PV!E243,"Connecteur " &amp; Congel_PV!E243),Congel!C10:N10,Congel!#REF!)</f>
        <v>#REF!</v>
      </c>
      <c r="I243" s="134" t="e">
        <f>_xlfn.XLOOKUP(SUBSTITUTE(Congel_PV!E243,Congel_PV!E243,"Connecteur " &amp; Congel_PV!E243),Congel!C10:N10,Congel!#REF!)</f>
        <v>#REF!</v>
      </c>
    </row>
    <row r="244" spans="2:9" x14ac:dyDescent="0.25">
      <c r="C244" s="38">
        <v>11</v>
      </c>
      <c r="D244" s="38">
        <v>0</v>
      </c>
      <c r="E244" s="38">
        <v>0</v>
      </c>
      <c r="F244" s="134" t="e">
        <f>_xlfn.XLOOKUP(SUBSTITUTE(Congel_PV!E244,Congel_PV!E244,"Connecteur " &amp; Congel_PV!E244),Congel!C10:N10,Congel!#REF!)</f>
        <v>#REF!</v>
      </c>
      <c r="G244" s="134" t="e">
        <f>_xlfn.XLOOKUP(SUBSTITUTE(Congel_PV!E244,Congel_PV!E244,"Connecteur " &amp; Congel_PV!E244),Congel!C10:N10,Congel!#REF!)</f>
        <v>#REF!</v>
      </c>
      <c r="H244" s="134" t="e">
        <f>_xlfn.XLOOKUP(SUBSTITUTE(Congel_PV!E244,Congel_PV!E244,"Connecteur " &amp; Congel_PV!E244),Congel!C10:N10,Congel!#REF!)</f>
        <v>#REF!</v>
      </c>
      <c r="I244" s="134" t="e">
        <f>_xlfn.XLOOKUP(SUBSTITUTE(Congel_PV!E244,Congel_PV!E244,"Connecteur " &amp; Congel_PV!E244),Congel!C10:N10,Congel!#REF!)</f>
        <v>#REF!</v>
      </c>
    </row>
    <row r="245" spans="2:9" x14ac:dyDescent="0.25">
      <c r="C245" s="38">
        <v>12</v>
      </c>
      <c r="D245" s="38">
        <v>0</v>
      </c>
      <c r="E245" s="38">
        <v>0</v>
      </c>
      <c r="F245" s="134" t="e">
        <f>_xlfn.XLOOKUP(SUBSTITUTE(Congel_PV!E245,Congel_PV!E245,"Connecteur " &amp; Congel_PV!E245),Congel!C10:N10,Congel!#REF!)</f>
        <v>#REF!</v>
      </c>
      <c r="G245" s="134" t="e">
        <f>_xlfn.XLOOKUP(SUBSTITUTE(Congel_PV!E245,Congel_PV!E245,"Connecteur " &amp; Congel_PV!E245),Congel!C10:N10,Congel!#REF!)</f>
        <v>#REF!</v>
      </c>
      <c r="H245" s="134" t="e">
        <f>_xlfn.XLOOKUP(SUBSTITUTE(Congel_PV!E245,Congel_PV!E245,"Connecteur " &amp; Congel_PV!E245),Congel!C10:N10,Congel!#REF!)</f>
        <v>#REF!</v>
      </c>
      <c r="I245" s="134" t="e">
        <f>_xlfn.XLOOKUP(SUBSTITUTE(Congel_PV!E245,Congel_PV!E245,"Connecteur " &amp; Congel_PV!E245),Congel!C10:N10,Congel!#REF!)</f>
        <v>#REF!</v>
      </c>
    </row>
    <row r="252" spans="2:9" x14ac:dyDescent="0.25">
      <c r="B252" s="135"/>
    </row>
    <row r="254" spans="2:9" ht="36" x14ac:dyDescent="0.3">
      <c r="C254" s="136" t="s">
        <v>215</v>
      </c>
      <c r="D254" s="137"/>
      <c r="E254" s="137"/>
      <c r="F254" s="137"/>
    </row>
    <row r="257" spans="2:2" x14ac:dyDescent="0.25">
      <c r="B257" t="s">
        <v>216</v>
      </c>
    </row>
    <row r="293" spans="2:8" ht="36" x14ac:dyDescent="0.55000000000000004">
      <c r="G293" s="460" t="s">
        <v>217</v>
      </c>
      <c r="H293" s="460"/>
    </row>
    <row r="297" spans="2:8" ht="23.25" customHeight="1" x14ac:dyDescent="0.25">
      <c r="B297" s="461" t="s">
        <v>218</v>
      </c>
      <c r="C297" s="461"/>
      <c r="D297" s="461"/>
      <c r="E297" s="461"/>
      <c r="F297" s="138" t="e">
        <f>IF(OR(AVERAGE(Congel!#REF!)&gt;Congel!#REF!,AVERAGE(Congel!#REF!)&lt;Congel!#REF!),"NON CONFORME","CONFORME")</f>
        <v>#REF!</v>
      </c>
      <c r="G297" s="139"/>
    </row>
    <row r="298" spans="2:8" ht="23.25" customHeight="1" x14ac:dyDescent="0.25">
      <c r="B298" s="461"/>
      <c r="C298" s="461"/>
      <c r="D298" s="461"/>
      <c r="E298" s="461"/>
      <c r="F298" s="139"/>
      <c r="G298" s="139"/>
    </row>
    <row r="299" spans="2:8" ht="15" customHeight="1" x14ac:dyDescent="0.25">
      <c r="B299" s="139"/>
      <c r="C299" s="139"/>
      <c r="D299" s="139"/>
      <c r="E299" s="139"/>
      <c r="F299" s="139"/>
      <c r="G299" s="139"/>
    </row>
    <row r="303" spans="2:8" x14ac:dyDescent="0.25">
      <c r="C303" s="129" t="s">
        <v>219</v>
      </c>
      <c r="D303" s="129"/>
      <c r="E303" s="129" t="str">
        <f xml:space="preserve"> "-30°C"</f>
        <v>-30°C</v>
      </c>
    </row>
    <row r="304" spans="2:8" x14ac:dyDescent="0.25">
      <c r="C304" s="456" t="s">
        <v>220</v>
      </c>
      <c r="D304" s="456"/>
      <c r="E304" s="142">
        <f>Mesures_Congel!$B$19</f>
        <v>0</v>
      </c>
    </row>
    <row r="305" spans="3:5" x14ac:dyDescent="0.25">
      <c r="C305" s="456" t="s">
        <v>221</v>
      </c>
      <c r="D305" s="456"/>
      <c r="E305" s="134" t="e">
        <f>Congel!#REF!</f>
        <v>#REF!</v>
      </c>
    </row>
    <row r="306" spans="3:5" x14ac:dyDescent="0.25">
      <c r="C306" s="456" t="s">
        <v>222</v>
      </c>
      <c r="D306" s="456"/>
      <c r="E306" s="38" t="str">
        <f>"±" &amp; Mesures_Congel!$B$20</f>
        <v>±</v>
      </c>
    </row>
    <row r="307" spans="3:5" x14ac:dyDescent="0.25">
      <c r="C307" s="457" t="s">
        <v>223</v>
      </c>
      <c r="D307" s="458"/>
      <c r="E307" s="38" t="e">
        <f>IF(F297="CONFORME","OUI","NON")</f>
        <v>#REF!</v>
      </c>
    </row>
    <row r="308" spans="3:5" x14ac:dyDescent="0.25">
      <c r="C308" s="456" t="s">
        <v>224</v>
      </c>
      <c r="D308" s="456"/>
      <c r="E308" s="38">
        <v>2</v>
      </c>
    </row>
  </sheetData>
  <sheetProtection algorithmName="SHA-512" hashValue="7BEHk+1RCS7j+wWBnubiIkN9xM42clQuheqhXDrcVmwnsH+0s8pJKZI8QxW3jqFDAYpnny87zTmoaNQQUETElA==" saltValue="WzetYdiW35QqA15YlgtYAw==" spinCount="100000" sheet="1" objects="1" scenarios="1"/>
  <mergeCells count="40">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7:D307"/>
    <mergeCell ref="C308:D308"/>
    <mergeCell ref="B229:C229"/>
    <mergeCell ref="F232:I232"/>
    <mergeCell ref="G293:H293"/>
    <mergeCell ref="B297:E298"/>
    <mergeCell ref="C304:D304"/>
    <mergeCell ref="C305:D305"/>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36" sqref="A36:I36"/>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5" t="s">
        <v>100</v>
      </c>
      <c r="C1" s="475"/>
      <c r="D1" s="475"/>
      <c r="E1" s="475"/>
      <c r="F1" s="475"/>
      <c r="G1" s="475"/>
      <c r="H1" s="475"/>
      <c r="I1" s="475"/>
      <c r="J1" s="51"/>
      <c r="K1" s="51"/>
      <c r="L1" s="51"/>
      <c r="M1" s="51"/>
    </row>
    <row r="2" spans="1:13" x14ac:dyDescent="0.25">
      <c r="L2" s="51"/>
      <c r="M2" s="51"/>
    </row>
    <row r="3" spans="1:13" x14ac:dyDescent="0.25">
      <c r="A3" s="476" t="s">
        <v>101</v>
      </c>
      <c r="B3" s="476"/>
      <c r="C3" s="476"/>
      <c r="D3" s="476"/>
      <c r="E3" s="476"/>
      <c r="F3" s="476"/>
      <c r="G3" s="476"/>
      <c r="H3" s="476"/>
      <c r="I3" s="476"/>
    </row>
    <row r="4" spans="1:13" x14ac:dyDescent="0.25">
      <c r="A4" s="477" t="s">
        <v>102</v>
      </c>
      <c r="B4" s="477"/>
      <c r="C4" s="477"/>
      <c r="D4" s="477"/>
      <c r="E4" s="477"/>
      <c r="F4" s="477"/>
      <c r="G4" s="477"/>
      <c r="H4" s="477"/>
      <c r="I4" s="477"/>
    </row>
    <row r="5" spans="1:13" x14ac:dyDescent="0.25">
      <c r="A5" s="477" t="s">
        <v>103</v>
      </c>
      <c r="B5" s="477"/>
      <c r="C5" s="477"/>
      <c r="D5" s="477"/>
      <c r="E5" s="477"/>
      <c r="F5" s="477"/>
      <c r="G5" s="477"/>
      <c r="H5" s="477"/>
      <c r="I5" s="477"/>
    </row>
    <row r="6" spans="1:13" x14ac:dyDescent="0.25">
      <c r="A6" s="477" t="s">
        <v>104</v>
      </c>
      <c r="B6" s="477"/>
      <c r="C6" s="477"/>
      <c r="D6" s="477"/>
      <c r="E6" s="477"/>
      <c r="F6" s="477"/>
      <c r="G6" s="477"/>
      <c r="H6" s="477"/>
      <c r="I6" s="477"/>
    </row>
    <row r="8" spans="1:13" x14ac:dyDescent="0.25">
      <c r="A8" s="477" t="s">
        <v>105</v>
      </c>
      <c r="B8" s="477"/>
      <c r="C8" s="477"/>
      <c r="D8" s="477"/>
      <c r="E8" s="477"/>
      <c r="F8" s="477"/>
      <c r="G8" s="477"/>
      <c r="H8" s="477"/>
      <c r="I8" s="477"/>
    </row>
    <row r="9" spans="1:13" ht="16.5" thickBot="1" x14ac:dyDescent="0.3"/>
    <row r="10" spans="1:13" ht="16.5" thickBot="1" x14ac:dyDescent="0.3">
      <c r="B10" s="53" t="s">
        <v>106</v>
      </c>
      <c r="C10" s="54" t="s">
        <v>107</v>
      </c>
      <c r="D10" s="484"/>
      <c r="E10" s="484"/>
      <c r="F10" s="488"/>
      <c r="G10" s="55" t="e">
        <f>CONCATENATE("Voie ",_xlfn.XLOOKUP(B13,Mesures_Congel!$B$23:$B$34,Mesures_Congel!$C$23:$C$34))</f>
        <v>#N/A</v>
      </c>
      <c r="H10" s="55" t="e">
        <f>CONCATENATE("Voie ",_xlfn.XLOOKUP(B14,Mesures_Congel!$B$23:$B$34,Mesures_Congel!$C$23:$C$34))</f>
        <v>#N/A</v>
      </c>
      <c r="I10" s="55" t="e">
        <f>CONCATENATE("Voie ",_xlfn.XLOOKUP(B15,Mesures_Congel!$B$23:$B$34,Mesures_Congel!$C$23:$C$34))</f>
        <v>#N/A</v>
      </c>
    </row>
    <row r="11" spans="1:13" ht="16.5" thickBot="1" x14ac:dyDescent="0.3">
      <c r="A11" s="51" t="s">
        <v>108</v>
      </c>
      <c r="B11" s="56" t="s">
        <v>109</v>
      </c>
      <c r="C11" s="55" t="s">
        <v>110</v>
      </c>
      <c r="D11" s="484" t="s">
        <v>111</v>
      </c>
      <c r="E11" s="484"/>
      <c r="F11" s="488"/>
      <c r="G11" s="57" t="e">
        <f>_xlfn.XLOOKUP(B13,Mesures_Congel!$B$23:$B$34,Mesures_Congel!$D$23:$D$34)</f>
        <v>#N/A</v>
      </c>
      <c r="H11" s="57" t="e">
        <f>_xlfn.XLOOKUP(B14,Mesures_Congel!$B$23:$B$34,Mesures_Congel!$D$23:$D$34)</f>
        <v>#N/A</v>
      </c>
      <c r="I11" s="57" t="e">
        <f>_xlfn.XLOOKUP(B15,Mesures_Congel!$B$23:$B$34,Mesures_Congel!$D$23:$D$34)</f>
        <v>#N/A</v>
      </c>
    </row>
    <row r="12" spans="1:13" ht="16.5" thickBot="1" x14ac:dyDescent="0.3">
      <c r="A12" s="49" t="s">
        <v>112</v>
      </c>
      <c r="G12" s="58"/>
      <c r="H12" s="58"/>
      <c r="I12" s="58"/>
    </row>
    <row r="13" spans="1:13" ht="17.25" thickTop="1" thickBot="1" x14ac:dyDescent="0.3">
      <c r="A13" s="59">
        <v>11</v>
      </c>
      <c r="B13" s="60">
        <f>_xlfn.XLOOKUP(A13,Mesures_Congel!$A$23:$A$34,Mesures_Congel!$B$23:$B$34)</f>
        <v>0</v>
      </c>
      <c r="C13" s="55" t="e" cm="1">
        <f t="array" ref="C13">_xlfn.XLOOKUP(_xlfn.VALUETOTEXT(B13),SUBSTITUTE(Mesures_Congel!$A$42:$B$53,"Sonde ",""),Mesures_Congel!$C$42:$C$53)</f>
        <v>#VALUE!</v>
      </c>
      <c r="D13" s="484" t="s">
        <v>113</v>
      </c>
      <c r="E13" s="484"/>
      <c r="F13" s="488"/>
      <c r="G13" s="57" t="e">
        <f>_xlfn.XLOOKUP(B13,Mesures_Congel!$B$23:$B$34,Mesures_Congel!$E$23:$E$34)</f>
        <v>#N/A</v>
      </c>
      <c r="H13" s="58"/>
      <c r="I13" s="58"/>
    </row>
    <row r="14" spans="1:13" ht="17.25" thickTop="1" thickBot="1" x14ac:dyDescent="0.3">
      <c r="A14" s="61">
        <v>10</v>
      </c>
      <c r="B14" s="60">
        <f>_xlfn.XLOOKUP(A14,Mesures_Congel!$A$23:$A$34,Mesures_Congel!$B$23:$B$34)</f>
        <v>0</v>
      </c>
      <c r="C14" s="55" t="e" cm="1">
        <f t="array" ref="C14">_xlfn.XLOOKUP(_xlfn.VALUETOTEXT(B14),SUBSTITUTE(Mesures_Congel!$A$42:$B$53,"Sonde ",""),Mesures_Congel!$C$42:$C$53)</f>
        <v>#VALUE!</v>
      </c>
      <c r="D14" s="484" t="s">
        <v>113</v>
      </c>
      <c r="E14" s="484"/>
      <c r="F14" s="484"/>
      <c r="G14" s="62"/>
      <c r="H14" s="57" t="e">
        <f>_xlfn.XLOOKUP(B14,Mesures_Congel!$B$23:$B$34,Mesures_Congel!$E$23:$E$34)</f>
        <v>#N/A</v>
      </c>
      <c r="I14" s="58"/>
    </row>
    <row r="15" spans="1:13" ht="17.25" thickTop="1" thickBot="1" x14ac:dyDescent="0.3">
      <c r="A15" s="61">
        <v>12</v>
      </c>
      <c r="B15" s="60">
        <f>_xlfn.XLOOKUP(A15,Mesures_Congel!$A$23:$A$34,Mesures_Congel!$B$23:$B$34)</f>
        <v>0</v>
      </c>
      <c r="C15" s="55" t="e" cm="1">
        <f t="array" ref="C15">_xlfn.XLOOKUP(_xlfn.VALUETOTEXT(B15),SUBSTITUTE(Mesures_Congel!$A$42:$B$53,"Sonde ",""),Mesures_Congel!$C$42:$C$53)</f>
        <v>#VALUE!</v>
      </c>
      <c r="D15" s="484" t="s">
        <v>113</v>
      </c>
      <c r="E15" s="484"/>
      <c r="F15" s="484"/>
      <c r="G15" s="58"/>
      <c r="H15" s="58"/>
      <c r="I15" s="57" t="e">
        <f>_xlfn.XLOOKUP(B15,Mesures_Congel!$B$23:$B$34,Mesures_Congel!$E$23:$E$34)</f>
        <v>#N/A</v>
      </c>
    </row>
    <row r="16" spans="1:13" ht="16.5" thickTop="1" x14ac:dyDescent="0.25">
      <c r="A16" s="51"/>
      <c r="B16" s="51"/>
      <c r="C16" s="51"/>
      <c r="G16" s="52"/>
      <c r="H16" s="63"/>
      <c r="I16" s="63"/>
      <c r="J16" s="63"/>
      <c r="K16" s="51"/>
    </row>
    <row r="17" spans="1:15" x14ac:dyDescent="0.25">
      <c r="A17" s="477" t="s">
        <v>114</v>
      </c>
      <c r="B17" s="477"/>
      <c r="C17" s="477"/>
      <c r="D17" s="477"/>
      <c r="E17" s="477"/>
      <c r="F17" s="477"/>
      <c r="G17" s="477"/>
      <c r="H17" s="477"/>
      <c r="I17" s="477"/>
    </row>
    <row r="18" spans="1:15" ht="16.5" thickBot="1" x14ac:dyDescent="0.3">
      <c r="A18" s="52"/>
      <c r="B18" s="52"/>
      <c r="C18" s="52"/>
      <c r="D18" s="52"/>
      <c r="E18" s="52"/>
      <c r="F18" s="52"/>
      <c r="G18" s="52"/>
      <c r="H18" s="52"/>
      <c r="I18" s="52"/>
    </row>
    <row r="19" spans="1:15" ht="16.5" thickBot="1" x14ac:dyDescent="0.3">
      <c r="A19" s="486" t="s">
        <v>106</v>
      </c>
      <c r="B19" s="487"/>
      <c r="C19" s="54" t="s">
        <v>107</v>
      </c>
      <c r="H19" s="484"/>
      <c r="I19" s="484"/>
    </row>
    <row r="20" spans="1:15" ht="16.5" thickBot="1" x14ac:dyDescent="0.3">
      <c r="A20" s="482" t="s">
        <v>115</v>
      </c>
      <c r="B20" s="483"/>
      <c r="C20" s="55" t="e">
        <f>C15</f>
        <v>#VALUE!</v>
      </c>
      <c r="D20" s="484" t="s">
        <v>116</v>
      </c>
      <c r="E20" s="484"/>
      <c r="F20" s="484"/>
      <c r="G20" s="64">
        <v>0</v>
      </c>
      <c r="H20" s="65" t="s">
        <v>117</v>
      </c>
    </row>
    <row r="21" spans="1:15" ht="16.5" thickBot="1" x14ac:dyDescent="0.3">
      <c r="A21" s="482" t="s">
        <v>118</v>
      </c>
      <c r="B21" s="483"/>
      <c r="C21" s="66" t="e">
        <f>C14</f>
        <v>#VALUE!</v>
      </c>
      <c r="D21" s="484" t="s">
        <v>116</v>
      </c>
      <c r="E21" s="484"/>
      <c r="F21" s="484"/>
      <c r="G21" s="64">
        <v>0</v>
      </c>
      <c r="H21" s="65" t="s">
        <v>119</v>
      </c>
    </row>
    <row r="22" spans="1:15" ht="16.5" thickBot="1" x14ac:dyDescent="0.3">
      <c r="A22" s="482" t="s">
        <v>120</v>
      </c>
      <c r="B22" s="483"/>
      <c r="C22" s="55" t="e">
        <f>C13</f>
        <v>#VALUE!</v>
      </c>
      <c r="D22" s="484" t="s">
        <v>116</v>
      </c>
      <c r="E22" s="484"/>
      <c r="F22" s="484"/>
      <c r="G22" s="64">
        <v>0</v>
      </c>
      <c r="H22" s="65" t="s">
        <v>121</v>
      </c>
    </row>
    <row r="23" spans="1:15" x14ac:dyDescent="0.25">
      <c r="A23" s="51"/>
      <c r="G23" s="52"/>
      <c r="H23" s="63"/>
      <c r="I23" s="63"/>
      <c r="J23" s="63"/>
      <c r="K23" s="51"/>
    </row>
    <row r="24" spans="1:15" x14ac:dyDescent="0.25">
      <c r="A24" s="485" t="str">
        <f>"TEMPERATURE : -30,0°C    CRITERES D'ACCEPTATION : +/-"&amp; Mesures_Congel!B20 &amp;"°C"</f>
        <v>TEMPERATURE : -30,0°C    CRITERES D'ACCEPTATION : +/-°C</v>
      </c>
      <c r="B24" s="485"/>
      <c r="C24" s="485"/>
      <c r="D24" s="485"/>
      <c r="E24" s="485"/>
      <c r="F24" s="485"/>
      <c r="G24" s="485"/>
      <c r="H24" s="485"/>
      <c r="I24" s="485"/>
      <c r="K24" s="51"/>
    </row>
    <row r="25" spans="1:15" ht="16.5" thickBot="1" x14ac:dyDescent="0.3">
      <c r="A25" s="477"/>
      <c r="B25" s="477"/>
      <c r="C25" s="477"/>
      <c r="D25" s="477"/>
      <c r="E25" s="477"/>
      <c r="F25" s="477"/>
      <c r="G25" s="477"/>
      <c r="H25" s="477"/>
      <c r="I25" s="477"/>
    </row>
    <row r="26" spans="1:15" ht="15.75" customHeight="1" x14ac:dyDescent="0.25">
      <c r="A26" s="478" t="s">
        <v>28</v>
      </c>
      <c r="B26" s="479"/>
      <c r="C26" s="479"/>
      <c r="D26" s="479"/>
      <c r="E26" s="479"/>
      <c r="F26" s="479"/>
      <c r="G26" s="479"/>
      <c r="H26" s="480"/>
      <c r="I26" s="67" t="s">
        <v>122</v>
      </c>
      <c r="K26" s="68"/>
      <c r="L26" s="68"/>
    </row>
    <row r="27" spans="1:15" s="63" customFormat="1" ht="63.75" customHeight="1" x14ac:dyDescent="0.25">
      <c r="A27" s="69" t="s">
        <v>123</v>
      </c>
      <c r="B27" s="70" t="s">
        <v>124</v>
      </c>
      <c r="C27" s="70" t="s">
        <v>125</v>
      </c>
      <c r="D27" s="71" t="s">
        <v>126</v>
      </c>
      <c r="E27" s="72" t="s">
        <v>127</v>
      </c>
      <c r="F27" s="73" t="s">
        <v>128</v>
      </c>
      <c r="G27" s="74" t="s">
        <v>129</v>
      </c>
      <c r="H27" s="70" t="s">
        <v>130</v>
      </c>
      <c r="I27" s="70" t="s">
        <v>131</v>
      </c>
      <c r="J27" s="49"/>
      <c r="K27" s="68"/>
      <c r="L27" s="68"/>
      <c r="N27" s="68"/>
      <c r="O27" s="75"/>
    </row>
    <row r="28" spans="1:15" ht="19.5" thickBot="1" x14ac:dyDescent="0.3">
      <c r="A28" s="76">
        <f>Congel!test_propagation</f>
        <v>0</v>
      </c>
      <c r="B28" s="77" t="s">
        <v>132</v>
      </c>
      <c r="C28" s="77" t="str">
        <f>CONCATENATE("Sonde ",B15)</f>
        <v>Sonde 0</v>
      </c>
      <c r="D28" s="78" t="e">
        <f ca="1">AVERAGE(INDIRECT("Valeurs_Brutes_Congel["&amp; CONCATENATE("Connecteur ", SUBSTITUTE(I10, "Voie ","")) &amp;"]"))</f>
        <v>#N/A</v>
      </c>
      <c r="E28" s="79" t="e">
        <f ca="1">D28+H11+H14</f>
        <v>#N/A</v>
      </c>
      <c r="F28" s="80">
        <f>Mesures_Congel!M48</f>
        <v>0</v>
      </c>
      <c r="G28" s="80">
        <f>F28+G20</f>
        <v>0</v>
      </c>
      <c r="H28" s="80" t="e">
        <f ca="1">G28-E28</f>
        <v>#N/A</v>
      </c>
      <c r="I28" s="81" t="e">
        <f ca="1">IF(OR(E28&gt;Mesures_Congel!B19+Mesures_Congel!B20,E28&lt;Mesures_Congel!B19-Mesures_Congel!B20),"NON CONFORME","CONFORME")</f>
        <v>#N/A</v>
      </c>
    </row>
    <row r="29" spans="1:15" ht="15.75" customHeight="1" x14ac:dyDescent="0.25">
      <c r="A29" s="478" t="s">
        <v>29</v>
      </c>
      <c r="B29" s="479"/>
      <c r="C29" s="479"/>
      <c r="D29" s="479"/>
      <c r="E29" s="479"/>
      <c r="F29" s="479"/>
      <c r="G29" s="479"/>
      <c r="H29" s="480"/>
      <c r="I29" s="67" t="s">
        <v>122</v>
      </c>
      <c r="K29" s="68"/>
      <c r="L29" s="68"/>
    </row>
    <row r="30" spans="1:15" s="63" customFormat="1" ht="78.75" customHeight="1" x14ac:dyDescent="0.25">
      <c r="A30" s="69" t="s">
        <v>123</v>
      </c>
      <c r="B30" s="70" t="s">
        <v>124</v>
      </c>
      <c r="C30" s="70" t="s">
        <v>125</v>
      </c>
      <c r="D30" s="71" t="s">
        <v>126</v>
      </c>
      <c r="E30" s="72" t="s">
        <v>127</v>
      </c>
      <c r="F30" s="71" t="s">
        <v>128</v>
      </c>
      <c r="G30" s="74" t="s">
        <v>129</v>
      </c>
      <c r="H30" s="70" t="s">
        <v>130</v>
      </c>
      <c r="I30" s="70" t="s">
        <v>131</v>
      </c>
      <c r="J30" s="49"/>
      <c r="K30" s="68"/>
      <c r="L30" s="68"/>
      <c r="N30" s="68"/>
      <c r="O30" s="75"/>
    </row>
    <row r="31" spans="1:15" ht="19.5" thickBot="1" x14ac:dyDescent="0.3">
      <c r="A31" s="76">
        <f>A28</f>
        <v>0</v>
      </c>
      <c r="B31" s="77" t="str">
        <f>B28</f>
        <v>E.LAGASSY</v>
      </c>
      <c r="C31" s="77" t="str">
        <f>CONCATENATE("Sonde ",B14)</f>
        <v>Sonde 0</v>
      </c>
      <c r="D31" s="82" t="e">
        <f ca="1">AVERAGE(INDIRECT("Valeurs_Brutes_Congel["&amp; CONCATENATE("Connecteur ", SUBSTITUTE(H10, "Voie ","")) &amp;"]"))</f>
        <v>#N/A</v>
      </c>
      <c r="E31" s="79" t="e">
        <f ca="1">D31+G11+G13</f>
        <v>#N/A</v>
      </c>
      <c r="F31" s="80">
        <f>Mesures_Congel!M49</f>
        <v>0</v>
      </c>
      <c r="G31" s="80">
        <f>F31+G21</f>
        <v>0</v>
      </c>
      <c r="H31" s="80" t="e">
        <f ca="1">G31-E31</f>
        <v>#N/A</v>
      </c>
      <c r="I31" s="81" t="e">
        <f ca="1">IF(OR(E31&gt;Mesures_Congel!B19+Mesures_Congel!B20,E31&lt;Mesures_Congel!B19-Mesures_Congel!B20),"NON CONFORME","CONFORME")</f>
        <v>#N/A</v>
      </c>
    </row>
    <row r="32" spans="1:15" x14ac:dyDescent="0.25">
      <c r="A32" s="478" t="s">
        <v>30</v>
      </c>
      <c r="B32" s="479"/>
      <c r="C32" s="479"/>
      <c r="D32" s="479"/>
      <c r="E32" s="479"/>
      <c r="F32" s="479"/>
      <c r="G32" s="479"/>
      <c r="H32" s="480"/>
      <c r="I32" s="67" t="s">
        <v>122</v>
      </c>
      <c r="K32" s="68"/>
      <c r="L32" s="68"/>
    </row>
    <row r="33" spans="1:15" s="63" customFormat="1" ht="105.75" customHeight="1" x14ac:dyDescent="0.25">
      <c r="A33" s="69" t="s">
        <v>123</v>
      </c>
      <c r="B33" s="70" t="s">
        <v>124</v>
      </c>
      <c r="C33" s="70" t="s">
        <v>125</v>
      </c>
      <c r="D33" s="71" t="s">
        <v>126</v>
      </c>
      <c r="E33" s="72" t="s">
        <v>127</v>
      </c>
      <c r="F33" s="71" t="s">
        <v>128</v>
      </c>
      <c r="G33" s="74" t="s">
        <v>129</v>
      </c>
      <c r="H33" s="70" t="s">
        <v>130</v>
      </c>
      <c r="I33" s="70" t="s">
        <v>131</v>
      </c>
      <c r="J33" s="49"/>
      <c r="K33" s="68"/>
      <c r="L33" s="68"/>
      <c r="N33" s="68"/>
      <c r="O33" s="75"/>
    </row>
    <row r="34" spans="1:15" ht="19.5" thickBot="1" x14ac:dyDescent="0.3">
      <c r="A34" s="76">
        <f>A28</f>
        <v>0</v>
      </c>
      <c r="B34" s="77" t="str">
        <f>B28</f>
        <v>E.LAGASSY</v>
      </c>
      <c r="C34" s="77" t="str">
        <f>CONCATENATE("Sonde ",B13)</f>
        <v>Sonde 0</v>
      </c>
      <c r="D34" s="77" t="e">
        <f ca="1">AVERAGE(INDIRECT("Valeurs_Brutes_Congel["&amp; CONCATENATE("Connecteur ", SUBSTITUTE(G10, "Voie ","")) &amp;"]"))</f>
        <v>#N/A</v>
      </c>
      <c r="E34" s="79" t="e">
        <f ca="1">D34+I11+I15</f>
        <v>#N/A</v>
      </c>
      <c r="F34" s="80">
        <f>Mesures_Congel!M50</f>
        <v>0</v>
      </c>
      <c r="G34" s="80">
        <f>F34+G22</f>
        <v>0</v>
      </c>
      <c r="H34" s="80" t="e">
        <f ca="1">G34-E34</f>
        <v>#N/A</v>
      </c>
      <c r="I34" s="81" t="e">
        <f ca="1">IF(OR(E34&gt;Mesures_Congel!B19+Mesures_Congel!B20,E34&lt;Mesures_Congel!B19-Mesures_Congel!B20),"NON CONFORME","CONFORME")</f>
        <v>#N/A</v>
      </c>
    </row>
    <row r="35" spans="1:15" ht="16.5" thickBot="1" x14ac:dyDescent="0.3"/>
    <row r="36" spans="1:15" ht="18.75" customHeight="1" x14ac:dyDescent="0.25">
      <c r="A36" s="481" t="s">
        <v>133</v>
      </c>
      <c r="B36" s="481"/>
      <c r="C36" s="481"/>
      <c r="D36" s="481"/>
      <c r="E36" s="481"/>
      <c r="F36" s="481"/>
      <c r="G36" s="481"/>
      <c r="H36" s="481"/>
      <c r="I36" s="481"/>
      <c r="J36" s="83" t="s">
        <v>134</v>
      </c>
      <c r="K36" s="84">
        <f ca="1">TODAY()</f>
        <v>45336</v>
      </c>
    </row>
    <row r="37" spans="1:15" ht="19.5" thickBot="1" x14ac:dyDescent="0.3">
      <c r="D37" s="85"/>
      <c r="E37" s="85"/>
      <c r="F37" s="85"/>
      <c r="G37" s="85"/>
      <c r="H37" s="85"/>
      <c r="I37" s="49" t="s">
        <v>135</v>
      </c>
      <c r="J37" s="86" t="s">
        <v>136</v>
      </c>
      <c r="K37" s="87">
        <f ca="1">EDATE(K36,6)</f>
        <v>45518</v>
      </c>
    </row>
  </sheetData>
  <sheetProtection algorithmName="SHA-512" hashValue="ud0fzbT9JkOHJ6GGESe2F7h7WkVQw6BvAgFaI/fTJLOOJO+8bt7c3GDX4LetsZVokSXJxqOjnUtwZCzbQharSg==" saltValue="hMMc4R1Plo8bFA7K0pYb5A==" spinCount="100000" sheet="1" objects="1" scenarios="1"/>
  <mergeCells count="26">
    <mergeCell ref="A17:I17"/>
    <mergeCell ref="B1:I1"/>
    <mergeCell ref="A3:I3"/>
    <mergeCell ref="A4:I4"/>
    <mergeCell ref="A5:I5"/>
    <mergeCell ref="A6:I6"/>
    <mergeCell ref="A8:I8"/>
    <mergeCell ref="D10:F10"/>
    <mergeCell ref="D11:F11"/>
    <mergeCell ref="D13:F13"/>
    <mergeCell ref="D14:F14"/>
    <mergeCell ref="D15:F15"/>
    <mergeCell ref="A19:B19"/>
    <mergeCell ref="H19:I19"/>
    <mergeCell ref="A20:B20"/>
    <mergeCell ref="D20:F20"/>
    <mergeCell ref="A21:B21"/>
    <mergeCell ref="D21:F21"/>
    <mergeCell ref="A32:H32"/>
    <mergeCell ref="A36:I36"/>
    <mergeCell ref="A22:B22"/>
    <mergeCell ref="D22:F22"/>
    <mergeCell ref="A24:I24"/>
    <mergeCell ref="A25:I25"/>
    <mergeCell ref="A26:H26"/>
    <mergeCell ref="A29:H29"/>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3"/>
  <sheetViews>
    <sheetView workbookViewId="0">
      <selection activeCell="C49" sqref="C49"/>
    </sheetView>
  </sheetViews>
  <sheetFormatPr baseColWidth="10" defaultRowHeight="15" x14ac:dyDescent="0.25"/>
  <cols>
    <col min="1" max="1" width="13.5703125" bestFit="1" customWidth="1"/>
    <col min="2" max="2" width="14.7109375" bestFit="1" customWidth="1"/>
    <col min="3" max="3" width="18.85546875" bestFit="1" customWidth="1"/>
    <col min="4" max="4" width="20.42578125" bestFit="1" customWidth="1"/>
    <col min="5" max="5" width="13.28515625"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1"/>
      <c r="B1" s="1"/>
      <c r="C1" s="1"/>
      <c r="D1" s="1"/>
      <c r="E1" s="1"/>
      <c r="F1" s="1"/>
      <c r="G1" s="1"/>
      <c r="H1" s="1"/>
      <c r="I1" s="1"/>
      <c r="J1" s="1"/>
      <c r="K1" s="1"/>
      <c r="L1" s="1"/>
      <c r="M1" s="1"/>
      <c r="N1" s="1"/>
      <c r="O1" s="1"/>
    </row>
    <row r="2" spans="1:15" x14ac:dyDescent="0.25">
      <c r="A2" s="1"/>
      <c r="B2" s="452" t="s">
        <v>11</v>
      </c>
      <c r="C2" s="453"/>
      <c r="D2" s="453"/>
      <c r="E2" s="453"/>
      <c r="F2" s="453"/>
      <c r="G2" s="453"/>
      <c r="H2" s="453"/>
      <c r="I2" s="453"/>
      <c r="J2" s="453"/>
      <c r="K2" s="453"/>
      <c r="L2" s="1"/>
      <c r="M2" s="1"/>
      <c r="N2" s="1"/>
      <c r="O2" s="1"/>
    </row>
    <row r="3" spans="1:15" x14ac:dyDescent="0.25">
      <c r="A3" s="1"/>
      <c r="B3" s="453"/>
      <c r="C3" s="453"/>
      <c r="D3" s="453"/>
      <c r="E3" s="453"/>
      <c r="F3" s="453"/>
      <c r="G3" s="453"/>
      <c r="H3" s="453"/>
      <c r="I3" s="453"/>
      <c r="J3" s="453"/>
      <c r="K3" s="453"/>
      <c r="L3" s="1"/>
      <c r="M3" s="1"/>
      <c r="N3" s="1"/>
      <c r="O3" s="1"/>
    </row>
    <row r="4" spans="1:15" ht="57" x14ac:dyDescent="0.25">
      <c r="A4" s="1"/>
      <c r="B4" s="2"/>
      <c r="C4" s="2"/>
      <c r="D4" s="2"/>
      <c r="E4" s="2"/>
      <c r="F4" s="2"/>
      <c r="G4" s="2"/>
      <c r="H4" s="2"/>
      <c r="I4" s="2"/>
      <c r="J4" s="2"/>
      <c r="K4" s="2"/>
      <c r="L4" s="1"/>
      <c r="M4" s="1"/>
      <c r="N4" s="1"/>
      <c r="O4" s="1"/>
    </row>
    <row r="5" spans="1:15" x14ac:dyDescent="0.25">
      <c r="A5" s="445" t="s">
        <v>0</v>
      </c>
      <c r="B5" s="445"/>
      <c r="C5" s="445"/>
      <c r="D5" s="163"/>
      <c r="E5" s="1"/>
      <c r="F5" s="1"/>
      <c r="G5" s="1"/>
      <c r="H5" s="1"/>
      <c r="I5" s="1"/>
      <c r="J5" s="1"/>
      <c r="K5" s="1"/>
      <c r="L5" s="1"/>
      <c r="M5" s="1"/>
      <c r="N5" s="1"/>
      <c r="O5" s="24"/>
    </row>
    <row r="6" spans="1:15" x14ac:dyDescent="0.25">
      <c r="A6" s="1"/>
      <c r="B6" s="1"/>
      <c r="C6" s="1"/>
      <c r="D6" s="1"/>
      <c r="E6" s="1"/>
      <c r="F6" s="1"/>
      <c r="G6" s="1"/>
      <c r="H6" s="1"/>
      <c r="I6" s="1"/>
      <c r="J6" s="1"/>
      <c r="K6" s="1"/>
      <c r="L6" s="1"/>
      <c r="M6" s="1"/>
      <c r="N6" s="1"/>
      <c r="O6" s="1"/>
    </row>
    <row r="7" spans="1:15" x14ac:dyDescent="0.25">
      <c r="A7" s="445" t="s">
        <v>1</v>
      </c>
      <c r="B7" s="445"/>
      <c r="C7" s="4"/>
      <c r="D7" s="1"/>
      <c r="E7" s="445" t="s">
        <v>18</v>
      </c>
      <c r="F7" s="445"/>
      <c r="G7" s="4"/>
      <c r="H7" s="1"/>
      <c r="I7" s="1"/>
      <c r="J7" s="1"/>
      <c r="K7" s="1"/>
      <c r="L7" s="1"/>
      <c r="M7" s="1"/>
      <c r="N7" s="1"/>
      <c r="O7" s="5"/>
    </row>
    <row r="8" spans="1:15" x14ac:dyDescent="0.25">
      <c r="A8" s="445" t="s">
        <v>2</v>
      </c>
      <c r="B8" s="445"/>
      <c r="C8" s="6"/>
      <c r="D8" s="1"/>
      <c r="E8" s="445" t="s">
        <v>19</v>
      </c>
      <c r="F8" s="445"/>
      <c r="G8" s="6"/>
      <c r="H8" s="1"/>
      <c r="I8" s="1"/>
      <c r="J8" s="1"/>
      <c r="K8" s="1"/>
      <c r="L8" s="1"/>
      <c r="M8" s="1"/>
      <c r="N8" s="1"/>
      <c r="O8" s="5"/>
    </row>
    <row r="9" spans="1:15" x14ac:dyDescent="0.25">
      <c r="A9" s="1"/>
      <c r="B9" s="1"/>
      <c r="C9" s="1"/>
      <c r="D9" s="1"/>
      <c r="E9" s="1"/>
      <c r="F9" s="1"/>
      <c r="G9" s="1"/>
      <c r="H9" s="1"/>
      <c r="I9" s="1"/>
      <c r="J9" s="1"/>
      <c r="K9" s="1"/>
      <c r="L9" s="1"/>
      <c r="M9" s="1"/>
      <c r="N9" s="1"/>
      <c r="O9" s="5"/>
    </row>
    <row r="10" spans="1:15" x14ac:dyDescent="0.25">
      <c r="A10" s="441" t="s">
        <v>3</v>
      </c>
      <c r="B10" s="442"/>
      <c r="C10" s="7"/>
      <c r="D10" s="1"/>
      <c r="E10" s="441" t="s">
        <v>20</v>
      </c>
      <c r="F10" s="442"/>
      <c r="G10" s="8"/>
      <c r="H10" s="1"/>
      <c r="I10" s="1"/>
      <c r="J10" s="1"/>
      <c r="K10" s="1"/>
      <c r="L10" s="1"/>
      <c r="M10" s="1"/>
      <c r="N10" s="1"/>
      <c r="O10" s="1"/>
    </row>
    <row r="11" spans="1:15" x14ac:dyDescent="0.25">
      <c r="A11" s="441" t="s">
        <v>4</v>
      </c>
      <c r="B11" s="442"/>
      <c r="C11" s="8"/>
      <c r="D11" s="1"/>
      <c r="E11" s="445" t="s">
        <v>21</v>
      </c>
      <c r="F11" s="445"/>
      <c r="G11" s="160">
        <v>9</v>
      </c>
      <c r="H11" s="1"/>
      <c r="I11" s="1"/>
      <c r="J11" s="1"/>
      <c r="K11" s="1"/>
      <c r="L11" s="1"/>
      <c r="M11" s="1"/>
      <c r="N11" s="1"/>
      <c r="O11" s="1"/>
    </row>
    <row r="12" spans="1:15" x14ac:dyDescent="0.25">
      <c r="A12" s="1"/>
      <c r="B12" s="1"/>
      <c r="C12" s="1"/>
      <c r="D12" s="1"/>
      <c r="E12" s="445" t="s">
        <v>22</v>
      </c>
      <c r="F12" s="445"/>
      <c r="G12" s="10"/>
      <c r="H12" s="1"/>
      <c r="I12" s="1"/>
      <c r="J12" s="1"/>
      <c r="K12" s="1"/>
      <c r="L12" s="1"/>
      <c r="M12" s="1"/>
      <c r="N12" s="1"/>
      <c r="O12" s="1"/>
    </row>
    <row r="13" spans="1:15" x14ac:dyDescent="0.25">
      <c r="A13" s="1"/>
      <c r="B13" s="1"/>
      <c r="C13" s="1"/>
      <c r="D13" s="1"/>
      <c r="E13" s="1"/>
      <c r="F13" s="1"/>
      <c r="G13" s="1"/>
      <c r="H13" s="1"/>
      <c r="I13" s="1"/>
      <c r="J13" s="1"/>
      <c r="K13" s="1"/>
      <c r="L13" s="1"/>
      <c r="M13" s="1"/>
      <c r="N13" s="1"/>
      <c r="O13" s="1"/>
    </row>
    <row r="14" spans="1:15" x14ac:dyDescent="0.25">
      <c r="A14" s="441" t="s">
        <v>5</v>
      </c>
      <c r="B14" s="442"/>
      <c r="C14" s="4"/>
      <c r="D14" s="1"/>
      <c r="E14" s="1"/>
      <c r="F14" s="1"/>
      <c r="G14" s="1"/>
      <c r="H14" s="1"/>
      <c r="I14" s="1"/>
      <c r="J14" s="1"/>
      <c r="K14" s="1"/>
      <c r="L14" s="1"/>
      <c r="M14" s="1"/>
      <c r="N14" s="1"/>
      <c r="O14" s="1"/>
    </row>
    <row r="15" spans="1:15" x14ac:dyDescent="0.25">
      <c r="A15" s="441" t="s">
        <v>6</v>
      </c>
      <c r="B15" s="442"/>
      <c r="C15" s="10"/>
      <c r="D15" s="1"/>
      <c r="E15" s="1"/>
      <c r="F15" s="1"/>
      <c r="G15" s="1"/>
      <c r="H15" s="1"/>
      <c r="I15" s="1"/>
      <c r="J15" s="1"/>
      <c r="K15" s="1"/>
      <c r="L15" s="1"/>
      <c r="M15" s="1"/>
      <c r="N15" s="1"/>
      <c r="O15" s="1"/>
    </row>
    <row r="16" spans="1:15"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
      <c r="B32" s="1"/>
      <c r="C32" s="1"/>
      <c r="D32" s="1"/>
      <c r="E32" s="1"/>
      <c r="F32" s="1"/>
      <c r="G32" s="1"/>
      <c r="H32" s="1"/>
      <c r="I32" s="1"/>
      <c r="J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4" t="s">
        <v>13</v>
      </c>
      <c r="C38" s="444"/>
      <c r="D38" s="1"/>
      <c r="E38" s="1"/>
      <c r="F38" s="1"/>
      <c r="G38" s="1"/>
      <c r="H38" s="1"/>
      <c r="I38" s="1"/>
      <c r="J38" s="1"/>
      <c r="K38" s="1"/>
      <c r="L38" s="444" t="s">
        <v>30</v>
      </c>
      <c r="M38" s="444"/>
      <c r="N38" s="1"/>
      <c r="O38" s="1"/>
    </row>
    <row r="39" spans="1:15" x14ac:dyDescent="0.25">
      <c r="A39" s="1"/>
      <c r="B39" s="1"/>
      <c r="C39" s="1"/>
      <c r="D39" s="1"/>
      <c r="E39" s="1"/>
      <c r="F39" s="1"/>
      <c r="G39" s="1"/>
      <c r="H39" s="1"/>
      <c r="I39" s="1"/>
      <c r="J39" s="1"/>
      <c r="K39" s="1"/>
      <c r="L39" s="1"/>
      <c r="M39" s="1"/>
      <c r="N39" s="1"/>
      <c r="O39" s="1"/>
    </row>
    <row r="40" spans="1:15" x14ac:dyDescent="0.25">
      <c r="B40" s="441" t="s">
        <v>10</v>
      </c>
      <c r="C40" s="451"/>
      <c r="D40" s="451"/>
      <c r="E40" s="451"/>
      <c r="F40" s="442"/>
      <c r="G40" s="1"/>
      <c r="H40" s="1"/>
      <c r="I40" s="1"/>
      <c r="J40" s="1"/>
      <c r="K40" s="445" t="s">
        <v>26</v>
      </c>
      <c r="L40" s="445"/>
      <c r="M40" s="445"/>
      <c r="N40" s="445"/>
      <c r="O40" s="445"/>
    </row>
    <row r="41" spans="1:15" ht="30" x14ac:dyDescent="0.25">
      <c r="B41" s="3"/>
      <c r="C41" s="3" t="s">
        <v>15</v>
      </c>
      <c r="D41" s="20" t="s">
        <v>17</v>
      </c>
      <c r="E41" s="20" t="s">
        <v>24</v>
      </c>
      <c r="F41" s="20" t="s">
        <v>25</v>
      </c>
      <c r="G41" s="1"/>
      <c r="H41" s="1"/>
      <c r="I41" s="1"/>
      <c r="J41" s="1"/>
      <c r="K41" s="448"/>
      <c r="L41" s="448"/>
      <c r="M41" s="3" t="s">
        <v>32</v>
      </c>
      <c r="N41" s="3" t="s">
        <v>34</v>
      </c>
      <c r="O41" s="3" t="s">
        <v>35</v>
      </c>
    </row>
    <row r="42" spans="1:15" x14ac:dyDescent="0.25">
      <c r="B42" s="322" t="str">
        <f>CONCATENATE("Sonde ", B23)</f>
        <v xml:space="preserve">Sonde </v>
      </c>
      <c r="C42" s="10"/>
      <c r="D42" s="10"/>
      <c r="E42" s="10"/>
      <c r="F42" s="10"/>
      <c r="G42" s="1"/>
      <c r="H42" s="1"/>
      <c r="I42" s="1"/>
      <c r="J42" s="1"/>
      <c r="K42" s="449" t="s">
        <v>27</v>
      </c>
      <c r="L42" s="450"/>
      <c r="M42" s="10"/>
      <c r="N42" s="10"/>
      <c r="O42" s="10"/>
    </row>
    <row r="43" spans="1:15" x14ac:dyDescent="0.25">
      <c r="B43" s="322" t="str">
        <f>"Sonde " &amp; B24</f>
        <v xml:space="preserve">Sonde </v>
      </c>
      <c r="C43" s="10"/>
      <c r="D43" s="10"/>
      <c r="E43" s="10"/>
      <c r="F43" s="10"/>
      <c r="G43" s="1"/>
      <c r="H43" s="1"/>
      <c r="I43" s="1"/>
      <c r="J43" s="1"/>
      <c r="K43" s="1"/>
      <c r="L43" s="1"/>
      <c r="M43" s="1"/>
      <c r="N43" s="1"/>
      <c r="O43" s="1"/>
    </row>
    <row r="44" spans="1:15" x14ac:dyDescent="0.25">
      <c r="B44" s="322" t="str">
        <f>"Sonde " &amp; B25</f>
        <v xml:space="preserve">Sonde </v>
      </c>
      <c r="C44" s="10"/>
      <c r="D44" s="10"/>
      <c r="E44" s="10"/>
      <c r="F44" s="10"/>
      <c r="G44" s="1"/>
      <c r="H44" s="1"/>
      <c r="I44" s="1"/>
      <c r="J44" s="1"/>
      <c r="K44" s="1"/>
      <c r="L44" s="1"/>
      <c r="M44" s="1"/>
      <c r="N44" s="1"/>
      <c r="O44" s="1"/>
    </row>
    <row r="45" spans="1:15" x14ac:dyDescent="0.25">
      <c r="B45" s="322" t="str">
        <f>"Sonde " &amp; B26</f>
        <v xml:space="preserve">Sonde </v>
      </c>
      <c r="C45" s="10"/>
      <c r="D45" s="10"/>
      <c r="E45" s="10"/>
      <c r="F45" s="10"/>
      <c r="G45" s="1"/>
      <c r="H45" s="1"/>
      <c r="I45" s="1"/>
      <c r="J45" s="1"/>
      <c r="K45" s="1"/>
      <c r="L45" s="1"/>
      <c r="M45" s="1"/>
      <c r="N45" s="1"/>
      <c r="O45" s="1"/>
    </row>
    <row r="46" spans="1:15" ht="26.25" x14ac:dyDescent="0.25">
      <c r="B46" s="322" t="str">
        <f>"Sonde " &amp; B27</f>
        <v xml:space="preserve">Sonde </v>
      </c>
      <c r="C46" s="10"/>
      <c r="D46" s="10"/>
      <c r="E46" s="10"/>
      <c r="F46" s="10"/>
      <c r="G46" s="1"/>
      <c r="H46" s="1"/>
      <c r="I46" s="1"/>
      <c r="J46" s="1"/>
      <c r="K46" s="1"/>
      <c r="L46" s="444" t="s">
        <v>31</v>
      </c>
      <c r="M46" s="444"/>
      <c r="N46" s="1"/>
      <c r="O46" s="1"/>
    </row>
    <row r="47" spans="1:15" ht="45" x14ac:dyDescent="0.25">
      <c r="B47" s="322" t="str">
        <f>"Sonde " &amp; B28</f>
        <v xml:space="preserve">Sonde </v>
      </c>
      <c r="C47" s="10"/>
      <c r="D47" s="10"/>
      <c r="E47" s="10"/>
      <c r="F47" s="10"/>
      <c r="G47" s="1"/>
      <c r="H47" s="1"/>
      <c r="I47" s="1"/>
      <c r="J47" s="1"/>
      <c r="K47" s="1"/>
      <c r="L47" s="1"/>
      <c r="M47" s="21" t="s">
        <v>33</v>
      </c>
      <c r="N47" s="1"/>
      <c r="O47" s="1"/>
    </row>
    <row r="48" spans="1:15" x14ac:dyDescent="0.25">
      <c r="B48" s="322" t="str">
        <f>"Sonde " &amp; B29</f>
        <v xml:space="preserve">Sonde </v>
      </c>
      <c r="C48" s="10"/>
      <c r="D48" s="10"/>
      <c r="E48" s="10"/>
      <c r="F48" s="10"/>
      <c r="G48" s="1"/>
      <c r="H48" s="1"/>
      <c r="I48" s="1"/>
      <c r="J48" s="1"/>
      <c r="K48" s="443" t="s">
        <v>28</v>
      </c>
      <c r="L48" s="443"/>
      <c r="M48" s="10"/>
      <c r="N48" s="1"/>
      <c r="O48" s="1"/>
    </row>
    <row r="49" spans="1:15" x14ac:dyDescent="0.25">
      <c r="B49" s="322" t="str">
        <f>"Sonde " &amp; B30</f>
        <v xml:space="preserve">Sonde </v>
      </c>
      <c r="C49" s="10"/>
      <c r="D49" s="10"/>
      <c r="E49" s="10"/>
      <c r="F49" s="10"/>
      <c r="G49" s="1"/>
      <c r="H49" s="1"/>
      <c r="I49" s="1"/>
      <c r="J49" s="1"/>
      <c r="K49" s="443" t="s">
        <v>29</v>
      </c>
      <c r="L49" s="443"/>
      <c r="M49" s="10"/>
      <c r="N49" s="1"/>
      <c r="O49" s="1"/>
    </row>
    <row r="50" spans="1:15" x14ac:dyDescent="0.25">
      <c r="B50" s="322" t="str">
        <f>"Sonde " &amp; B31</f>
        <v xml:space="preserve">Sonde </v>
      </c>
      <c r="C50" s="10"/>
      <c r="D50" s="10"/>
      <c r="E50" s="10"/>
      <c r="F50" s="10"/>
      <c r="G50" s="1"/>
      <c r="H50" s="1"/>
      <c r="I50" s="1"/>
      <c r="J50" s="1"/>
      <c r="K50" s="443" t="s">
        <v>30</v>
      </c>
      <c r="L50" s="443"/>
      <c r="M50" s="10"/>
      <c r="N50" s="1"/>
      <c r="O50" s="1"/>
    </row>
    <row r="51" spans="1:15" x14ac:dyDescent="0.25">
      <c r="A51" s="1"/>
      <c r="B51" s="1"/>
      <c r="C51" s="1"/>
      <c r="D51" s="1"/>
      <c r="E51" s="1"/>
      <c r="F51" s="1"/>
      <c r="G51" s="1"/>
      <c r="H51" s="1"/>
      <c r="I51" s="1"/>
    </row>
    <row r="52" spans="1:15" x14ac:dyDescent="0.25">
      <c r="A52" s="1"/>
      <c r="B52" s="1"/>
      <c r="C52" s="1"/>
      <c r="D52" s="1"/>
      <c r="E52" s="1"/>
      <c r="F52" s="1"/>
      <c r="G52" s="1"/>
      <c r="H52" s="1"/>
      <c r="I52" s="1"/>
    </row>
    <row r="53" spans="1:15" x14ac:dyDescent="0.25">
      <c r="A53" s="1"/>
      <c r="B53" s="1"/>
      <c r="C53" s="1"/>
      <c r="D53" s="1"/>
      <c r="E53" s="1"/>
      <c r="F53" s="1"/>
      <c r="G53" s="1"/>
      <c r="H53" s="1"/>
      <c r="I53" s="1"/>
    </row>
  </sheetData>
  <sheetProtection algorithmName="SHA-512" hashValue="Wib0VoP9eXQ3ucG5eG28TB+68cMFmWwMFXK9n5ebGQfTqmtp1IQka+IwbPq+R20CJyJEkaTmLqw0iCumKi83zw==" saltValue="yKWt7aN9vNnOceAsSYNqow==" spinCount="100000" sheet="1" objects="1" scenarios="1"/>
  <protectedRanges>
    <protectedRange sqref="C10" name="Donnees controleur_8"/>
  </protectedRanges>
  <dataConsolidate/>
  <mergeCells count="23">
    <mergeCell ref="B2:K3"/>
    <mergeCell ref="A5:C5"/>
    <mergeCell ref="A7:B7"/>
    <mergeCell ref="E7:F7"/>
    <mergeCell ref="A8:B8"/>
    <mergeCell ref="E8:F8"/>
    <mergeCell ref="K41:L41"/>
    <mergeCell ref="A10:B10"/>
    <mergeCell ref="E10:F10"/>
    <mergeCell ref="A11:B11"/>
    <mergeCell ref="E11:F11"/>
    <mergeCell ref="E12:F12"/>
    <mergeCell ref="A14:B14"/>
    <mergeCell ref="A15:B15"/>
    <mergeCell ref="B38:C38"/>
    <mergeCell ref="L38:M38"/>
    <mergeCell ref="K40:O40"/>
    <mergeCell ref="B40:F40"/>
    <mergeCell ref="K50:L50"/>
    <mergeCell ref="K42:L42"/>
    <mergeCell ref="L46:M46"/>
    <mergeCell ref="K48:L48"/>
    <mergeCell ref="K49:L49"/>
  </mergeCells>
  <conditionalFormatting sqref="A51:R59 A1:R39 B41:R50 B40 G40:R40">
    <cfRule type="expression" dxfId="44" priority="1">
      <formula>AND(NOT(CELL("protege", A1)), A1="")</formula>
    </cfRule>
  </conditionalFormatting>
  <dataValidations count="3">
    <dataValidation type="list" allowBlank="1" showInputMessage="1" showErrorMessage="1" sqref="C10" xr:uid="{25E045EC-33D2-484B-ADD3-DE8ED1EF285D}">
      <formula1>"BCH , LV"</formula1>
    </dataValidation>
    <dataValidation type="list" showInputMessage="1" showErrorMessage="1" sqref="D16:D17" xr:uid="{5B7E2A97-04E4-4FBF-AE91-355DB11E2DE7}">
      <formula1>$C$15:$C$17</formula1>
    </dataValidation>
    <dataValidation type="list" showErrorMessage="1" promptTitle="Périodicité" prompt="Veuillez choisir" sqref="C15"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6</xdr:row>
                    <xdr:rowOff>123825</xdr:rowOff>
                  </from>
                  <to>
                    <xdr:col>12</xdr:col>
                    <xdr:colOff>895350</xdr:colOff>
                    <xdr:row>13</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workbookViewId="0">
      <selection activeCell="L14" sqref="L14"/>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5"/>
      <c r="H2" s="135"/>
      <c r="I2" s="135"/>
      <c r="J2" s="135"/>
    </row>
  </sheetData>
  <sheetProtection algorithmName="SHA-512" hashValue="hfSOMCl9W2nsxZ020EJuz7yF8ghHRYzHpxlL4JG772H6CwJvRIPchDYA0kFuqYEm6yQCu5219TkflykJ2tyoqA==" saltValue="Uq/YXnyez1DL7O/GiBOC4A=="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63" workbookViewId="0">
      <selection activeCell="E76" sqref="E76"/>
    </sheetView>
  </sheetViews>
  <sheetFormatPr baseColWidth="10" defaultRowHeight="15" x14ac:dyDescent="0.25"/>
  <cols>
    <col min="2" max="3" width="16.42578125" bestFit="1" customWidth="1"/>
    <col min="4" max="11" width="12.7109375" bestFit="1" customWidth="1"/>
    <col min="12" max="12" width="7.140625" customWidth="1"/>
    <col min="14" max="14" width="15.28515625" bestFit="1" customWidth="1"/>
  </cols>
  <sheetData>
    <row r="1" spans="1:16" s="27" customFormat="1" x14ac:dyDescent="0.25">
      <c r="A1" s="454" t="str">
        <f>Mesures_Sechoir!B19 &amp; "°C"</f>
        <v>°C</v>
      </c>
      <c r="B1" s="454"/>
      <c r="C1" s="454"/>
      <c r="D1" s="454"/>
      <c r="E1" s="454"/>
      <c r="F1" s="454"/>
      <c r="G1" s="454"/>
      <c r="H1" s="454"/>
      <c r="I1" s="454"/>
      <c r="J1" s="454"/>
      <c r="K1" s="454"/>
      <c r="L1" s="454"/>
      <c r="M1" s="454"/>
      <c r="N1" s="454"/>
      <c r="O1" s="454"/>
      <c r="P1" s="454"/>
    </row>
    <row r="2" spans="1:16" s="27" customFormat="1" x14ac:dyDescent="0.25">
      <c r="A2" s="454"/>
      <c r="B2" s="454"/>
      <c r="C2" s="454"/>
      <c r="D2" s="454"/>
      <c r="E2" s="454"/>
      <c r="F2" s="454"/>
      <c r="G2" s="454"/>
      <c r="H2" s="454"/>
      <c r="I2" s="454"/>
      <c r="J2" s="454"/>
      <c r="K2" s="454"/>
      <c r="L2" s="454"/>
      <c r="M2" s="454"/>
      <c r="N2" s="454"/>
      <c r="O2" s="454"/>
      <c r="P2" s="454"/>
    </row>
    <row r="3" spans="1:16" s="27" customFormat="1" x14ac:dyDescent="0.25">
      <c r="A3" s="454"/>
      <c r="B3" s="454"/>
      <c r="C3" s="454"/>
      <c r="D3" s="454"/>
      <c r="E3" s="454"/>
      <c r="F3" s="454"/>
      <c r="G3" s="454"/>
      <c r="H3" s="454"/>
      <c r="I3" s="454"/>
      <c r="J3" s="454"/>
      <c r="K3" s="454"/>
      <c r="L3" s="454"/>
      <c r="M3" s="454"/>
      <c r="N3" s="454"/>
      <c r="O3" s="454"/>
      <c r="P3" s="454"/>
    </row>
    <row r="4" spans="1:16" s="27" customFormat="1" x14ac:dyDescent="0.25">
      <c r="M4" s="33"/>
    </row>
    <row r="5" spans="1:16" s="27" customFormat="1" x14ac:dyDescent="0.25">
      <c r="B5" s="34" t="s">
        <v>23</v>
      </c>
      <c r="C5" s="35" t="e">
        <f>_xlfn.XLOOKUP(INT(SUBSTITUTE(C14,"Connecteur ","")),Mesures_Sechoir!C23:C31,Mesures_Sechoir!D23:D31)</f>
        <v>#N/A</v>
      </c>
      <c r="D5" s="35" t="e">
        <f>_xlfn.XLOOKUP(INT(SUBSTITUTE(D14,"Connecteur ","")),Mesures_Sechoir!C23:C31,Mesures_Sechoir!D23:D31)</f>
        <v>#N/A</v>
      </c>
      <c r="E5" s="35" t="e">
        <f>_xlfn.XLOOKUP(INT(SUBSTITUTE(E14,"Connecteur ","")),Mesures_Sechoir!C23:C31,Mesures_Sechoir!D23:D31)</f>
        <v>#N/A</v>
      </c>
      <c r="F5" s="35" t="e">
        <f>_xlfn.XLOOKUP(INT(SUBSTITUTE(F14,"Connecteur ","")),Mesures_Sechoir!C23:C31,Mesures_Sechoir!D23:D31)</f>
        <v>#N/A</v>
      </c>
      <c r="G5" s="35" t="e">
        <f>_xlfn.XLOOKUP(INT(SUBSTITUTE(G14,"Connecteur ","")),Mesures_Sechoir!C23:C31,Mesures_Sechoir!D23:D31)</f>
        <v>#N/A</v>
      </c>
      <c r="H5" s="35" t="e">
        <f>_xlfn.XLOOKUP(INT(SUBSTITUTE(H14,"Connecteur ","")),Mesures_Sechoir!C23:C31,Mesures_Sechoir!D23:D31)</f>
        <v>#N/A</v>
      </c>
      <c r="I5" s="35" t="e">
        <f>_xlfn.XLOOKUP(INT(SUBSTITUTE(I14,"Connecteur ","")),Mesures_Sechoir!C23:C31,Mesures_Sechoir!D23:D31)</f>
        <v>#N/A</v>
      </c>
      <c r="J5" s="35" t="e">
        <f>_xlfn.XLOOKUP(INT(SUBSTITUTE(J14,"Connecteur ","")),Mesures_Sechoir!C23:C31,Mesures_Sechoir!D23:D31)</f>
        <v>#N/A</v>
      </c>
      <c r="K5" s="35" t="e">
        <f>_xlfn.XLOOKUP(INT(SUBSTITUTE(K14,"Connecteur ","")),Mesures_Sechoir!C23:C31,Mesures_Sechoir!D23:D31)</f>
        <v>#N/A</v>
      </c>
      <c r="M5" s="33"/>
    </row>
    <row r="6" spans="1:16" s="27" customFormat="1" x14ac:dyDescent="0.25">
      <c r="B6" s="34" t="s">
        <v>87</v>
      </c>
      <c r="C6" s="35" t="e">
        <f>_xlfn.XLOOKUP(INT(SUBSTITUTE(C14,"Connecteur ","")),Mesures_Sechoir!C23:C31,Mesures_Sechoir!E23:E31)</f>
        <v>#N/A</v>
      </c>
      <c r="D6" s="35" t="e">
        <f>_xlfn.XLOOKUP(INT(SUBSTITUTE(D14,"Connecteur ","")),Mesures_Sechoir!C23:C31,Mesures_Sechoir!E23:E31)</f>
        <v>#N/A</v>
      </c>
      <c r="E6" s="35" t="e">
        <f>_xlfn.XLOOKUP(INT(SUBSTITUTE(E14,"Connecteur ","")),Mesures_Sechoir!C23:C31,Mesures_Sechoir!E23:E31)</f>
        <v>#N/A</v>
      </c>
      <c r="F6" s="35" t="e">
        <f>_xlfn.XLOOKUP(INT(SUBSTITUTE(F14,"Connecteur ","")),Mesures_Sechoir!C23:C31,Mesures_Sechoir!E23:E31)</f>
        <v>#N/A</v>
      </c>
      <c r="G6" s="35" t="e">
        <f>_xlfn.XLOOKUP(INT(SUBSTITUTE(G14,"Connecteur ","")),Mesures_Sechoir!C23:C31,Mesures_Sechoir!E23:E31)</f>
        <v>#N/A</v>
      </c>
      <c r="H6" s="35" t="e">
        <f>_xlfn.XLOOKUP(INT(SUBSTITUTE(H14,"Connecteur ","")),Mesures_Sechoir!C23:C31,Mesures_Sechoir!E23:E31)</f>
        <v>#N/A</v>
      </c>
      <c r="I6" s="35" t="e">
        <f>_xlfn.XLOOKUP(INT(SUBSTITUTE(I14,"Connecteur ","")),Mesures_Sechoir!C23:C31,Mesures_Sechoir!E23:E31)</f>
        <v>#N/A</v>
      </c>
      <c r="J6" s="35" t="e">
        <f>_xlfn.XLOOKUP(INT(SUBSTITUTE(J14,"Connecteur ","")),Mesures_Sechoir!C23:C31,Mesures_Sechoir!E23:E31)</f>
        <v>#N/A</v>
      </c>
      <c r="K6" s="35" t="e">
        <f>_xlfn.XLOOKUP(INT(SUBSTITUTE(K14,"Connecteur ","")),Mesures_Sechoir!C23:C31,Mesures_Sechoir!E23:E31)</f>
        <v>#N/A</v>
      </c>
      <c r="M6" s="33"/>
    </row>
    <row r="7" spans="1:16" s="27" customFormat="1" x14ac:dyDescent="0.25">
      <c r="M7" s="33"/>
    </row>
    <row r="8" spans="1:16" s="27" customFormat="1" x14ac:dyDescent="0.25">
      <c r="M8" s="33"/>
    </row>
    <row r="9" spans="1:16" s="27" customFormat="1" x14ac:dyDescent="0.25">
      <c r="A9" s="338" t="s">
        <v>88</v>
      </c>
      <c r="B9" s="338"/>
      <c r="C9" s="338"/>
      <c r="D9" s="338"/>
      <c r="E9" s="338"/>
      <c r="F9" s="338"/>
      <c r="G9" s="338"/>
      <c r="H9" s="338"/>
      <c r="I9" s="338"/>
      <c r="J9" s="338"/>
      <c r="K9" s="338"/>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4" t="s">
        <v>89</v>
      </c>
      <c r="B11" s="37" cm="1">
        <f t="array" ref="B11">Valeurs_Brutes_Sechoir[Date/Heure]</f>
        <v>0</v>
      </c>
      <c r="C11" s="134" cm="1">
        <f t="array" ref="C11:K11">Valeurs_Brutes_Sechoir[[Connecteur 1]:[Connecteur 9]]</f>
        <v>0</v>
      </c>
      <c r="D11" s="134">
        <v>0</v>
      </c>
      <c r="E11" s="134">
        <v>0</v>
      </c>
      <c r="F11" s="134">
        <v>0</v>
      </c>
      <c r="G11" s="134">
        <v>0</v>
      </c>
      <c r="H11" s="134">
        <v>0</v>
      </c>
      <c r="I11" s="134">
        <v>0</v>
      </c>
      <c r="J11" s="134">
        <v>0</v>
      </c>
      <c r="K11" s="134">
        <v>0</v>
      </c>
      <c r="M11" s="33"/>
    </row>
    <row r="12" spans="1:16" s="27" customFormat="1" ht="13.5" customHeight="1" x14ac:dyDescent="0.25">
      <c r="A12" s="143" t="s">
        <v>89</v>
      </c>
      <c r="B12" s="39"/>
      <c r="C12" s="176"/>
      <c r="D12" s="176"/>
      <c r="E12" s="176"/>
      <c r="F12" s="176"/>
      <c r="G12" s="176"/>
      <c r="H12" s="176"/>
      <c r="I12" s="176"/>
      <c r="J12" s="176"/>
      <c r="K12" s="176"/>
      <c r="M12" s="33"/>
    </row>
    <row r="13" spans="1:16" s="455"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cm="1">
        <f t="array" ref="C15">MAX(Valeurs_Brutes_Sechoir[Connecteur 1]+Sechoir!C5+Sechoir!C6)</f>
        <v>#N/A</v>
      </c>
      <c r="D15" s="43" t="e" cm="1">
        <f t="array" ref="D15">MAX(Valeurs_Brutes_Sechoir[Connecteur 2]+Sechoir!D5+Sechoir!D6)</f>
        <v>#N/A</v>
      </c>
      <c r="E15" s="43" t="e" cm="1">
        <f t="array" ref="E15">MAX(Valeurs_Brutes_Sechoir[Connecteur 3]+Sechoir!E5+Sechoir!E6)</f>
        <v>#N/A</v>
      </c>
      <c r="F15" s="43" t="e" cm="1">
        <f t="array" ref="F15">MAX(Valeurs_Brutes_Sechoir[Connecteur 4]+Sechoir!F5+Sechoir!F6)</f>
        <v>#N/A</v>
      </c>
      <c r="G15" s="43" t="e" cm="1">
        <f t="array" ref="G15">MAX(Valeurs_Brutes_Sechoir[Connecteur 5]+Sechoir!G5+Sechoir!G6)</f>
        <v>#N/A</v>
      </c>
      <c r="H15" s="43" t="e" cm="1">
        <f t="array" ref="H15">MAX(Valeurs_Brutes_Sechoir[Connecteur 6]+Sechoir!H5+Sechoir!H6)</f>
        <v>#N/A</v>
      </c>
      <c r="I15" s="43" t="e" cm="1">
        <f t="array" ref="I15">MAX(Valeurs_Brutes_Sechoir[Connecteur 7]+Sechoir!I5+Sechoir!I6)</f>
        <v>#N/A</v>
      </c>
      <c r="J15" s="43" t="e" cm="1">
        <f t="array" ref="J15">MAX(Valeurs_Brutes_Sechoir[Connecteur 8]+Sechoir!J5+Sechoir!J6)</f>
        <v>#N/A</v>
      </c>
      <c r="K15" s="43" t="e" cm="1">
        <f t="array" ref="K15">MAX(Valeurs_Brutes_Sechoir[Connecteur 9]+Sechoir!K5+Sechoir!K6)</f>
        <v>#N/A</v>
      </c>
      <c r="L15" s="48">
        <f>O15+Mesures_Sechoir!B20</f>
        <v>0</v>
      </c>
      <c r="M15" s="33"/>
      <c r="N15" s="36" t="s">
        <v>7</v>
      </c>
      <c r="O15" s="48">
        <f>Mesures_Sechoir!B19</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O15+Mesures_Sechoir!B20</f>
        <v>0</v>
      </c>
      <c r="M16" s="33"/>
      <c r="N16" s="36" t="s">
        <v>92</v>
      </c>
      <c r="O16" s="35" t="str">
        <f>"+" &amp; Mesures_Sechoir!B20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Mesures_Sechoir!B20</f>
        <v>0</v>
      </c>
      <c r="M17" s="33"/>
      <c r="N17" s="36" t="s">
        <v>94</v>
      </c>
      <c r="O17" s="35" t="str">
        <f>"-" &amp; Mesures_Sechoir!B20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2" t="e">
        <f ca="1">ABS(MAX(C16:K16)- MIN(C17:K17))</f>
        <v>#REF!</v>
      </c>
      <c r="D20" s="372"/>
      <c r="E20" s="372"/>
      <c r="F20" s="372"/>
      <c r="G20" s="372"/>
      <c r="H20" s="372"/>
      <c r="I20" s="372"/>
      <c r="J20" s="372"/>
      <c r="K20" s="372"/>
      <c r="L20" s="372"/>
      <c r="M20" s="33"/>
    </row>
    <row r="21" spans="2:15" s="27" customFormat="1" x14ac:dyDescent="0.25">
      <c r="B21" s="42" t="s">
        <v>98</v>
      </c>
      <c r="C21" s="372" t="e">
        <f ca="1">AVERAGE(C18:K18)</f>
        <v>#REF!</v>
      </c>
      <c r="D21" s="372"/>
      <c r="E21" s="372"/>
      <c r="F21" s="372"/>
      <c r="G21" s="372"/>
      <c r="H21" s="372"/>
      <c r="I21" s="372"/>
      <c r="J21" s="372"/>
      <c r="K21" s="372"/>
      <c r="L21" s="372"/>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gFclSJX47fP43lMJG8QMX9QKPNGM6zJRn1mNKRg4On2ADkiqqbYBpg7cVWcFxVzRCi7fZWPW/kPs/G3tyc8Gog==" saltValue="sB1pY2ZSkmKtyQbWIOTjkQ=="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8"/>
  <sheetViews>
    <sheetView view="pageLayout" topLeftCell="A289" zoomScale="70" zoomScaleNormal="60" zoomScaleSheetLayoutView="77" zoomScalePageLayoutView="70" workbookViewId="0">
      <selection activeCell="E213" sqref="E213"/>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379" t="s">
        <v>138</v>
      </c>
      <c r="D10" s="379"/>
      <c r="E10" s="472">
        <f>Mesures_Sechoir!D5</f>
        <v>0</v>
      </c>
      <c r="F10" s="472"/>
    </row>
    <row r="11" spans="2:9" ht="21" x14ac:dyDescent="0.25">
      <c r="C11" s="90"/>
      <c r="D11" s="90"/>
      <c r="E11" s="91"/>
      <c r="F11" s="91"/>
    </row>
    <row r="12" spans="2:9" x14ac:dyDescent="0.25">
      <c r="C12" s="92" t="s">
        <v>1</v>
      </c>
      <c r="D12" s="93">
        <f>Mesures_Sechoir!C7</f>
        <v>0</v>
      </c>
      <c r="F12" s="92" t="s">
        <v>18</v>
      </c>
      <c r="G12" s="93">
        <f>Mesures_Sechoir!G7</f>
        <v>0</v>
      </c>
    </row>
    <row r="13" spans="2:9" ht="15.75" x14ac:dyDescent="0.25">
      <c r="C13" s="94" t="s">
        <v>2</v>
      </c>
      <c r="D13" s="95">
        <f>Mesures_Sechoir!C8</f>
        <v>0</v>
      </c>
      <c r="F13" s="96" t="s">
        <v>19</v>
      </c>
      <c r="G13" s="95">
        <f>Mesures_Sechoir!G8</f>
        <v>0</v>
      </c>
    </row>
    <row r="14" spans="2:9" ht="15.75" x14ac:dyDescent="0.25">
      <c r="C14" s="97"/>
      <c r="D14" s="98"/>
      <c r="G14" s="99"/>
    </row>
    <row r="15" spans="2:9" ht="15.75" x14ac:dyDescent="0.25">
      <c r="C15" s="100" t="s">
        <v>139</v>
      </c>
      <c r="D15" s="101">
        <f>Mesures_Sechoir!C14</f>
        <v>0</v>
      </c>
      <c r="F15" s="92" t="s">
        <v>140</v>
      </c>
      <c r="G15" s="102">
        <f>Mesures_Sechoir!C15</f>
        <v>0</v>
      </c>
    </row>
    <row r="16" spans="2:9" ht="15.75" x14ac:dyDescent="0.25">
      <c r="C16" s="100" t="s">
        <v>141</v>
      </c>
      <c r="D16" s="103">
        <f>Mesures_Sechoir!G11</f>
        <v>9</v>
      </c>
      <c r="F16" s="92" t="s">
        <v>142</v>
      </c>
      <c r="G16" s="102">
        <f>Mesures_Sechoir!G12</f>
        <v>0</v>
      </c>
    </row>
    <row r="17" spans="1:9" ht="15.75" x14ac:dyDescent="0.25">
      <c r="C17" s="97"/>
      <c r="D17" s="98"/>
      <c r="F17" s="97"/>
      <c r="G17" s="27"/>
    </row>
    <row r="18" spans="1:9" ht="15.75" x14ac:dyDescent="0.25">
      <c r="C18" s="100" t="s">
        <v>143</v>
      </c>
      <c r="D18" s="140">
        <f>Mesures_Sechoir!C11</f>
        <v>0</v>
      </c>
      <c r="F18" s="92" t="s">
        <v>144</v>
      </c>
      <c r="G18" s="141">
        <f>Mesures_Sechoir!G10</f>
        <v>0</v>
      </c>
    </row>
    <row r="19" spans="1:9" ht="15.75" x14ac:dyDescent="0.25">
      <c r="C19" s="94" t="s">
        <v>145</v>
      </c>
      <c r="D19" s="101">
        <f>Mesures_Sechoir!C10</f>
        <v>0</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282</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8" ht="36" x14ac:dyDescent="0.25">
      <c r="C51" s="462" t="s">
        <v>148</v>
      </c>
      <c r="D51" s="462"/>
      <c r="E51" s="462"/>
      <c r="F51" s="462"/>
    </row>
    <row r="52" spans="2:8" ht="20.25" customHeight="1" x14ac:dyDescent="0.25">
      <c r="B52" s="105"/>
    </row>
    <row r="53" spans="2:8" ht="23.25" x14ac:dyDescent="0.25">
      <c r="B53" s="106" t="s">
        <v>149</v>
      </c>
    </row>
    <row r="55" spans="2:8" ht="21" x14ac:dyDescent="0.25">
      <c r="B55" s="107" t="s">
        <v>150</v>
      </c>
      <c r="E55" s="471" t="s">
        <v>151</v>
      </c>
      <c r="F55" s="471"/>
      <c r="G55" s="471"/>
      <c r="H55" s="108"/>
    </row>
    <row r="56" spans="2:8" ht="21" customHeight="1" x14ac:dyDescent="0.25">
      <c r="B56" s="107" t="s">
        <v>152</v>
      </c>
      <c r="E56" s="471" t="s">
        <v>153</v>
      </c>
      <c r="F56" s="471"/>
      <c r="G56" s="471"/>
      <c r="H56" s="471"/>
    </row>
    <row r="57" spans="2:8" ht="21" x14ac:dyDescent="0.25">
      <c r="B57" s="107" t="s">
        <v>154</v>
      </c>
      <c r="E57" s="471" t="s">
        <v>155</v>
      </c>
      <c r="F57" s="471"/>
      <c r="G57" s="108"/>
      <c r="H57" s="108"/>
    </row>
    <row r="59" spans="2:8" ht="23.25" x14ac:dyDescent="0.25">
      <c r="B59" s="106" t="s">
        <v>156</v>
      </c>
    </row>
    <row r="61" spans="2:8" ht="21" x14ac:dyDescent="0.25">
      <c r="B61" s="471" t="s">
        <v>157</v>
      </c>
      <c r="C61" s="471"/>
      <c r="D61" s="471"/>
      <c r="E61" s="471" t="s">
        <v>158</v>
      </c>
      <c r="F61" s="471"/>
      <c r="G61" s="471"/>
    </row>
    <row r="62" spans="2:8" ht="21" x14ac:dyDescent="0.25">
      <c r="B62" s="471" t="s">
        <v>159</v>
      </c>
      <c r="C62" s="471"/>
      <c r="D62" s="471"/>
    </row>
    <row r="64" spans="2:8" ht="21" x14ac:dyDescent="0.25">
      <c r="B64" s="107" t="s">
        <v>160</v>
      </c>
    </row>
    <row r="66" spans="1:10" ht="21" x14ac:dyDescent="0.25">
      <c r="B66" s="471" t="s">
        <v>161</v>
      </c>
      <c r="C66" s="471"/>
      <c r="D66" s="471"/>
      <c r="E66" s="471" t="s">
        <v>162</v>
      </c>
      <c r="F66" s="471"/>
      <c r="G66" s="471"/>
      <c r="H66" s="471"/>
      <c r="I66" s="471"/>
    </row>
    <row r="67" spans="1:10" ht="23.25" x14ac:dyDescent="0.25">
      <c r="B67" s="471" t="s">
        <v>163</v>
      </c>
      <c r="C67" s="471"/>
      <c r="D67" s="471"/>
      <c r="E67" s="471" t="s">
        <v>164</v>
      </c>
      <c r="F67" s="471"/>
      <c r="G67" s="471"/>
      <c r="H67" s="471"/>
      <c r="I67" s="471"/>
    </row>
    <row r="68" spans="1:10" ht="21" x14ac:dyDescent="0.25">
      <c r="B68" s="471" t="s">
        <v>165</v>
      </c>
      <c r="C68" s="471"/>
      <c r="D68" s="471"/>
      <c r="E68" s="471" t="s">
        <v>166</v>
      </c>
      <c r="F68" s="471"/>
      <c r="G68" s="471"/>
      <c r="H68" s="471"/>
      <c r="I68" s="471"/>
    </row>
    <row r="69" spans="1:10" ht="23.25" x14ac:dyDescent="0.25">
      <c r="B69" s="471" t="s">
        <v>167</v>
      </c>
      <c r="C69" s="471"/>
      <c r="D69" s="471"/>
      <c r="E69" s="471" t="s">
        <v>168</v>
      </c>
      <c r="F69" s="471"/>
      <c r="G69" s="471"/>
      <c r="H69" s="471"/>
      <c r="I69" s="108"/>
    </row>
    <row r="72" spans="1:10" ht="21" customHeight="1" x14ac:dyDescent="0.25">
      <c r="A72" s="463" t="s">
        <v>169</v>
      </c>
      <c r="B72" s="463"/>
      <c r="C72" s="463"/>
      <c r="D72" s="463"/>
      <c r="E72" s="463"/>
      <c r="F72" s="463"/>
      <c r="G72" s="463"/>
      <c r="H72" s="463"/>
      <c r="I72" s="463"/>
      <c r="J72" s="463"/>
    </row>
    <row r="73" spans="1:10" ht="21" customHeight="1" x14ac:dyDescent="0.25">
      <c r="A73" s="463"/>
      <c r="B73" s="463"/>
      <c r="C73" s="463"/>
      <c r="D73" s="463"/>
      <c r="E73" s="463"/>
      <c r="F73" s="463"/>
      <c r="G73" s="463"/>
      <c r="H73" s="463"/>
      <c r="I73" s="463"/>
      <c r="J73" s="463"/>
    </row>
    <row r="74" spans="1:10" ht="15" customHeight="1" x14ac:dyDescent="0.25">
      <c r="A74" s="463"/>
      <c r="B74" s="463"/>
      <c r="C74" s="463"/>
      <c r="D74" s="463"/>
      <c r="E74" s="463"/>
      <c r="F74" s="463"/>
      <c r="G74" s="463"/>
      <c r="H74" s="463"/>
      <c r="I74" s="463"/>
      <c r="J74" s="463"/>
    </row>
    <row r="75" spans="1:10" ht="15" customHeight="1" x14ac:dyDescent="0.25">
      <c r="A75" s="463"/>
      <c r="B75" s="463"/>
      <c r="C75" s="463"/>
      <c r="D75" s="463"/>
      <c r="E75" s="463"/>
      <c r="F75" s="463"/>
      <c r="G75" s="463"/>
      <c r="H75" s="463"/>
      <c r="I75" s="463"/>
      <c r="J75" s="463"/>
    </row>
    <row r="76" spans="1:10" x14ac:dyDescent="0.25">
      <c r="A76" s="463"/>
      <c r="B76" s="463"/>
      <c r="C76" s="463"/>
      <c r="D76" s="463"/>
      <c r="E76" s="463"/>
      <c r="F76" s="463"/>
      <c r="G76" s="463"/>
      <c r="H76" s="463"/>
      <c r="I76" s="463"/>
      <c r="J76" s="463"/>
    </row>
    <row r="77" spans="1:10" x14ac:dyDescent="0.25">
      <c r="A77" s="463"/>
      <c r="B77" s="463"/>
      <c r="C77" s="463"/>
      <c r="D77" s="463"/>
      <c r="E77" s="463"/>
      <c r="F77" s="463"/>
      <c r="G77" s="463"/>
      <c r="H77" s="463"/>
      <c r="I77" s="463"/>
      <c r="J77" s="463"/>
    </row>
    <row r="78" spans="1:10" x14ac:dyDescent="0.25">
      <c r="A78" s="463"/>
      <c r="B78" s="463"/>
      <c r="C78" s="463"/>
      <c r="D78" s="463"/>
      <c r="E78" s="463"/>
      <c r="F78" s="463"/>
      <c r="G78" s="463"/>
      <c r="H78" s="463"/>
      <c r="I78" s="463"/>
      <c r="J78" s="463"/>
    </row>
    <row r="79" spans="1:10" x14ac:dyDescent="0.25">
      <c r="A79" s="463"/>
      <c r="B79" s="463"/>
      <c r="C79" s="463"/>
      <c r="D79" s="463"/>
      <c r="E79" s="463"/>
      <c r="F79" s="463"/>
      <c r="G79" s="463"/>
      <c r="H79" s="463"/>
      <c r="I79" s="463"/>
      <c r="J79" s="463"/>
    </row>
    <row r="80" spans="1:10" x14ac:dyDescent="0.25">
      <c r="A80" s="463"/>
      <c r="B80" s="463"/>
      <c r="C80" s="463"/>
      <c r="D80" s="463"/>
      <c r="E80" s="463"/>
      <c r="F80" s="463"/>
      <c r="G80" s="463"/>
      <c r="H80" s="463"/>
      <c r="I80" s="463"/>
      <c r="J80" s="463"/>
    </row>
    <row r="81" spans="1:10" x14ac:dyDescent="0.25">
      <c r="A81" s="463"/>
      <c r="B81" s="463"/>
      <c r="C81" s="463"/>
      <c r="D81" s="463"/>
      <c r="E81" s="463"/>
      <c r="F81" s="463"/>
      <c r="G81" s="463"/>
      <c r="H81" s="463"/>
      <c r="I81" s="463"/>
      <c r="J81" s="463"/>
    </row>
    <row r="85" spans="1:10" ht="36" x14ac:dyDescent="0.25">
      <c r="C85" s="462" t="s">
        <v>170</v>
      </c>
      <c r="D85" s="462"/>
      <c r="E85" s="462"/>
      <c r="F85" s="462"/>
      <c r="G85" s="462"/>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111"/>
      <c r="D94" s="111"/>
    </row>
    <row r="95" spans="1:10" ht="17.25" x14ac:dyDescent="0.25">
      <c r="A95" s="111"/>
      <c r="B95" s="111"/>
      <c r="C95" s="114"/>
      <c r="D95" s="114"/>
    </row>
    <row r="96" spans="1:10" ht="17.25" x14ac:dyDescent="0.25">
      <c r="A96" s="111"/>
      <c r="B96" s="111"/>
      <c r="D96" s="441" t="s">
        <v>10</v>
      </c>
      <c r="E96" s="451"/>
      <c r="F96" s="451"/>
      <c r="G96" s="451"/>
      <c r="H96" s="442"/>
    </row>
    <row r="97" spans="1:9" ht="30" x14ac:dyDescent="0.25">
      <c r="A97" s="111"/>
      <c r="B97" s="111"/>
      <c r="D97" s="508"/>
      <c r="E97" s="3" t="s">
        <v>15</v>
      </c>
      <c r="F97" s="20" t="s">
        <v>17</v>
      </c>
      <c r="G97" s="20" t="s">
        <v>24</v>
      </c>
      <c r="H97" s="20" t="s">
        <v>25</v>
      </c>
    </row>
    <row r="98" spans="1:9" ht="17.25" x14ac:dyDescent="0.25">
      <c r="A98" s="111"/>
      <c r="B98" s="111"/>
      <c r="D98" s="322" t="str" cm="1">
        <f t="array" ref="D98:H106">Mesures_Sechoir!B42:F50</f>
        <v xml:space="preserve">Sonde </v>
      </c>
      <c r="E98" s="10">
        <v>0</v>
      </c>
      <c r="F98" s="10">
        <v>0</v>
      </c>
      <c r="G98" s="10">
        <v>0</v>
      </c>
      <c r="H98" s="10">
        <v>0</v>
      </c>
    </row>
    <row r="99" spans="1:9" ht="17.25" x14ac:dyDescent="0.25">
      <c r="A99" s="111"/>
      <c r="B99" s="111"/>
      <c r="D99" s="322" t="str">
        <v xml:space="preserve">Sonde </v>
      </c>
      <c r="E99" s="10">
        <v>0</v>
      </c>
      <c r="F99" s="10">
        <v>0</v>
      </c>
      <c r="G99" s="10">
        <v>0</v>
      </c>
      <c r="H99" s="10">
        <v>0</v>
      </c>
    </row>
    <row r="100" spans="1:9" ht="17.25" x14ac:dyDescent="0.25">
      <c r="A100" s="111"/>
      <c r="B100" s="111"/>
      <c r="D100" s="322" t="str">
        <v xml:space="preserve">Sonde </v>
      </c>
      <c r="E100" s="10">
        <v>0</v>
      </c>
      <c r="F100" s="10">
        <v>0</v>
      </c>
      <c r="G100" s="10">
        <v>0</v>
      </c>
      <c r="H100" s="10">
        <v>0</v>
      </c>
    </row>
    <row r="101" spans="1:9" ht="17.25" x14ac:dyDescent="0.25">
      <c r="A101" s="111"/>
      <c r="B101" s="111"/>
      <c r="D101" s="322" t="str">
        <v xml:space="preserve">Sonde </v>
      </c>
      <c r="E101" s="10">
        <v>0</v>
      </c>
      <c r="F101" s="10">
        <v>0</v>
      </c>
      <c r="G101" s="10">
        <v>0</v>
      </c>
      <c r="H101" s="10">
        <v>0</v>
      </c>
    </row>
    <row r="102" spans="1:9" ht="17.25" x14ac:dyDescent="0.25">
      <c r="A102" s="111"/>
      <c r="B102" s="111"/>
      <c r="D102" s="322" t="str">
        <v xml:space="preserve">Sonde </v>
      </c>
      <c r="E102" s="10">
        <v>0</v>
      </c>
      <c r="F102" s="10">
        <v>0</v>
      </c>
      <c r="G102" s="10">
        <v>0</v>
      </c>
      <c r="H102" s="10">
        <v>0</v>
      </c>
    </row>
    <row r="103" spans="1:9" ht="17.25" x14ac:dyDescent="0.25">
      <c r="A103" s="111"/>
      <c r="B103" s="111"/>
      <c r="D103" s="322" t="str">
        <v xml:space="preserve">Sonde </v>
      </c>
      <c r="E103" s="10">
        <v>0</v>
      </c>
      <c r="F103" s="10">
        <v>0</v>
      </c>
      <c r="G103" s="10">
        <v>0</v>
      </c>
      <c r="H103" s="10">
        <v>0</v>
      </c>
    </row>
    <row r="104" spans="1:9" ht="17.25" x14ac:dyDescent="0.25">
      <c r="A104" s="111"/>
      <c r="B104" s="111"/>
      <c r="D104" s="322" t="str">
        <v xml:space="preserve">Sonde </v>
      </c>
      <c r="E104" s="10">
        <v>0</v>
      </c>
      <c r="F104" s="10">
        <v>0</v>
      </c>
      <c r="G104" s="10">
        <v>0</v>
      </c>
      <c r="H104" s="10">
        <v>0</v>
      </c>
    </row>
    <row r="105" spans="1:9" ht="17.25" x14ac:dyDescent="0.25">
      <c r="A105" s="111"/>
      <c r="B105" s="111"/>
      <c r="D105" s="322" t="str">
        <v xml:space="preserve">Sonde </v>
      </c>
      <c r="E105" s="10">
        <v>0</v>
      </c>
      <c r="F105" s="10">
        <v>0</v>
      </c>
      <c r="G105" s="10">
        <v>0</v>
      </c>
      <c r="H105" s="10">
        <v>0</v>
      </c>
    </row>
    <row r="106" spans="1:9" ht="17.25" x14ac:dyDescent="0.25">
      <c r="A106" s="111"/>
      <c r="B106" s="111"/>
      <c r="D106" s="322" t="str">
        <v xml:space="preserve">Sonde </v>
      </c>
      <c r="E106" s="10">
        <v>0</v>
      </c>
      <c r="F106" s="10">
        <v>0</v>
      </c>
      <c r="G106" s="10">
        <v>0</v>
      </c>
      <c r="H106" s="10">
        <v>0</v>
      </c>
    </row>
    <row r="107" spans="1:9" ht="17.25" x14ac:dyDescent="0.25">
      <c r="A107" s="111"/>
      <c r="B107" s="111"/>
      <c r="C107" s="111"/>
      <c r="D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5" t="s">
        <v>176</v>
      </c>
      <c r="C116" s="465"/>
      <c r="D116" s="465"/>
      <c r="E116" s="465"/>
      <c r="F116" s="465"/>
    </row>
    <row r="118" spans="1:9" ht="26.25" x14ac:dyDescent="0.25">
      <c r="B118" s="109" t="s">
        <v>177</v>
      </c>
    </row>
    <row r="119" spans="1:9" ht="21" x14ac:dyDescent="0.3">
      <c r="E119" s="107" t="s">
        <v>178</v>
      </c>
      <c r="F119" s="107"/>
      <c r="G119" s="116">
        <f>Mesures_Sechoir!$M$42</f>
        <v>0</v>
      </c>
    </row>
    <row r="120" spans="1:9" ht="21" x14ac:dyDescent="0.3">
      <c r="B120" s="117" t="s">
        <v>179</v>
      </c>
      <c r="C120" s="107" t="s">
        <v>180</v>
      </c>
      <c r="E120" s="107" t="s">
        <v>181</v>
      </c>
      <c r="F120" s="107"/>
      <c r="G120" s="116">
        <f>Mesures_Sechoir!$N$42</f>
        <v>0</v>
      </c>
    </row>
    <row r="121" spans="1:9" ht="21" x14ac:dyDescent="0.25">
      <c r="B121" s="117" t="s">
        <v>182</v>
      </c>
      <c r="C121" s="110" t="s">
        <v>183</v>
      </c>
      <c r="E121" s="107" t="s">
        <v>184</v>
      </c>
      <c r="F121" s="107"/>
      <c r="G121" s="118">
        <f>Mesures_Sechoir!$O$42</f>
        <v>0</v>
      </c>
    </row>
    <row r="122" spans="1:9" ht="21" x14ac:dyDescent="0.35">
      <c r="B122" s="119" t="s">
        <v>185</v>
      </c>
      <c r="C122" s="120" t="s">
        <v>186</v>
      </c>
      <c r="E122" s="107" t="s">
        <v>187</v>
      </c>
      <c r="F122" s="107"/>
      <c r="G122" s="121" t="e">
        <f>"±" &amp;  SUBSTITUTE(ROUND(AVERAGE(Mesures_Sechoir!$D$23:$D$34),2),"-"," ") &amp; "°C"</f>
        <v>#DIV/0!</v>
      </c>
    </row>
    <row r="127" spans="1:9" ht="36" x14ac:dyDescent="0.25">
      <c r="C127" s="462" t="s">
        <v>188</v>
      </c>
      <c r="D127" s="462"/>
      <c r="E127" s="462"/>
      <c r="F127" s="462"/>
    </row>
    <row r="128" spans="1:9" ht="36" x14ac:dyDescent="0.25">
      <c r="B128" s="104"/>
      <c r="C128" s="104"/>
      <c r="D128" s="104"/>
    </row>
    <row r="129" spans="2:9" x14ac:dyDescent="0.25">
      <c r="B129" s="338"/>
      <c r="C129" s="338"/>
      <c r="D129" s="338"/>
      <c r="E129" s="338"/>
      <c r="F129" s="338"/>
      <c r="G129" s="338"/>
      <c r="H129" s="338"/>
      <c r="I129" s="338"/>
    </row>
    <row r="130" spans="2:9" x14ac:dyDescent="0.25">
      <c r="B130" s="338"/>
      <c r="C130" s="338"/>
      <c r="D130" s="338"/>
      <c r="E130" s="338"/>
      <c r="F130" s="338"/>
      <c r="G130" s="338"/>
      <c r="H130" s="338"/>
      <c r="I130" s="338"/>
    </row>
    <row r="131" spans="2:9" x14ac:dyDescent="0.25">
      <c r="B131" s="338"/>
      <c r="C131" s="338"/>
      <c r="D131" s="338"/>
      <c r="E131" s="338"/>
      <c r="F131" s="338"/>
      <c r="G131" s="338"/>
      <c r="H131" s="338"/>
      <c r="I131" s="338"/>
    </row>
    <row r="132" spans="2:9" x14ac:dyDescent="0.25">
      <c r="B132" s="338"/>
      <c r="C132" s="338"/>
      <c r="D132" s="338"/>
      <c r="E132" s="338"/>
      <c r="F132" s="338"/>
      <c r="G132" s="338"/>
      <c r="H132" s="338"/>
      <c r="I132" s="338"/>
    </row>
    <row r="133" spans="2:9" x14ac:dyDescent="0.25">
      <c r="B133" s="338"/>
      <c r="C133" s="338"/>
      <c r="D133" s="338"/>
      <c r="E133" s="338"/>
      <c r="F133" s="338"/>
      <c r="G133" s="338"/>
      <c r="H133" s="338"/>
      <c r="I133" s="338"/>
    </row>
    <row r="134" spans="2:9" x14ac:dyDescent="0.25">
      <c r="B134" s="338"/>
      <c r="C134" s="338"/>
      <c r="D134" s="338"/>
      <c r="E134" s="338"/>
      <c r="F134" s="338"/>
      <c r="G134" s="338"/>
      <c r="H134" s="338"/>
      <c r="I134" s="338"/>
    </row>
    <row r="135" spans="2:9" x14ac:dyDescent="0.25">
      <c r="B135" s="338"/>
      <c r="C135" s="338"/>
      <c r="D135" s="338"/>
      <c r="E135" s="338"/>
      <c r="F135" s="338"/>
      <c r="G135" s="338"/>
      <c r="H135" s="338"/>
      <c r="I135" s="338"/>
    </row>
    <row r="136" spans="2:9" x14ac:dyDescent="0.25">
      <c r="B136" s="338"/>
      <c r="C136" s="338"/>
      <c r="D136" s="338"/>
      <c r="E136" s="338"/>
      <c r="F136" s="338"/>
      <c r="G136" s="338"/>
      <c r="H136" s="338"/>
      <c r="I136" s="338"/>
    </row>
    <row r="137" spans="2:9" x14ac:dyDescent="0.25">
      <c r="B137" s="338"/>
      <c r="C137" s="338"/>
      <c r="D137" s="338"/>
      <c r="E137" s="338"/>
      <c r="F137" s="338"/>
      <c r="G137" s="338"/>
      <c r="H137" s="338"/>
      <c r="I137" s="338"/>
    </row>
    <row r="138" spans="2:9" x14ac:dyDescent="0.25">
      <c r="B138" s="338"/>
      <c r="C138" s="338"/>
      <c r="D138" s="338"/>
      <c r="E138" s="338"/>
      <c r="F138" s="338"/>
      <c r="G138" s="338"/>
      <c r="H138" s="338"/>
      <c r="I138" s="338"/>
    </row>
    <row r="139" spans="2:9" x14ac:dyDescent="0.25">
      <c r="B139" s="338"/>
      <c r="C139" s="338"/>
      <c r="D139" s="338"/>
      <c r="E139" s="338"/>
      <c r="F139" s="338"/>
      <c r="G139" s="338"/>
      <c r="H139" s="338"/>
      <c r="I139" s="338"/>
    </row>
    <row r="140" spans="2:9" x14ac:dyDescent="0.25">
      <c r="B140" s="338"/>
      <c r="C140" s="338"/>
      <c r="D140" s="338"/>
      <c r="E140" s="338"/>
      <c r="F140" s="338"/>
      <c r="G140" s="338"/>
      <c r="H140" s="338"/>
      <c r="I140" s="338"/>
    </row>
    <row r="141" spans="2:9" x14ac:dyDescent="0.25">
      <c r="B141" s="338"/>
      <c r="C141" s="338"/>
      <c r="D141" s="338"/>
      <c r="E141" s="338"/>
      <c r="F141" s="338"/>
      <c r="G141" s="338"/>
      <c r="H141" s="338"/>
      <c r="I141" s="338"/>
    </row>
    <row r="142" spans="2:9" x14ac:dyDescent="0.25">
      <c r="B142" s="338"/>
      <c r="C142" s="338"/>
      <c r="D142" s="338"/>
      <c r="E142" s="338"/>
      <c r="F142" s="338"/>
      <c r="G142" s="338"/>
      <c r="H142" s="338"/>
      <c r="I142" s="338"/>
    </row>
    <row r="143" spans="2:9" x14ac:dyDescent="0.25">
      <c r="B143" s="338"/>
      <c r="C143" s="338"/>
      <c r="D143" s="338"/>
      <c r="E143" s="338"/>
      <c r="F143" s="338"/>
      <c r="G143" s="338"/>
      <c r="H143" s="338"/>
      <c r="I143" s="338"/>
    </row>
    <row r="144" spans="2:9" x14ac:dyDescent="0.25">
      <c r="B144" s="338"/>
      <c r="C144" s="338"/>
      <c r="D144" s="338"/>
      <c r="E144" s="338"/>
      <c r="F144" s="338"/>
      <c r="G144" s="338"/>
      <c r="H144" s="338"/>
      <c r="I144" s="338"/>
    </row>
    <row r="163" spans="1:8" ht="36" x14ac:dyDescent="0.25">
      <c r="C163" s="462" t="s">
        <v>289</v>
      </c>
      <c r="D163" s="462"/>
      <c r="E163" s="462"/>
      <c r="F163" s="462"/>
      <c r="G163" s="462"/>
      <c r="H163" s="462"/>
    </row>
    <row r="167" spans="1:8" x14ac:dyDescent="0.25">
      <c r="A167" s="122" t="str" cm="1">
        <f t="array" ref="A167:C176">Mesures_Sechoir!A22:C31</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96" spans="1:9" ht="36" x14ac:dyDescent="0.25">
      <c r="C196" s="462" t="str">
        <f>"6. Résultats et exploitation des résultats à " &amp; Mesures_Sechoir!B19 &amp; "°C"</f>
        <v>6. Résultats et exploitation des résultats à °C</v>
      </c>
      <c r="D196" s="462"/>
      <c r="E196" s="462"/>
      <c r="F196" s="462"/>
      <c r="G196" s="462"/>
      <c r="H196" s="462"/>
    </row>
    <row r="200" spans="1:9" x14ac:dyDescent="0.25">
      <c r="A200" s="122" t="str" cm="1">
        <f t="array" ref="A200:B201">Mesures_Sechoir!$A$19:$B$20</f>
        <v>Consignes</v>
      </c>
      <c r="B200" s="124">
        <v>0</v>
      </c>
      <c r="G200" s="466" t="s">
        <v>191</v>
      </c>
      <c r="H200" s="467"/>
      <c r="I200" s="468"/>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69" t="s">
        <v>195</v>
      </c>
      <c r="C205" s="469"/>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0" t="s">
        <v>203</v>
      </c>
      <c r="B211" s="129" t="s">
        <v>204</v>
      </c>
      <c r="C211" s="132" t="e">
        <f ca="1">MAX(Sechoir!C16:K16)</f>
        <v>#REF!</v>
      </c>
      <c r="D211" s="130" t="e">
        <f ca="1">_xlfn.XLOOKUP(INT(SUBSTITUTE(E211,"Connecteur ","")),Mesures_Sechoir!$C$23:$C$34,Mesures_Sechoir!$A$23:$A$34)</f>
        <v>#REF!</v>
      </c>
      <c r="E211" s="130" t="e" cm="1">
        <f t="array" aca="1" ref="E211" ca="1">_xlfn.XLOOKUP(C211,Sechoir!C16:K16,_xlfn.ANCHORARRAY(Sechoir!C14))</f>
        <v>#REF!</v>
      </c>
      <c r="F211" s="130" t="e">
        <f ca="1">_xlfn.XLOOKUP(INT(SUBSTITUTE(E211,"Connecteur ","")),Mesures_Sechoir!$C$23:$C$34,Mesures_Sechoir!$B$23:$B$34)</f>
        <v>#REF!</v>
      </c>
    </row>
    <row r="212" spans="1:6" x14ac:dyDescent="0.25">
      <c r="A212" s="470"/>
      <c r="B212" s="129" t="s">
        <v>205</v>
      </c>
      <c r="C212" s="132" t="e">
        <f ca="1">MIN(Sechoir!C16:K16)</f>
        <v>#REF!</v>
      </c>
      <c r="D212" s="130" t="e">
        <f ca="1">_xlfn.XLOOKUP(INT(SUBSTITUTE(E212,"Connecteur ","")),Mesures_Sechoir!$C$23:$C$34,Mesures_Sechoir!$A$23:$A$34)</f>
        <v>#REF!</v>
      </c>
      <c r="E212" s="130" t="e" cm="1">
        <f t="array" aca="1" ref="E212" ca="1">_xlfn.XLOOKUP(C212,Sechoir!C16:K16,_xlfn.ANCHORARRAY(Sechoir!C14))</f>
        <v>#REF!</v>
      </c>
      <c r="F212" s="131" t="e">
        <f ca="1">_xlfn.XLOOKUP(INT(SUBSTITUTE(E212,"Connecteur ","")),Mesures_Sechoir!$C$23:$C$34,Mesures_Sechoir!$B$23:$B$34)</f>
        <v>#REF!</v>
      </c>
    </row>
    <row r="213" spans="1:6" ht="34.5" customHeight="1" x14ac:dyDescent="0.25">
      <c r="A213" s="470"/>
      <c r="B213" s="129" t="s">
        <v>206</v>
      </c>
      <c r="C213" s="132" t="e">
        <f ca="1">MIN(Sechoir!C17:K17)</f>
        <v>#REF!</v>
      </c>
      <c r="D213" s="130" t="e">
        <f ca="1">_xlfn.XLOOKUP(INT(SUBSTITUTE(E213,"Connecteur ","")),Mesures_Sechoir!$C$23:$C$34,Mesures_Sechoir!$A$23:$A$34)</f>
        <v>#REF!</v>
      </c>
      <c r="E213" s="130" t="e" cm="1">
        <f t="array" aca="1" ref="E213" ca="1">_xlfn.XLOOKUP(C213,Sechoir!C17:K17,_xlfn.ANCHORARRAY(Sechoir!C14))</f>
        <v>#REF!</v>
      </c>
      <c r="F213" s="131" t="e">
        <f ca="1">_xlfn.XLOOKUP(INT(SUBSTITUTE(E213,"Connecteur ","")),Mesures_Sechoir!$C$23:$C$34,Mesures_Sechoir!$B$23:$B$34)</f>
        <v>#REF!</v>
      </c>
    </row>
    <row r="214" spans="1:6" x14ac:dyDescent="0.25">
      <c r="A214" s="470"/>
      <c r="B214" s="129" t="s">
        <v>207</v>
      </c>
      <c r="C214" s="132" t="e">
        <f ca="1">Sechoir!C21</f>
        <v>#REF!</v>
      </c>
      <c r="D214" s="130" t="s">
        <v>201</v>
      </c>
      <c r="E214" s="130" t="s">
        <v>201</v>
      </c>
      <c r="F214" s="131" t="s">
        <v>201</v>
      </c>
    </row>
    <row r="215" spans="1:6" x14ac:dyDescent="0.25">
      <c r="C215" s="89"/>
      <c r="D215" s="89"/>
      <c r="E215" s="89"/>
      <c r="F215" s="89"/>
    </row>
    <row r="226" spans="2:9" ht="36" x14ac:dyDescent="0.25">
      <c r="B226" s="462" t="s">
        <v>287</v>
      </c>
      <c r="C226" s="462"/>
      <c r="D226" s="462"/>
      <c r="E226" s="462"/>
      <c r="F226" s="462"/>
    </row>
    <row r="229" spans="2:9" x14ac:dyDescent="0.25">
      <c r="B229" s="338" t="s">
        <v>209</v>
      </c>
      <c r="C229" s="338"/>
    </row>
    <row r="232" spans="2:9" x14ac:dyDescent="0.25">
      <c r="C232" s="27"/>
      <c r="D232" s="27"/>
      <c r="E232" s="27"/>
      <c r="F232" s="457" t="s">
        <v>191</v>
      </c>
      <c r="G232" s="459"/>
      <c r="H232" s="459"/>
      <c r="I232" s="458"/>
    </row>
    <row r="233" spans="2:9" ht="30" x14ac:dyDescent="0.25">
      <c r="C233" s="36" t="s">
        <v>9</v>
      </c>
      <c r="D233" s="36" t="s">
        <v>12</v>
      </c>
      <c r="E233" s="133" t="s">
        <v>210</v>
      </c>
      <c r="F233" s="36" t="s">
        <v>211</v>
      </c>
      <c r="G233" s="36" t="s">
        <v>212</v>
      </c>
      <c r="H233" s="36" t="s">
        <v>213</v>
      </c>
      <c r="I233" s="36" t="s">
        <v>214</v>
      </c>
    </row>
    <row r="234" spans="2:9" x14ac:dyDescent="0.25">
      <c r="C234" s="38" cm="1">
        <f t="array" ref="C234:E242">Mesures_Sechoir!$A$23:$C$31</f>
        <v>1</v>
      </c>
      <c r="D234" s="38">
        <v>0</v>
      </c>
      <c r="E234" s="38">
        <v>0</v>
      </c>
      <c r="F234" s="134" t="e" cm="1">
        <f t="array" ref="F234">_xlfn.XLOOKUP(SUBSTITUTE(Sechoir_PV!E234,Sechoir_PV!E234,"Connecteur " &amp; Sechoir_PV!E234),_xlfn.ANCHORARRAY(Sechoir!C14),Sechoir!C17:K17)</f>
        <v>#N/A</v>
      </c>
      <c r="G234" s="134" t="e" cm="1">
        <f t="array" ref="G234">_xlfn.XLOOKUP(SUBSTITUTE(Sechoir_PV!E234,Sechoir_PV!E234,"Connecteur " &amp; Sechoir_PV!E234),_xlfn.ANCHORARRAY(Sechoir!C14),Sechoir!C16:K16)</f>
        <v>#N/A</v>
      </c>
      <c r="H234" s="134" t="e" cm="1">
        <f t="array" ref="H234">_xlfn.XLOOKUP(SUBSTITUTE(Sechoir_PV!E234,Sechoir_PV!E234,"Connecteur " &amp; Sechoir_PV!E234),_xlfn.ANCHORARRAY(Sechoir!C14),Sechoir!C18:K18)</f>
        <v>#N/A</v>
      </c>
      <c r="I234" s="134" t="e" cm="1">
        <f t="array" ref="I234">_xlfn.XLOOKUP(SUBSTITUTE(Sechoir_PV!E234,Sechoir_PV!E234,"Connecteur " &amp; Sechoir_PV!E234),_xlfn.ANCHORARRAY(Sechoir!C14),Sechoir!C19:K19)</f>
        <v>#N/A</v>
      </c>
    </row>
    <row r="235" spans="2:9" x14ac:dyDescent="0.25">
      <c r="C235" s="38">
        <v>2</v>
      </c>
      <c r="D235" s="38">
        <v>0</v>
      </c>
      <c r="E235" s="38">
        <v>0</v>
      </c>
      <c r="F235" s="134" t="e" cm="1">
        <f t="array" ref="F235">_xlfn.XLOOKUP(SUBSTITUTE(Sechoir_PV!E235,Sechoir_PV!E235,"Connecteur " &amp; Sechoir_PV!E235),_xlfn.ANCHORARRAY(Sechoir!C14),Sechoir!C17:K17)</f>
        <v>#N/A</v>
      </c>
      <c r="G235" s="134" t="e" cm="1">
        <f t="array" ref="G235">_xlfn.XLOOKUP(SUBSTITUTE(Sechoir_PV!E235,Sechoir_PV!E235,"Connecteur " &amp; Sechoir_PV!E235),_xlfn.ANCHORARRAY(Sechoir!C14),Sechoir!C16:K16)</f>
        <v>#N/A</v>
      </c>
      <c r="H235" s="134" t="e" cm="1">
        <f t="array" ref="H235">_xlfn.XLOOKUP(SUBSTITUTE(Sechoir_PV!E235,Sechoir_PV!E235,"Connecteur " &amp; Sechoir_PV!E235),_xlfn.ANCHORARRAY(Sechoir!C14),Sechoir!C18:K18)</f>
        <v>#N/A</v>
      </c>
      <c r="I235" s="134" t="e" cm="1">
        <f t="array" ref="I235">_xlfn.XLOOKUP(SUBSTITUTE(Sechoir_PV!E235,Sechoir_PV!E235,"Connecteur " &amp; Sechoir_PV!E235),_xlfn.ANCHORARRAY(Sechoir!C14),Sechoir!C19:K19)</f>
        <v>#N/A</v>
      </c>
    </row>
    <row r="236" spans="2:9" x14ac:dyDescent="0.25">
      <c r="C236" s="38">
        <v>3</v>
      </c>
      <c r="D236" s="38">
        <v>0</v>
      </c>
      <c r="E236" s="38">
        <v>0</v>
      </c>
      <c r="F236" s="134" t="e" cm="1">
        <f t="array" ref="F236">_xlfn.XLOOKUP(SUBSTITUTE(Sechoir_PV!E236,Sechoir_PV!E236,"Connecteur " &amp; Sechoir_PV!E236),_xlfn.ANCHORARRAY(Sechoir!C14),Sechoir!C17:K17)</f>
        <v>#N/A</v>
      </c>
      <c r="G236" s="134" t="e" cm="1">
        <f t="array" ref="G236">_xlfn.XLOOKUP(SUBSTITUTE(Sechoir_PV!E236,Sechoir_PV!E236,"Connecteur " &amp; Sechoir_PV!E236),_xlfn.ANCHORARRAY(Sechoir!C14),Sechoir!C16:K16)</f>
        <v>#N/A</v>
      </c>
      <c r="H236" s="134" t="e" cm="1">
        <f t="array" ref="H236">_xlfn.XLOOKUP(SUBSTITUTE(Sechoir_PV!E236,Sechoir_PV!E236,"Connecteur " &amp; Sechoir_PV!E236),_xlfn.ANCHORARRAY(Sechoir!C14),Sechoir!C18:K18)</f>
        <v>#N/A</v>
      </c>
      <c r="I236" s="134" t="e" cm="1">
        <f t="array" ref="I236">_xlfn.XLOOKUP(SUBSTITUTE(Sechoir_PV!E236,Sechoir_PV!E236,"Connecteur " &amp; Sechoir_PV!E236),_xlfn.ANCHORARRAY(Sechoir!C14),Sechoir!C19:K19)</f>
        <v>#N/A</v>
      </c>
    </row>
    <row r="237" spans="2:9" x14ac:dyDescent="0.25">
      <c r="C237" s="38">
        <v>4</v>
      </c>
      <c r="D237" s="38">
        <v>0</v>
      </c>
      <c r="E237" s="38">
        <v>0</v>
      </c>
      <c r="F237" s="134" t="e" cm="1">
        <f t="array" ref="F237">_xlfn.XLOOKUP(SUBSTITUTE(Sechoir_PV!E237,Sechoir_PV!E237,"Connecteur " &amp; Sechoir_PV!E237),_xlfn.ANCHORARRAY(Sechoir!C14),Sechoir!C17:K17)</f>
        <v>#N/A</v>
      </c>
      <c r="G237" s="134" t="e" cm="1">
        <f t="array" ref="G237">_xlfn.XLOOKUP(SUBSTITUTE(Sechoir_PV!E237,Sechoir_PV!E237,"Connecteur " &amp; Sechoir_PV!E237),_xlfn.ANCHORARRAY(Sechoir!C14),Sechoir!C16:K16)</f>
        <v>#N/A</v>
      </c>
      <c r="H237" s="134" t="e" cm="1">
        <f t="array" ref="H237">_xlfn.XLOOKUP(SUBSTITUTE(Sechoir_PV!E237,Sechoir_PV!E237,"Connecteur " &amp; Sechoir_PV!E237),_xlfn.ANCHORARRAY(Sechoir!C14),Sechoir!C18:K18)</f>
        <v>#N/A</v>
      </c>
      <c r="I237" s="134" t="e" cm="1">
        <f t="array" ref="I237">_xlfn.XLOOKUP(SUBSTITUTE(Sechoir_PV!E237,Sechoir_PV!E237,"Connecteur " &amp; Sechoir_PV!E237),_xlfn.ANCHORARRAY(Sechoir!C14),Sechoir!C19:K19)</f>
        <v>#N/A</v>
      </c>
    </row>
    <row r="238" spans="2:9" x14ac:dyDescent="0.25">
      <c r="C238" s="38">
        <v>5</v>
      </c>
      <c r="D238" s="38">
        <v>0</v>
      </c>
      <c r="E238" s="38">
        <v>0</v>
      </c>
      <c r="F238" s="134" t="e" cm="1">
        <f t="array" ref="F238">_xlfn.XLOOKUP(SUBSTITUTE(Sechoir_PV!E238,Sechoir_PV!E238,"Connecteur " &amp; Sechoir_PV!E238),_xlfn.ANCHORARRAY(Sechoir!C14),Sechoir!C17:K17)</f>
        <v>#N/A</v>
      </c>
      <c r="G238" s="134" t="e" cm="1">
        <f t="array" ref="G238">_xlfn.XLOOKUP(SUBSTITUTE(Sechoir_PV!E238,Sechoir_PV!E238,"Connecteur "&amp;Sechoir_PV!E238),_xlfn.ANCHORARRAY(Sechoir!C14),Sechoir!C16:K16)</f>
        <v>#N/A</v>
      </c>
      <c r="H238" s="134" t="e" cm="1">
        <f t="array" ref="H238">_xlfn.XLOOKUP(SUBSTITUTE(Sechoir_PV!E238,Sechoir_PV!E238,"Connecteur " &amp; Sechoir_PV!E238),_xlfn.ANCHORARRAY(Sechoir!C14),Sechoir!C18:K18)</f>
        <v>#N/A</v>
      </c>
      <c r="I238" s="134" t="e" cm="1">
        <f t="array" ref="I238">_xlfn.XLOOKUP(SUBSTITUTE(Sechoir_PV!E238,Sechoir_PV!E238,"Connecteur " &amp; Sechoir_PV!E238),_xlfn.ANCHORARRAY(Sechoir!C14),Sechoir!C19:K19)</f>
        <v>#N/A</v>
      </c>
    </row>
    <row r="239" spans="2:9" x14ac:dyDescent="0.25">
      <c r="C239" s="38">
        <v>6</v>
      </c>
      <c r="D239" s="38">
        <v>0</v>
      </c>
      <c r="E239" s="38">
        <v>0</v>
      </c>
      <c r="F239" s="134" t="e" cm="1">
        <f t="array" ref="F239">_xlfn.XLOOKUP(SUBSTITUTE(Sechoir_PV!E239,Sechoir_PV!E239,"Connecteur " &amp; Sechoir_PV!E239),_xlfn.ANCHORARRAY(Sechoir!C14),Sechoir!C17:K17)</f>
        <v>#N/A</v>
      </c>
      <c r="G239" s="134" t="e" cm="1">
        <f t="array" ref="G239">_xlfn.XLOOKUP(SUBSTITUTE(Sechoir_PV!E239,Sechoir_PV!E239,"Connecteur " &amp; Sechoir_PV!E239),_xlfn.ANCHORARRAY(Sechoir!C14),Sechoir!C16:K16)</f>
        <v>#N/A</v>
      </c>
      <c r="H239" s="134" t="e" cm="1">
        <f t="array" ref="H239">_xlfn.XLOOKUP(SUBSTITUTE(Sechoir_PV!E239,Sechoir_PV!E239,"Connecteur " &amp; Sechoir_PV!E239),_xlfn.ANCHORARRAY(Sechoir!C14),Sechoir!C18:K18)</f>
        <v>#N/A</v>
      </c>
      <c r="I239" s="134" t="e" cm="1">
        <f t="array" ref="I239">_xlfn.XLOOKUP(SUBSTITUTE(Sechoir_PV!E239,Sechoir_PV!E239,"Connecteur " &amp; Sechoir_PV!E239),_xlfn.ANCHORARRAY(Sechoir!C14),Sechoir!C19:K19)</f>
        <v>#N/A</v>
      </c>
    </row>
    <row r="240" spans="2:9" x14ac:dyDescent="0.25">
      <c r="C240" s="38">
        <v>7</v>
      </c>
      <c r="D240" s="38">
        <v>0</v>
      </c>
      <c r="E240" s="38">
        <v>0</v>
      </c>
      <c r="F240" s="134" t="e" cm="1">
        <f t="array" ref="F240">_xlfn.XLOOKUP(SUBSTITUTE(Sechoir_PV!E240,Sechoir_PV!E240,"Connecteur " &amp; Sechoir_PV!E240),_xlfn.ANCHORARRAY(Sechoir!C14),Sechoir!C17:K17)</f>
        <v>#N/A</v>
      </c>
      <c r="G240" s="134" t="e" cm="1">
        <f t="array" ref="G240">_xlfn.XLOOKUP(SUBSTITUTE(Sechoir_PV!E240,Sechoir_PV!E240,"Connecteur " &amp; Sechoir_PV!E240),_xlfn.ANCHORARRAY(Sechoir!C14),Sechoir!C16:K16)</f>
        <v>#N/A</v>
      </c>
      <c r="H240" s="134" t="e" cm="1">
        <f t="array" ref="H240">_xlfn.XLOOKUP(SUBSTITUTE(Sechoir_PV!E240,Sechoir_PV!E240,"Connecteur " &amp; Sechoir_PV!E240),_xlfn.ANCHORARRAY(Sechoir!C14),Sechoir!C18:K18)</f>
        <v>#N/A</v>
      </c>
      <c r="I240" s="134" t="e" cm="1">
        <f t="array" ref="I240">_xlfn.XLOOKUP(SUBSTITUTE(Sechoir_PV!E240,Sechoir_PV!E240,"Connecteur " &amp; Sechoir_PV!E240),_xlfn.ANCHORARRAY(Sechoir!C14),Sechoir!C19:K19)</f>
        <v>#N/A</v>
      </c>
    </row>
    <row r="241" spans="2:9" x14ac:dyDescent="0.25">
      <c r="C241" s="38">
        <v>8</v>
      </c>
      <c r="D241" s="38">
        <v>0</v>
      </c>
      <c r="E241" s="38">
        <v>0</v>
      </c>
      <c r="F241" s="134" t="e" cm="1">
        <f t="array" ref="F241">_xlfn.XLOOKUP(SUBSTITUTE(Sechoir_PV!E241,Sechoir_PV!E241,"Connecteur " &amp; Sechoir_PV!E241),_xlfn.ANCHORARRAY(Sechoir!C14),Sechoir!C17:K17)</f>
        <v>#N/A</v>
      </c>
      <c r="G241" s="134" t="e" cm="1">
        <f t="array" ref="G241">_xlfn.XLOOKUP(SUBSTITUTE(Sechoir_PV!E241,Sechoir_PV!E241,"Connecteur " &amp; Sechoir_PV!E241),_xlfn.ANCHORARRAY(Sechoir!C14),Sechoir!C16:K16)</f>
        <v>#N/A</v>
      </c>
      <c r="H241" s="134" t="e" cm="1">
        <f t="array" ref="H241">_xlfn.XLOOKUP(SUBSTITUTE(Sechoir_PV!E241,Sechoir_PV!E241,"Connecteur " &amp; Sechoir_PV!E241),_xlfn.ANCHORARRAY(Sechoir!C14),Sechoir!C18:K18)</f>
        <v>#N/A</v>
      </c>
      <c r="I241" s="134" t="e" cm="1">
        <f t="array" ref="I241">_xlfn.XLOOKUP(SUBSTITUTE(Sechoir_PV!E241,Sechoir_PV!E241,"Connecteur " &amp; Sechoir_PV!E241),_xlfn.ANCHORARRAY(Sechoir!C14),Sechoir!C19:K19)</f>
        <v>#N/A</v>
      </c>
    </row>
    <row r="242" spans="2:9" x14ac:dyDescent="0.25">
      <c r="C242" s="38">
        <v>9</v>
      </c>
      <c r="D242" s="38">
        <v>0</v>
      </c>
      <c r="E242" s="38">
        <v>0</v>
      </c>
      <c r="F242" s="134" t="e" cm="1">
        <f t="array" ref="F242">_xlfn.XLOOKUP(SUBSTITUTE(Sechoir_PV!E242,Sechoir_PV!E242,"Connecteur " &amp; Sechoir_PV!E242),_xlfn.ANCHORARRAY(Sechoir!C14),Sechoir!C17:K17)</f>
        <v>#N/A</v>
      </c>
      <c r="G242" s="134" t="e" cm="1">
        <f t="array" ref="G242">_xlfn.XLOOKUP(SUBSTITUTE(Sechoir_PV!E242,Sechoir_PV!E242,"Connecteur " &amp; Sechoir_PV!E242),_xlfn.ANCHORARRAY(Sechoir!C14),Sechoir!C16:K16)</f>
        <v>#N/A</v>
      </c>
      <c r="H242" s="134" t="e" cm="1">
        <f t="array" ref="H242">_xlfn.XLOOKUP(SUBSTITUTE(Sechoir_PV!E242,Sechoir_PV!E242,"Connecteur " &amp; Sechoir_PV!E242),_xlfn.ANCHORARRAY(Sechoir!C14),Sechoir!C18:K18)</f>
        <v>#N/A</v>
      </c>
      <c r="I242" s="134" t="e" cm="1">
        <f t="array" ref="I242">_xlfn.XLOOKUP(SUBSTITUTE(Sechoir_PV!E242,Sechoir_PV!E242,"Connecteur " &amp; Sechoir_PV!E242),_xlfn.ANCHORARRAY(Sechoir!C14),Sechoir!C19:K19)</f>
        <v>#N/A</v>
      </c>
    </row>
    <row r="252" spans="2:9" x14ac:dyDescent="0.25">
      <c r="B252" s="135"/>
    </row>
    <row r="254" spans="2:9" ht="36" x14ac:dyDescent="0.3">
      <c r="C254" s="136" t="str">
        <f>"8. Résultats et exploitation des résultats à " &amp; Mesures_Sechoir!B19 &amp; "°C"</f>
        <v>8. Résultats et exploitation des résultats à °C</v>
      </c>
      <c r="D254" s="137"/>
      <c r="E254" s="137"/>
      <c r="F254" s="137"/>
    </row>
    <row r="257" spans="2:2" x14ac:dyDescent="0.25">
      <c r="B257" t="s">
        <v>216</v>
      </c>
    </row>
    <row r="293" spans="2:8" ht="36" x14ac:dyDescent="0.55000000000000004">
      <c r="G293" s="460" t="s">
        <v>217</v>
      </c>
      <c r="H293" s="460"/>
    </row>
    <row r="297" spans="2:8" ht="23.25" customHeight="1" x14ac:dyDescent="0.25">
      <c r="B297" s="461" t="s">
        <v>288</v>
      </c>
      <c r="C297" s="461"/>
      <c r="D297" s="461"/>
      <c r="E297" s="461"/>
      <c r="F297" s="138" t="e">
        <f ca="1">IF(OR(AVERAGE(Sechoir!C16:K16)&gt;Sechoir!O16,AVERAGE(Sechoir!C17:K17)&lt;Sechoir!O17),"NON CONFORME","CONFORME")</f>
        <v>#REF!</v>
      </c>
      <c r="G297" s="139"/>
    </row>
    <row r="298" spans="2:8" ht="23.25" customHeight="1" x14ac:dyDescent="0.25">
      <c r="B298" s="461"/>
      <c r="C298" s="461"/>
      <c r="D298" s="461"/>
      <c r="E298" s="461"/>
      <c r="F298" s="139"/>
      <c r="G298" s="139"/>
    </row>
    <row r="299" spans="2:8" ht="15" customHeight="1" x14ac:dyDescent="0.25">
      <c r="B299" s="139"/>
      <c r="C299" s="139"/>
      <c r="D299" s="139"/>
      <c r="E299" s="139"/>
      <c r="F299" s="139"/>
      <c r="G299" s="139"/>
    </row>
    <row r="303" spans="2:8" x14ac:dyDescent="0.25">
      <c r="C303" s="129" t="s">
        <v>219</v>
      </c>
      <c r="D303" s="129"/>
      <c r="E303" s="177">
        <f>Mesures_Sechoir!B19</f>
        <v>0</v>
      </c>
    </row>
    <row r="304" spans="2:8" x14ac:dyDescent="0.25">
      <c r="C304" s="456" t="s">
        <v>220</v>
      </c>
      <c r="D304" s="456"/>
      <c r="E304" s="142">
        <f>Mesures_Sechoir!$B$19</f>
        <v>0</v>
      </c>
    </row>
    <row r="305" spans="3:5" x14ac:dyDescent="0.25">
      <c r="C305" s="456" t="s">
        <v>221</v>
      </c>
      <c r="D305" s="456"/>
      <c r="E305" s="134" t="e">
        <f ca="1">Sechoir!C20</f>
        <v>#REF!</v>
      </c>
    </row>
    <row r="306" spans="3:5" x14ac:dyDescent="0.25">
      <c r="C306" s="456" t="s">
        <v>222</v>
      </c>
      <c r="D306" s="456"/>
      <c r="E306" s="38" t="str">
        <f>"±" &amp; Mesures_Sechoir!$B$20</f>
        <v>±</v>
      </c>
    </row>
    <row r="307" spans="3:5" x14ac:dyDescent="0.25">
      <c r="C307" s="457" t="s">
        <v>223</v>
      </c>
      <c r="D307" s="458"/>
      <c r="E307" s="38" t="e">
        <f ca="1">IF(F297="CONFORME","OUI","NON")</f>
        <v>#REF!</v>
      </c>
    </row>
    <row r="308" spans="3:5" x14ac:dyDescent="0.25">
      <c r="C308" s="456" t="s">
        <v>224</v>
      </c>
      <c r="D308" s="456"/>
      <c r="E308" s="38">
        <v>2</v>
      </c>
    </row>
  </sheetData>
  <sheetProtection algorithmName="SHA-512" hashValue="J+4SFbSbfnBe0vGFW10oISFZQmiSMKZV16zq1pjZx5BxMlZenaz5zGMd1Ox8s8sSkXIJ88p/4/mwb/wFVStp+A==" saltValue="syqNE3rCSAwb8wvPv549Hg==" spinCount="100000" sheet="1" objects="1" scenarios="1"/>
  <mergeCells count="40">
    <mergeCell ref="D96:H96"/>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C306:D306"/>
    <mergeCell ref="C307:D307"/>
    <mergeCell ref="C308:D308"/>
    <mergeCell ref="B229:C229"/>
    <mergeCell ref="F232:I232"/>
    <mergeCell ref="G293:H293"/>
    <mergeCell ref="B297:E298"/>
    <mergeCell ref="C304:D304"/>
    <mergeCell ref="C305:D305"/>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conditionalFormatting sqref="D96 D97:H106">
    <cfRule type="expression" dxfId="35" priority="1">
      <formula>AND(NOT(CELL("protege", D96)), D96="")</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2:O56"/>
  <sheetViews>
    <sheetView topLeftCell="A13" workbookViewId="0">
      <selection activeCell="C45" sqref="C45"/>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2" spans="1:13" x14ac:dyDescent="0.25">
      <c r="B2" s="452" t="s">
        <v>49</v>
      </c>
      <c r="C2" s="453"/>
      <c r="D2" s="453"/>
      <c r="E2" s="453"/>
      <c r="F2" s="453"/>
      <c r="G2" s="453"/>
      <c r="H2" s="453"/>
      <c r="I2" s="453"/>
      <c r="J2" s="453"/>
      <c r="K2" s="453"/>
    </row>
    <row r="3" spans="1:13" x14ac:dyDescent="0.25">
      <c r="B3" s="453"/>
      <c r="C3" s="453"/>
      <c r="D3" s="453"/>
      <c r="E3" s="453"/>
      <c r="F3" s="453"/>
      <c r="G3" s="453"/>
      <c r="H3" s="453"/>
      <c r="I3" s="453"/>
      <c r="J3" s="453"/>
      <c r="K3" s="453"/>
    </row>
    <row r="4" spans="1:13" ht="57" x14ac:dyDescent="0.25">
      <c r="A4" s="1"/>
      <c r="B4" s="2"/>
      <c r="C4" s="2"/>
      <c r="D4" s="2"/>
      <c r="E4" s="2"/>
      <c r="F4" s="2"/>
      <c r="G4" s="2"/>
    </row>
    <row r="5" spans="1:13" x14ac:dyDescent="0.25">
      <c r="A5" s="445" t="s">
        <v>0</v>
      </c>
      <c r="B5" s="445"/>
      <c r="C5" s="445"/>
      <c r="D5" s="162"/>
      <c r="E5" s="1"/>
      <c r="F5" s="1"/>
    </row>
    <row r="6" spans="1:13" x14ac:dyDescent="0.25">
      <c r="A6" s="1"/>
      <c r="B6" s="1"/>
      <c r="C6" s="1"/>
      <c r="D6" s="1"/>
      <c r="E6" s="1"/>
      <c r="F6" s="1"/>
      <c r="G6" s="1"/>
    </row>
    <row r="7" spans="1:13" x14ac:dyDescent="0.25">
      <c r="A7" s="445" t="s">
        <v>1</v>
      </c>
      <c r="B7" s="445"/>
      <c r="C7" s="4"/>
      <c r="D7" s="1"/>
      <c r="E7" s="445" t="s">
        <v>18</v>
      </c>
      <c r="F7" s="445"/>
      <c r="G7" s="4"/>
      <c r="H7" s="157"/>
      <c r="M7" s="5"/>
    </row>
    <row r="8" spans="1:13" x14ac:dyDescent="0.25">
      <c r="A8" s="445" t="s">
        <v>2</v>
      </c>
      <c r="B8" s="445"/>
      <c r="C8" s="6"/>
      <c r="D8" s="1"/>
      <c r="E8" s="445" t="s">
        <v>19</v>
      </c>
      <c r="F8" s="445"/>
      <c r="G8" s="6"/>
      <c r="M8" s="5"/>
    </row>
    <row r="9" spans="1:13" x14ac:dyDescent="0.25">
      <c r="A9" s="1"/>
      <c r="B9" s="1"/>
      <c r="C9" s="1"/>
      <c r="D9" s="1"/>
      <c r="E9" s="1"/>
      <c r="F9" s="1"/>
      <c r="G9" s="1"/>
      <c r="M9" s="5"/>
    </row>
    <row r="10" spans="1:13" x14ac:dyDescent="0.25">
      <c r="A10" s="441" t="s">
        <v>3</v>
      </c>
      <c r="B10" s="442"/>
      <c r="C10" s="7"/>
      <c r="D10" s="1"/>
      <c r="E10" s="441" t="s">
        <v>20</v>
      </c>
      <c r="F10" s="442"/>
      <c r="G10" s="8"/>
    </row>
    <row r="11" spans="1:13" x14ac:dyDescent="0.25">
      <c r="A11" s="441" t="s">
        <v>4</v>
      </c>
      <c r="B11" s="442"/>
      <c r="C11" s="8"/>
      <c r="D11" s="1"/>
      <c r="E11" s="445" t="s">
        <v>21</v>
      </c>
      <c r="F11" s="445"/>
      <c r="G11" s="160">
        <v>15</v>
      </c>
    </row>
    <row r="12" spans="1:13" x14ac:dyDescent="0.25">
      <c r="A12" s="1"/>
      <c r="B12" s="1"/>
      <c r="C12" s="1"/>
      <c r="D12" s="1"/>
      <c r="E12" s="445" t="s">
        <v>22</v>
      </c>
      <c r="F12" s="445"/>
      <c r="G12" s="10"/>
    </row>
    <row r="13" spans="1:13" x14ac:dyDescent="0.25">
      <c r="A13" s="1"/>
      <c r="B13" s="1"/>
      <c r="C13" s="1"/>
      <c r="D13" s="1"/>
      <c r="E13" s="1"/>
      <c r="F13" s="1"/>
      <c r="G13" s="1"/>
    </row>
    <row r="14" spans="1:13" x14ac:dyDescent="0.25">
      <c r="A14" s="441" t="s">
        <v>5</v>
      </c>
      <c r="B14" s="442"/>
      <c r="C14" s="4"/>
      <c r="D14" s="1"/>
      <c r="E14" s="1"/>
      <c r="F14" s="1"/>
      <c r="G14" s="1"/>
    </row>
    <row r="15" spans="1:13" x14ac:dyDescent="0.25">
      <c r="A15" s="441" t="s">
        <v>6</v>
      </c>
      <c r="B15" s="442"/>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0"/>
      <c r="C19" s="10"/>
      <c r="D19" s="10"/>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TC " &amp; B19 &amp; "°C"</f>
        <v>Décalage TC °C</v>
      </c>
      <c r="H22" s="26" t="str">
        <f>"Décalage TC " &amp; C19 &amp; "°C"</f>
        <v>Décalage TC °C</v>
      </c>
      <c r="I22" s="26" t="str">
        <f>"Décalage TC " &amp; D19 &amp; "°C"</f>
        <v>Décalage TC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2" spans="1:9" x14ac:dyDescent="0.25">
      <c r="A32" s="19">
        <v>10</v>
      </c>
      <c r="B32" s="11"/>
      <c r="C32" s="11"/>
      <c r="D32" s="18"/>
      <c r="E32" s="18"/>
      <c r="F32" s="18"/>
      <c r="G32" s="18"/>
      <c r="H32" s="18"/>
      <c r="I32" s="18"/>
    </row>
    <row r="33" spans="1:15" x14ac:dyDescent="0.25">
      <c r="A33" s="15">
        <v>11</v>
      </c>
      <c r="B33" s="11"/>
      <c r="C33" s="11"/>
      <c r="D33" s="18"/>
      <c r="E33" s="18"/>
      <c r="F33" s="18"/>
      <c r="G33" s="18"/>
      <c r="H33" s="18"/>
      <c r="I33" s="18"/>
    </row>
    <row r="34" spans="1:15" x14ac:dyDescent="0.25">
      <c r="A34" s="19">
        <v>12</v>
      </c>
      <c r="B34" s="11"/>
      <c r="C34" s="11"/>
      <c r="D34" s="18"/>
      <c r="E34" s="18"/>
      <c r="F34" s="18"/>
      <c r="G34" s="18"/>
      <c r="H34" s="18"/>
      <c r="I34" s="18"/>
    </row>
    <row r="35" spans="1:15" x14ac:dyDescent="0.25">
      <c r="A35" s="19">
        <v>13</v>
      </c>
      <c r="B35" s="11"/>
      <c r="C35" s="11"/>
      <c r="D35" s="18"/>
      <c r="E35" s="18"/>
      <c r="F35" s="18"/>
      <c r="G35" s="18"/>
      <c r="H35" s="18"/>
      <c r="I35" s="18"/>
    </row>
    <row r="40" spans="1:15" ht="26.25" x14ac:dyDescent="0.25">
      <c r="A40" s="1"/>
      <c r="B40" s="444" t="s">
        <v>13</v>
      </c>
      <c r="C40" s="444"/>
      <c r="D40" s="1"/>
      <c r="E40" s="1"/>
      <c r="F40" s="1"/>
      <c r="G40" s="1"/>
      <c r="H40" s="1"/>
      <c r="I40" s="1"/>
      <c r="J40" s="444" t="s">
        <v>30</v>
      </c>
      <c r="K40" s="444"/>
      <c r="L40" s="1"/>
      <c r="M40" s="1"/>
    </row>
    <row r="41" spans="1:15" x14ac:dyDescent="0.25">
      <c r="A41" s="1"/>
      <c r="B41" s="1"/>
      <c r="C41" s="1"/>
      <c r="D41" s="1"/>
      <c r="E41" s="1"/>
      <c r="F41" s="1"/>
      <c r="G41" s="1"/>
      <c r="H41" s="1"/>
      <c r="I41" s="1"/>
      <c r="J41" s="1"/>
      <c r="K41" s="1"/>
      <c r="L41" s="1"/>
      <c r="M41" s="1"/>
      <c r="N41" s="1"/>
      <c r="O41" s="1"/>
    </row>
    <row r="42" spans="1:15" x14ac:dyDescent="0.25">
      <c r="A42" s="441" t="s">
        <v>10</v>
      </c>
      <c r="B42" s="451"/>
      <c r="C42" s="451"/>
      <c r="D42" s="451"/>
      <c r="E42" s="451"/>
      <c r="F42" s="442"/>
      <c r="G42" s="1"/>
      <c r="H42" s="1"/>
      <c r="I42" s="445" t="s">
        <v>26</v>
      </c>
      <c r="J42" s="445"/>
      <c r="K42" s="445"/>
      <c r="L42" s="445"/>
      <c r="M42" s="445"/>
    </row>
    <row r="43" spans="1:15" ht="30" x14ac:dyDescent="0.25">
      <c r="A43" s="445"/>
      <c r="B43" s="445"/>
      <c r="C43" s="3" t="s">
        <v>15</v>
      </c>
      <c r="D43" s="20" t="s">
        <v>17</v>
      </c>
      <c r="E43" s="20" t="s">
        <v>24</v>
      </c>
      <c r="F43" s="20" t="s">
        <v>25</v>
      </c>
      <c r="G43" s="1"/>
      <c r="H43" s="1"/>
      <c r="I43" s="448"/>
      <c r="J43" s="448"/>
      <c r="K43" s="3" t="s">
        <v>32</v>
      </c>
      <c r="L43" s="3" t="s">
        <v>34</v>
      </c>
      <c r="M43" s="3" t="s">
        <v>35</v>
      </c>
    </row>
    <row r="44" spans="1:15" x14ac:dyDescent="0.25">
      <c r="A44" s="441" t="str">
        <f>CONCATENATE("Sonde ", B23)</f>
        <v xml:space="preserve">Sonde </v>
      </c>
      <c r="B44" s="442"/>
      <c r="C44" s="10"/>
      <c r="D44" s="10"/>
      <c r="E44" s="10"/>
      <c r="F44" s="4"/>
      <c r="G44" s="1"/>
      <c r="H44" s="1"/>
      <c r="I44" s="449" t="s">
        <v>27</v>
      </c>
      <c r="J44" s="450"/>
      <c r="K44" s="10"/>
      <c r="L44" s="4"/>
      <c r="M44" s="4"/>
    </row>
    <row r="45" spans="1:15" x14ac:dyDescent="0.25">
      <c r="A45" s="441" t="str">
        <f t="shared" ref="A45:A56" si="0">CONCATENATE("Sonde ", B24)</f>
        <v xml:space="preserve">Sonde </v>
      </c>
      <c r="B45" s="442"/>
      <c r="C45" s="10"/>
      <c r="D45" s="10"/>
      <c r="E45" s="10"/>
      <c r="F45" s="4"/>
      <c r="G45" s="1"/>
      <c r="H45" s="1"/>
      <c r="I45" s="1"/>
      <c r="J45" s="1"/>
      <c r="K45" s="1"/>
      <c r="L45" s="1"/>
      <c r="M45" s="1"/>
    </row>
    <row r="46" spans="1:15" x14ac:dyDescent="0.25">
      <c r="A46" s="441" t="str">
        <f t="shared" si="0"/>
        <v xml:space="preserve">Sonde </v>
      </c>
      <c r="B46" s="442"/>
      <c r="C46" s="10"/>
      <c r="D46" s="10"/>
      <c r="E46" s="10"/>
      <c r="F46" s="4"/>
      <c r="G46" s="1"/>
      <c r="H46" s="1"/>
      <c r="I46" s="1"/>
      <c r="J46" s="1"/>
      <c r="K46" s="1"/>
      <c r="L46" s="1"/>
      <c r="M46" s="1"/>
    </row>
    <row r="47" spans="1:15" x14ac:dyDescent="0.25">
      <c r="A47" s="441" t="str">
        <f t="shared" si="0"/>
        <v xml:space="preserve">Sonde </v>
      </c>
      <c r="B47" s="442"/>
      <c r="C47" s="10"/>
      <c r="D47" s="10"/>
      <c r="E47" s="10"/>
      <c r="F47" s="4"/>
      <c r="G47" s="1"/>
      <c r="H47" s="1"/>
      <c r="I47" s="1"/>
      <c r="J47" s="1"/>
      <c r="K47" s="1"/>
      <c r="L47" s="1"/>
      <c r="M47" s="1"/>
    </row>
    <row r="48" spans="1:15" x14ac:dyDescent="0.25">
      <c r="A48" s="441" t="str">
        <f t="shared" si="0"/>
        <v xml:space="preserve">Sonde </v>
      </c>
      <c r="B48" s="442"/>
      <c r="C48" s="10"/>
      <c r="D48" s="10"/>
      <c r="E48" s="10"/>
      <c r="F48" s="4"/>
      <c r="G48" s="1"/>
      <c r="H48" s="1"/>
      <c r="I48" s="1"/>
      <c r="J48" s="1"/>
    </row>
    <row r="49" spans="1:15" x14ac:dyDescent="0.25">
      <c r="A49" s="441" t="str">
        <f t="shared" si="0"/>
        <v xml:space="preserve">Sonde </v>
      </c>
      <c r="B49" s="442"/>
      <c r="C49" s="10"/>
      <c r="D49" s="10"/>
      <c r="E49" s="10"/>
      <c r="F49" s="4"/>
      <c r="G49" s="1"/>
      <c r="H49" s="1"/>
      <c r="I49" s="1"/>
      <c r="J49" s="1"/>
    </row>
    <row r="50" spans="1:15" x14ac:dyDescent="0.25">
      <c r="A50" s="441" t="str">
        <f t="shared" si="0"/>
        <v xml:space="preserve">Sonde </v>
      </c>
      <c r="B50" s="442"/>
      <c r="C50" s="10"/>
      <c r="D50" s="10"/>
      <c r="E50" s="10"/>
      <c r="F50" s="4"/>
      <c r="G50" s="1"/>
      <c r="H50" s="1"/>
      <c r="I50" s="1"/>
      <c r="J50" s="1"/>
    </row>
    <row r="51" spans="1:15" x14ac:dyDescent="0.25">
      <c r="A51" s="441" t="str">
        <f t="shared" si="0"/>
        <v xml:space="preserve">Sonde </v>
      </c>
      <c r="B51" s="442"/>
      <c r="C51" s="10"/>
      <c r="D51" s="10"/>
      <c r="E51" s="10"/>
      <c r="F51" s="4"/>
      <c r="G51" s="1"/>
      <c r="H51" s="1"/>
      <c r="I51" s="1"/>
      <c r="J51" s="1"/>
    </row>
    <row r="52" spans="1:15" x14ac:dyDescent="0.25">
      <c r="A52" s="441" t="str">
        <f t="shared" si="0"/>
        <v xml:space="preserve">Sonde </v>
      </c>
      <c r="B52" s="442"/>
      <c r="C52" s="10"/>
      <c r="D52" s="10"/>
      <c r="E52" s="10"/>
      <c r="F52" s="4"/>
      <c r="G52" s="1"/>
      <c r="H52" s="1"/>
      <c r="I52" s="1"/>
      <c r="J52" s="1"/>
    </row>
    <row r="53" spans="1:15" x14ac:dyDescent="0.25">
      <c r="A53" s="441" t="str">
        <f t="shared" si="0"/>
        <v xml:space="preserve">Sonde </v>
      </c>
      <c r="B53" s="442"/>
      <c r="C53" s="10"/>
      <c r="D53" s="10"/>
      <c r="E53" s="10"/>
      <c r="F53" s="4"/>
      <c r="G53" s="1"/>
      <c r="H53" s="1"/>
      <c r="I53" s="1"/>
      <c r="J53" s="1"/>
    </row>
    <row r="54" spans="1:15" x14ac:dyDescent="0.25">
      <c r="A54" s="441" t="str">
        <f t="shared" si="0"/>
        <v xml:space="preserve">Sonde </v>
      </c>
      <c r="B54" s="442"/>
      <c r="C54" s="10"/>
      <c r="D54" s="10"/>
      <c r="E54" s="10"/>
      <c r="F54" s="4"/>
      <c r="G54" s="1"/>
      <c r="H54" s="1"/>
      <c r="I54" s="1"/>
      <c r="J54" s="1"/>
      <c r="K54" s="1"/>
      <c r="L54" s="1"/>
      <c r="M54" s="1"/>
    </row>
    <row r="55" spans="1:15" x14ac:dyDescent="0.25">
      <c r="A55" s="441" t="str">
        <f t="shared" si="0"/>
        <v xml:space="preserve">Sonde </v>
      </c>
      <c r="B55" s="442"/>
      <c r="C55" s="10"/>
      <c r="D55" s="10"/>
      <c r="E55" s="10"/>
      <c r="F55" s="4"/>
      <c r="G55" s="1"/>
      <c r="H55" s="1"/>
      <c r="I55" s="1"/>
      <c r="J55" s="1"/>
      <c r="K55" s="1"/>
      <c r="L55" s="1"/>
      <c r="M55" s="1"/>
    </row>
    <row r="56" spans="1:15" x14ac:dyDescent="0.25">
      <c r="A56" s="441" t="str">
        <f t="shared" si="0"/>
        <v xml:space="preserve">Sonde </v>
      </c>
      <c r="B56" s="442"/>
      <c r="C56" s="10"/>
      <c r="D56" s="10"/>
      <c r="E56" s="10"/>
      <c r="F56" s="4"/>
      <c r="G56" s="1"/>
      <c r="H56" s="1"/>
      <c r="I56" s="1"/>
      <c r="J56" s="1"/>
      <c r="K56" s="1"/>
      <c r="L56" s="1"/>
      <c r="M56" s="1"/>
      <c r="N56" s="1"/>
      <c r="O56" s="1"/>
    </row>
  </sheetData>
  <sheetProtection algorithmName="SHA-512" hashValue="yFSaRaPtKX7aBDYiSL4tIeEpAkp9OoZbI0bOYOrUmUjxhUJ9pvcbnxs2i+iYpfAOoeCklv2Kzc3l1n58eoVD2w==" saltValue="7wW8TNXXvP7e+19/e3YLIw==" spinCount="100000" sheet="1" objects="1" scenarios="1"/>
  <protectedRanges>
    <protectedRange sqref="C10" name="Donnees controleur"/>
  </protectedRanges>
  <mergeCells count="33">
    <mergeCell ref="A55:B55"/>
    <mergeCell ref="A56:B56"/>
    <mergeCell ref="A49:B49"/>
    <mergeCell ref="A50:B50"/>
    <mergeCell ref="A51:B51"/>
    <mergeCell ref="A52:B52"/>
    <mergeCell ref="A53:B53"/>
    <mergeCell ref="A54:B54"/>
    <mergeCell ref="A48:B48"/>
    <mergeCell ref="A15:B15"/>
    <mergeCell ref="B40:C40"/>
    <mergeCell ref="J40:K40"/>
    <mergeCell ref="A42:F42"/>
    <mergeCell ref="I42:M42"/>
    <mergeCell ref="A43:B43"/>
    <mergeCell ref="I43:J43"/>
    <mergeCell ref="A44:B44"/>
    <mergeCell ref="I44:J44"/>
    <mergeCell ref="A45:B45"/>
    <mergeCell ref="A46:B46"/>
    <mergeCell ref="A47:B47"/>
    <mergeCell ref="A14:B14"/>
    <mergeCell ref="B2:K3"/>
    <mergeCell ref="A5:C5"/>
    <mergeCell ref="A7:B7"/>
    <mergeCell ref="E7:F7"/>
    <mergeCell ref="A8:B8"/>
    <mergeCell ref="E8:F8"/>
    <mergeCell ref="A10:B10"/>
    <mergeCell ref="E10:F10"/>
    <mergeCell ref="A11:B11"/>
    <mergeCell ref="E11:F11"/>
    <mergeCell ref="E12:F12"/>
  </mergeCells>
  <conditionalFormatting sqref="A1:N4 A5:M5 A6:N58">
    <cfRule type="expression" dxfId="34" priority="1">
      <formula>AND(NOT(CELL("protege", A1)), A1="")</formula>
    </cfRule>
  </conditionalFormatting>
  <dataValidations count="2">
    <dataValidation type="list" allowBlank="1" showInputMessage="1" showErrorMessage="1" sqref="C15" xr:uid="{BF2A2463-3FA1-41DE-BA1C-423DBF5686F9}">
      <formula1>"Trimestrielle,Annuelle,Mensuelle"</formula1>
    </dataValidation>
    <dataValidation type="list" allowBlank="1" showInputMessage="1" showErrorMessage="1" sqref="C10" xr:uid="{8938F4D2-BB0F-4E12-A34E-6D00BA089B9D}">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lisation_TUS_OMIA">
                <anchor moveWithCells="1" sizeWithCells="1">
                  <from>
                    <xdr:col>7</xdr:col>
                    <xdr:colOff>666750</xdr:colOff>
                    <xdr:row>5</xdr:row>
                    <xdr:rowOff>38100</xdr:rowOff>
                  </from>
                  <to>
                    <xdr:col>10</xdr:col>
                    <xdr:colOff>781050</xdr:colOff>
                    <xdr:row>12</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workbookViewId="0">
      <selection activeCell="B2" sqref="B2"/>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4EBH6VQ8+/mQABgu/xO+uxz9jDnEsELGXlMgI0ao1EhTNpGiOOj+AfobbKWR+ytOc52l0li4YPRX82gayRctbA==" saltValue="9F1kGh2nCsZyk6x/QEkP0g=="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WQEn7WgCRqXAVNs1p84HRy67w5Yxd3vANxOaCdu6/HrsaSWfhfYda2XQojVamCRMb6hpZWUAuhha2qCECfOzVQ==" saltValue="MFxzDpiBivZYPs6+z7Guqw=="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topLeftCell="A13"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7Sp9mTOduKnoA1MLxRUzU7aa+imMYwAplwSp9sK8O95YMfHqgtRaYuz7To8S54xtUOd4UbPx28ZcpDzJCcn3Gw==" saltValue="zUJ53hcFLJu0tEMz4vKODg=="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1"/>
  <sheetViews>
    <sheetView workbookViewId="0">
      <selection activeCell="C53" sqref="C53:O5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4" t="str">
        <f>Mesures_Omia!B19 &amp; "°C"</f>
        <v>°C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B5" s="34" t="s">
        <v>23</v>
      </c>
      <c r="C5" s="35" t="e">
        <f>_xlfn.XLOOKUP(INT(SUBSTITUTE(C14,"Connecteur ","")),Mesures_Omia!C23:C35,Mesures_Omia!G23:G35)</f>
        <v>#N/A</v>
      </c>
      <c r="D5" s="35" t="e">
        <f>_xlfn.XLOOKUP(INT(SUBSTITUTE(D14,"Connecteur ","")),Mesures_Omia!C23:C35,Mesures_Omia!G23:G35)</f>
        <v>#N/A</v>
      </c>
      <c r="E5" s="35" t="e">
        <f>_xlfn.XLOOKUP(INT(SUBSTITUTE(E14,"Connecteur ","")),Mesures_Omia!C23:C35,Mesures_Omia!G23:G35)</f>
        <v>#N/A</v>
      </c>
      <c r="F5" s="35" t="e">
        <f>_xlfn.XLOOKUP(INT(SUBSTITUTE(F14,"Connecteur ","")),Mesures_Omia!C23:C35,Mesures_Omia!G23:G35)</f>
        <v>#N/A</v>
      </c>
      <c r="G5" s="35" t="e">
        <f>_xlfn.XLOOKUP(INT(SUBSTITUTE(G14,"Connecteur ","")),Mesures_Omia!C23:C35,Mesures_Omia!G23:G35)</f>
        <v>#N/A</v>
      </c>
      <c r="H5" s="35" t="e">
        <f>_xlfn.XLOOKUP(INT(SUBSTITUTE(H14,"Connecteur ","")),Mesures_Omia!C23:C35,Mesures_Omia!G23:G35)</f>
        <v>#N/A</v>
      </c>
      <c r="I5" s="35" t="e">
        <f>_xlfn.XLOOKUP(INT(SUBSTITUTE(I14,"Connecteur ","")),Mesures_Omia!C23:C35,Mesures_Omia!G23:G35)</f>
        <v>#N/A</v>
      </c>
      <c r="J5" s="35" t="e">
        <f>_xlfn.XLOOKUP(INT(SUBSTITUTE(J14,"Connecteur ","")),Mesures_Omia!C23:C35,Mesures_Omia!G23:G35)</f>
        <v>#N/A</v>
      </c>
      <c r="K5" s="35" t="e">
        <f>_xlfn.XLOOKUP(INT(SUBSTITUTE(K14,"Connecteur ","")),Mesures_Omia!C23:C35,Mesures_Omia!G23:G35)</f>
        <v>#N/A</v>
      </c>
      <c r="L5" s="35" t="e">
        <f>_xlfn.XLOOKUP(INT(SUBSTITUTE(L14,"Connecteur ","")),Mesures_Omia!C23:C35,Mesures_Omia!G23:G35)</f>
        <v>#N/A</v>
      </c>
      <c r="M5" s="35" t="e">
        <f>_xlfn.XLOOKUP(INT(SUBSTITUTE(M14,"Connecteur ","")),Mesures_Omia!C23:C35,Mesures_Omia!G23:G35)</f>
        <v>#N/A</v>
      </c>
      <c r="N5" s="35" t="e">
        <f>_xlfn.XLOOKUP(INT(SUBSTITUTE(N14,"Connecteur ","")),Mesures_Omia!C23:C35,Mesures_Omia!G23:G35)</f>
        <v>#N/A</v>
      </c>
      <c r="O5" s="35" t="e">
        <f>_xlfn.XLOOKUP(INT(SUBSTITUTE(O14,"Connecteur ","")),Mesures_Omia!C23:C35,Mesures_Omia!G23:G35)</f>
        <v>#N/A</v>
      </c>
      <c r="P5" s="33"/>
    </row>
    <row r="6" spans="1:19" s="27" customFormat="1" x14ac:dyDescent="0.25">
      <c r="B6" s="34" t="s">
        <v>87</v>
      </c>
      <c r="C6" s="35" t="e">
        <f>_xlfn.XLOOKUP(INT(SUBSTITUTE(C14,"Connecteur ","")),Mesures_Omia!C23:C35,Mesures_Omia!D23:D35)</f>
        <v>#N/A</v>
      </c>
      <c r="D6" s="35" t="e">
        <f>_xlfn.XLOOKUP(INT(SUBSTITUTE(D14,"Connecteur ","")),Mesures_Omia!C23:C35,Mesures_Omia!D23:D35)</f>
        <v>#N/A</v>
      </c>
      <c r="E6" s="35" t="e">
        <f>_xlfn.XLOOKUP(INT(SUBSTITUTE(E14,"Connecteur ","")),Mesures_Omia!C23:C35,Mesures_Omia!D23:D35)</f>
        <v>#N/A</v>
      </c>
      <c r="F6" s="35" t="e">
        <f>_xlfn.XLOOKUP(INT(SUBSTITUTE(F14,"Connecteur ","")),Mesures_Omia!C23:C35,Mesures_Omia!D23:D35)</f>
        <v>#N/A</v>
      </c>
      <c r="G6" s="35" t="e">
        <f>_xlfn.XLOOKUP(INT(SUBSTITUTE(G14,"Connecteur ","")),Mesures_Omia!C23:C35,Mesures_Omia!D23:D35)</f>
        <v>#N/A</v>
      </c>
      <c r="H6" s="35" t="e">
        <f>_xlfn.XLOOKUP(INT(SUBSTITUTE(H14,"Connecteur ","")),Mesures_Omia!C23:C35,Mesures_Omia!D23:D35)</f>
        <v>#N/A</v>
      </c>
      <c r="I6" s="35" t="e">
        <f>_xlfn.XLOOKUP(INT(SUBSTITUTE(I14,"Connecteur ","")),Mesures_Omia!C23:C35,Mesures_Omia!D23:D35)</f>
        <v>#N/A</v>
      </c>
      <c r="J6" s="35" t="e">
        <f>_xlfn.XLOOKUP(INT(SUBSTITUTE(J14,"Connecteur ","")),Mesures_Omia!C23:C35,Mesures_Omia!D23:D35)</f>
        <v>#N/A</v>
      </c>
      <c r="K6" s="35" t="e">
        <f>_xlfn.XLOOKUP(INT(SUBSTITUTE(K14,"Connecteur ","")),Mesures_Omia!C23:C35,Mesures_Omia!D23:D35)</f>
        <v>#N/A</v>
      </c>
      <c r="L6" s="35" t="e">
        <f>_xlfn.XLOOKUP(INT(SUBSTITUTE(L14,"Connecteur ","")),Mesures_Omia!C23:C35,Mesures_Omia!D23:D35)</f>
        <v>#N/A</v>
      </c>
      <c r="M6" s="35" t="e">
        <f>_xlfn.XLOOKUP(INT(SUBSTITUTE(M14,"Connecteur ","")),Mesures_Omia!C23:C35,Mesures_Omia!D23:D35)</f>
        <v>#N/A</v>
      </c>
      <c r="N6" s="35" t="e">
        <f>_xlfn.XLOOKUP(INT(SUBSTITUTE(N14,"Connecteur ","")),Mesures_Omia!C23:C35,Mesures_Omia!D23:D35)</f>
        <v>#N/A</v>
      </c>
      <c r="O6" s="35" t="e">
        <f>_xlfn.XLOOKUP(INT(SUBSTITUTE(O14,"Connecteur ","")),Mesures_Omia!C23:C35,Mesures_Omia!D23:D35)</f>
        <v>#N/A</v>
      </c>
      <c r="P6" s="33"/>
    </row>
    <row r="7" spans="1:19" s="27" customFormat="1" x14ac:dyDescent="0.25">
      <c r="P7" s="33"/>
    </row>
    <row r="8" spans="1:19" s="27" customFormat="1" x14ac:dyDescent="0.25">
      <c r="P8" s="33"/>
    </row>
    <row r="9" spans="1:19" s="27" customFormat="1" x14ac:dyDescent="0.25">
      <c r="A9" s="371" t="s">
        <v>88</v>
      </c>
      <c r="B9" s="371"/>
      <c r="C9" s="371"/>
      <c r="D9" s="371"/>
      <c r="E9" s="371"/>
      <c r="F9" s="371"/>
      <c r="G9" s="371"/>
      <c r="H9" s="371"/>
      <c r="I9" s="371"/>
      <c r="J9" s="371"/>
      <c r="K9" s="371"/>
      <c r="L9" s="371"/>
      <c r="M9" s="371"/>
      <c r="N9" s="371"/>
      <c r="P9" s="33"/>
      <c r="R9" s="499"/>
      <c r="S9" s="499"/>
    </row>
    <row r="10" spans="1:19" s="27" customFormat="1" x14ac:dyDescent="0.25">
      <c r="A10" s="502"/>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Donnees_Brutes_Omia_1[Date/Heure]</f>
        <v>0</v>
      </c>
      <c r="C11" s="130" t="e" cm="1">
        <f t="array" ref="C11:O11">Donnees_Brutes_Omia_1[[Connecteur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1" t="s">
        <v>89</v>
      </c>
      <c r="B12" s="179"/>
      <c r="C12" s="191"/>
      <c r="D12" s="191"/>
      <c r="E12" s="191"/>
      <c r="F12" s="191"/>
      <c r="G12" s="191"/>
      <c r="H12" s="191"/>
      <c r="I12" s="191"/>
      <c r="J12" s="191"/>
      <c r="K12" s="191"/>
      <c r="L12" s="191"/>
      <c r="M12" s="191"/>
      <c r="N12" s="191"/>
      <c r="O12" s="191"/>
      <c r="P12" s="33"/>
    </row>
    <row r="13" spans="1:19" s="33" customFormat="1" x14ac:dyDescent="0.25">
      <c r="A13" s="501"/>
      <c r="B13" s="501"/>
      <c r="C13" s="501"/>
      <c r="D13" s="501"/>
      <c r="E13" s="501"/>
      <c r="F13" s="501"/>
      <c r="G13" s="501"/>
      <c r="H13" s="501"/>
      <c r="I13" s="501"/>
      <c r="J13" s="501"/>
      <c r="K13" s="501"/>
      <c r="L13" s="501"/>
      <c r="M13" s="501"/>
      <c r="N13" s="501"/>
      <c r="O13" s="501"/>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42" t="s">
        <v>91</v>
      </c>
      <c r="C15" s="43" t="e">
        <f>MAX(C11:C11)</f>
        <v>#N/A</v>
      </c>
      <c r="D15" s="43" t="e">
        <f>MAX(D11:D11)</f>
        <v>#N/A</v>
      </c>
      <c r="E15" s="43" t="e">
        <f>MAX(E11:E11)</f>
        <v>#N/A</v>
      </c>
      <c r="F15" s="43" t="e">
        <f>MAX(F11:F11)</f>
        <v>#N/A</v>
      </c>
      <c r="G15" s="43" t="e">
        <f>MAX(G11:G11)</f>
        <v>#N/A</v>
      </c>
      <c r="H15" s="43" t="e">
        <f>MAX(H11:H11)</f>
        <v>#N/A</v>
      </c>
      <c r="I15" s="43" t="e">
        <f>MAX(I11:I11)</f>
        <v>#N/A</v>
      </c>
      <c r="J15" s="43" t="e">
        <f>MAX(J11:J11)</f>
        <v>#N/A</v>
      </c>
      <c r="K15" s="43" t="e">
        <f>MAX(K11:K11)</f>
        <v>#N/A</v>
      </c>
      <c r="L15" s="43" t="e">
        <f>MAX(L11:L11)</f>
        <v>#N/A</v>
      </c>
      <c r="M15" s="43" t="e">
        <f>MAX(M11:M11)</f>
        <v>#N/A</v>
      </c>
      <c r="N15" s="43" t="e">
        <f>MAX(N11:N11)</f>
        <v>#N/A</v>
      </c>
      <c r="O15" s="43" t="e">
        <f>MAX(O11:O11)</f>
        <v>#N/A</v>
      </c>
      <c r="P15" s="48">
        <f>S15+Mesures_Omia!B20</f>
        <v>0</v>
      </c>
      <c r="Q15" s="33"/>
      <c r="R15" s="36" t="s">
        <v>7</v>
      </c>
      <c r="S15" s="48">
        <f>Mesures_Omia!B19</f>
        <v>0</v>
      </c>
    </row>
    <row r="16" spans="1:19" s="27" customFormat="1" x14ac:dyDescent="0.25">
      <c r="B16" s="42" t="s">
        <v>93</v>
      </c>
      <c r="C16" s="43" t="e">
        <f>MIN(C11:C11)</f>
        <v>#N/A</v>
      </c>
      <c r="D16" s="43" t="e">
        <f>MIN(D11:D11)</f>
        <v>#N/A</v>
      </c>
      <c r="E16" s="43" t="e">
        <f>MIN(E11:E11)</f>
        <v>#N/A</v>
      </c>
      <c r="F16" s="43" t="e">
        <f>MIN(F11:F11)</f>
        <v>#N/A</v>
      </c>
      <c r="G16" s="43" t="e">
        <f>MIN(G11:G11)</f>
        <v>#N/A</v>
      </c>
      <c r="H16" s="43" t="e">
        <f>MIN(H11:H11)</f>
        <v>#N/A</v>
      </c>
      <c r="I16" s="43" t="e">
        <f>MIN(I11:I11)</f>
        <v>#N/A</v>
      </c>
      <c r="J16" s="43" t="e">
        <f>MIN(J11:J11)</f>
        <v>#N/A</v>
      </c>
      <c r="K16" s="43" t="e">
        <f>MIN(K11:K11)</f>
        <v>#N/A</v>
      </c>
      <c r="L16" s="43" t="e">
        <f>MIN(L11:L11)</f>
        <v>#N/A</v>
      </c>
      <c r="M16" s="43" t="e">
        <f>MIN(M11:M11)</f>
        <v>#N/A</v>
      </c>
      <c r="N16" s="43" t="e">
        <f>MIN(N11:N11)</f>
        <v>#N/A</v>
      </c>
      <c r="O16" s="43" t="e">
        <f>MIN(O11:O11)</f>
        <v>#N/A</v>
      </c>
      <c r="P16" s="48">
        <f>S15-Mesures_Omia!B20</f>
        <v>0</v>
      </c>
      <c r="Q16" s="33"/>
      <c r="R16" s="36" t="s">
        <v>92</v>
      </c>
      <c r="S16" s="35" t="str">
        <f>"+" &amp; Mesures_Omia!B20 &amp; "°C"</f>
        <v>+°C</v>
      </c>
    </row>
    <row r="17" spans="2:19" s="27" customFormat="1" x14ac:dyDescent="0.25">
      <c r="B17" s="42" t="s">
        <v>95</v>
      </c>
      <c r="C17" s="43" t="e">
        <f>AVERAGE(C11:C11)</f>
        <v>#N/A</v>
      </c>
      <c r="D17" s="43" t="e">
        <f>AVERAGE(D11:D11)</f>
        <v>#N/A</v>
      </c>
      <c r="E17" s="43" t="e">
        <f>AVERAGE(E11:E11)</f>
        <v>#N/A</v>
      </c>
      <c r="F17" s="43" t="e">
        <f>AVERAGE(F11:F11)</f>
        <v>#N/A</v>
      </c>
      <c r="G17" s="43" t="e">
        <f>AVERAGE(G11:G11)</f>
        <v>#N/A</v>
      </c>
      <c r="H17" s="43" t="e">
        <f>AVERAGE(H11:H11)</f>
        <v>#N/A</v>
      </c>
      <c r="I17" s="43" t="e">
        <f>AVERAGE(I11:I11)</f>
        <v>#N/A</v>
      </c>
      <c r="J17" s="43" t="e">
        <f>AVERAGE(J11:J11)</f>
        <v>#N/A</v>
      </c>
      <c r="K17" s="43" t="e">
        <f>AVERAGE(K11:K11)</f>
        <v>#N/A</v>
      </c>
      <c r="L17" s="43" t="e">
        <f>AVERAGE(L11:L11)</f>
        <v>#N/A</v>
      </c>
      <c r="M17" s="43" t="e">
        <f>AVERAGE(M11:M11)</f>
        <v>#N/A</v>
      </c>
      <c r="N17" s="43" t="e">
        <f>AVERAGE(N11:N11)</f>
        <v>#N/A</v>
      </c>
      <c r="O17" s="43" t="e">
        <f>AVERAGE(O11:O11)</f>
        <v>#N/A</v>
      </c>
      <c r="P17" s="33"/>
      <c r="Q17" s="33"/>
      <c r="R17" s="36" t="s">
        <v>94</v>
      </c>
      <c r="S17" s="35" t="str">
        <f>"-" &amp; Mesures_Omia!B20 &amp; "°C"</f>
        <v>-°C</v>
      </c>
    </row>
    <row r="18" spans="2:19" s="27" customFormat="1" x14ac:dyDescent="0.25">
      <c r="B18" s="42" t="s">
        <v>96</v>
      </c>
      <c r="C18" s="45" t="e">
        <f>C15-C16</f>
        <v>#N/A</v>
      </c>
      <c r="D18" s="45" t="e">
        <f t="shared" ref="D18:O18" si="0">D15-D16</f>
        <v>#N/A</v>
      </c>
      <c r="E18" s="45" t="e">
        <f t="shared" si="0"/>
        <v>#N/A</v>
      </c>
      <c r="F18" s="45" t="e">
        <f t="shared" si="0"/>
        <v>#N/A</v>
      </c>
      <c r="G18" s="45" t="e">
        <f t="shared" si="0"/>
        <v>#N/A</v>
      </c>
      <c r="H18" s="45" t="e">
        <f t="shared" si="0"/>
        <v>#N/A</v>
      </c>
      <c r="I18" s="45" t="e">
        <f t="shared" si="0"/>
        <v>#N/A</v>
      </c>
      <c r="J18" s="45" t="e">
        <f t="shared" si="0"/>
        <v>#N/A</v>
      </c>
      <c r="K18" s="45" t="e">
        <f t="shared" si="0"/>
        <v>#N/A</v>
      </c>
      <c r="L18" s="45" t="e">
        <f t="shared" si="0"/>
        <v>#N/A</v>
      </c>
      <c r="M18" s="45" t="e">
        <f t="shared" si="0"/>
        <v>#N/A</v>
      </c>
      <c r="N18" s="45" t="e">
        <f t="shared" si="0"/>
        <v>#N/A</v>
      </c>
      <c r="O18" s="45" t="e">
        <f t="shared" si="0"/>
        <v>#N/A</v>
      </c>
      <c r="P18" s="33"/>
    </row>
    <row r="19" spans="2:19" s="27" customFormat="1" x14ac:dyDescent="0.25">
      <c r="B19" s="42" t="s">
        <v>97</v>
      </c>
      <c r="C19" s="489" t="e">
        <f>ABS(MAX(C15:O15)-MIN(C16:O16))</f>
        <v>#N/A</v>
      </c>
      <c r="D19" s="490"/>
      <c r="E19" s="490"/>
      <c r="F19" s="490"/>
      <c r="G19" s="490"/>
      <c r="H19" s="490"/>
      <c r="I19" s="490"/>
      <c r="J19" s="490"/>
      <c r="K19" s="490"/>
      <c r="L19" s="490"/>
      <c r="M19" s="490"/>
      <c r="N19" s="490"/>
      <c r="O19" s="491"/>
      <c r="P19" s="33"/>
    </row>
    <row r="20" spans="2:19" s="27" customFormat="1" x14ac:dyDescent="0.25">
      <c r="B20" s="42" t="s">
        <v>98</v>
      </c>
      <c r="C20" s="489" t="e">
        <f>AVERAGE(C17:O17)</f>
        <v>#N/A</v>
      </c>
      <c r="D20" s="490"/>
      <c r="E20" s="490"/>
      <c r="F20" s="490"/>
      <c r="G20" s="490"/>
      <c r="H20" s="490"/>
      <c r="I20" s="490"/>
      <c r="J20" s="490"/>
      <c r="K20" s="490"/>
      <c r="L20" s="490"/>
      <c r="M20" s="490"/>
      <c r="N20" s="490"/>
      <c r="O20" s="491"/>
      <c r="P20" s="33"/>
    </row>
    <row r="21" spans="2:19" s="27" customFormat="1" x14ac:dyDescent="0.25">
      <c r="B21" s="36" t="s">
        <v>99</v>
      </c>
      <c r="C21" s="46" t="e">
        <f ca="1">STDEV(OFFSET(INDEX(Donnees_Brutes_Omia_1[Connecteur 1],1),COUNT(Donnees_Brutes_Omia_1[Connecteur 1])-30,0,30))+C5+C6</f>
        <v>#REF!</v>
      </c>
      <c r="D21" s="46" t="e">
        <f ca="1">STDEV(OFFSET(INDEX(Donnees_Brutes_Omia_1[Connecteur 2],1),COUNT(Donnees_Brutes_Omia_1[Connecteur 2])-30,0,30))+D5+D6</f>
        <v>#REF!</v>
      </c>
      <c r="E21" s="46" t="e">
        <f ca="1">STDEV(OFFSET(INDEX(Donnees_Brutes_Omia_1[Connecteur 3],1),COUNT(Donnees_Brutes_Omia_1[Connecteur 3])-30,0,30))+E5+E6</f>
        <v>#REF!</v>
      </c>
      <c r="F21" s="46" t="e">
        <f ca="1">STDEV(OFFSET(INDEX(Donnees_Brutes_Omia_1[Connecteur 4],1),COUNT(Donnees_Brutes_Omia_1[Connecteur 4])-30,0,30))+F5+F6</f>
        <v>#REF!</v>
      </c>
      <c r="G21" s="46" t="e">
        <f ca="1">STDEV(OFFSET(INDEX(Donnees_Brutes_Omia_1[Connecteur 5],1),COUNT(Donnees_Brutes_Omia_1[Connecteur 5])-30,0,30))+G5+G6</f>
        <v>#REF!</v>
      </c>
      <c r="H21" s="46" t="e">
        <f ca="1">STDEV(OFFSET(INDEX(Donnees_Brutes_Omia_1[Connecteur 6],1),COUNT(Donnees_Brutes_Omia_1[Connecteur 6])-30,0,30))+H5+H6</f>
        <v>#REF!</v>
      </c>
      <c r="I21" s="46" t="e">
        <f ca="1">STDEV(OFFSET(INDEX(Donnees_Brutes_Omia_1[Connecteur 7],1),COUNT(Donnees_Brutes_Omia_1[Connecteur 7])-30,0,30))+I5+I6</f>
        <v>#REF!</v>
      </c>
      <c r="J21" s="46" t="e">
        <f ca="1">STDEV(OFFSET(INDEX(Donnees_Brutes_Omia_1[Connecteur 8],1),COUNT(Donnees_Brutes_Omia_1[Connecteur 8])-30,0,30))+J5+J6</f>
        <v>#REF!</v>
      </c>
      <c r="K21" s="46" t="e">
        <f ca="1">STDEV(OFFSET(INDEX(Donnees_Brutes_Omia_1[Connecteur 9],1),COUNT(Donnees_Brutes_Omia_1[Connecteur 9])-30,0,30))+K5+K6</f>
        <v>#REF!</v>
      </c>
      <c r="L21" s="46" t="e">
        <f ca="1">STDEV(OFFSET(INDEX(Donnees_Brutes_Omia_1[Connecteur 10],1),COUNT(Donnees_Brutes_Omia_1[Connecteur 10])-30,0,30))+L5+L6</f>
        <v>#REF!</v>
      </c>
      <c r="M21" s="46" t="e">
        <f ca="1">STDEV(OFFSET(INDEX(Donnees_Brutes_Omia_1[Connecteur 11],1),COUNT(Donnees_Brutes_Omia_1[Connecteur 11])-30,0,30))+M5+M6</f>
        <v>#REF!</v>
      </c>
      <c r="N21" s="46" t="e">
        <f ca="1">STDEV(OFFSET(INDEX(Donnees_Brutes_Omia_1[Connecteur 12],1),COUNT(Donnees_Brutes_Omia_1[Connecteur 12])-30,0,30))+N5+N6</f>
        <v>#REF!</v>
      </c>
      <c r="O21" s="46" t="e">
        <f ca="1">STDEV(OFFSET(INDEX(Donnees_Brutes_Omia_1[Connecteur 13],1),COUNT(Donnees_Brutes_Omia_1[Connecteur 13])-30,0,30))+O5+O6</f>
        <v>#REF!</v>
      </c>
      <c r="P21" s="33"/>
    </row>
    <row r="22" spans="2:19" s="27" customFormat="1" x14ac:dyDescent="0.25">
      <c r="B22"/>
      <c r="C22"/>
      <c r="D22"/>
      <c r="E22"/>
      <c r="F22"/>
      <c r="G22"/>
      <c r="H22"/>
      <c r="I22"/>
      <c r="J22"/>
      <c r="K22"/>
      <c r="L22"/>
      <c r="M22"/>
      <c r="N22"/>
      <c r="O22"/>
      <c r="P22"/>
    </row>
    <row r="51" spans="3:3" x14ac:dyDescent="0.25">
      <c r="C51" s="27"/>
    </row>
  </sheetData>
  <sheetProtection algorithmName="SHA-512" hashValue="euag2gJSyCm/CZsa2j4SNt8h3VWJbPZl5TRhZF4f84yM28mdpji0N/hmIokgBI0Erdl5nITnIuJBsvTOYjYPhw==" saltValue="IvtmEh1LHLBrKNvkba8enw==" spinCount="100000" sheet="1" objects="1" scenarios="1"/>
  <dataConsolidate/>
  <mergeCells count="5">
    <mergeCell ref="C20:O20"/>
    <mergeCell ref="A1:S3"/>
    <mergeCell ref="A9:N9"/>
    <mergeCell ref="C19:O19"/>
    <mergeCell ref="A13:O13"/>
  </mergeCells>
  <conditionalFormatting sqref="C15:O15">
    <cfRule type="cellIs" dxfId="33" priority="1" operator="greaterThan">
      <formula>$P$15</formula>
    </cfRule>
  </conditionalFormatting>
  <conditionalFormatting sqref="C16:O16">
    <cfRule type="cellIs" dxfId="32" priority="2" operator="lessThan">
      <formula>$P$16</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3"/>
  <sheetViews>
    <sheetView topLeftCell="A37" workbookViewId="0">
      <selection activeCell="C69" sqref="C69:O69"/>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ht="46.5" customHeight="1" x14ac:dyDescent="0.25">
      <c r="A1" s="454" t="str">
        <f>Mesures_Omia!C19 &amp; "°C"</f>
        <v>°C</v>
      </c>
      <c r="B1" s="454"/>
      <c r="C1" s="454"/>
      <c r="D1" s="454"/>
      <c r="E1" s="454"/>
      <c r="F1" s="454"/>
      <c r="G1" s="454"/>
      <c r="H1" s="454"/>
      <c r="I1" s="454"/>
      <c r="J1" s="454"/>
      <c r="K1" s="454"/>
      <c r="L1" s="454"/>
      <c r="M1" s="454"/>
      <c r="N1" s="454"/>
      <c r="O1" s="454"/>
      <c r="P1" s="454"/>
      <c r="Q1" s="454"/>
      <c r="R1" s="454"/>
      <c r="S1" s="454"/>
    </row>
    <row r="2" spans="1:19" s="27" customFormat="1" ht="15" customHeight="1" x14ac:dyDescent="0.25">
      <c r="A2" s="323"/>
      <c r="B2" s="323"/>
      <c r="C2" s="323"/>
      <c r="D2" s="323"/>
      <c r="E2" s="323"/>
      <c r="F2" s="323"/>
      <c r="G2" s="323"/>
      <c r="H2" s="323"/>
      <c r="I2" s="323"/>
      <c r="J2" s="323"/>
      <c r="K2" s="323"/>
      <c r="L2" s="323"/>
      <c r="M2" s="323"/>
      <c r="N2" s="323"/>
      <c r="O2" s="323"/>
      <c r="P2" s="323"/>
      <c r="Q2" s="323"/>
      <c r="R2" s="323"/>
      <c r="S2" s="323"/>
    </row>
    <row r="3" spans="1:19" s="27" customFormat="1" ht="15" customHeight="1" x14ac:dyDescent="0.25">
      <c r="A3" s="323"/>
      <c r="B3" s="323"/>
      <c r="C3" s="323"/>
      <c r="D3" s="323"/>
      <c r="E3" s="323"/>
      <c r="F3" s="323"/>
      <c r="G3" s="323"/>
      <c r="H3" s="323"/>
      <c r="I3" s="323"/>
      <c r="J3" s="323"/>
      <c r="K3" s="323"/>
      <c r="L3" s="323"/>
      <c r="M3" s="323"/>
      <c r="N3" s="323"/>
      <c r="O3" s="323"/>
      <c r="P3" s="323"/>
      <c r="Q3" s="323"/>
      <c r="R3" s="323"/>
      <c r="S3" s="323"/>
    </row>
    <row r="4" spans="1:19" s="27" customFormat="1" x14ac:dyDescent="0.25">
      <c r="P4" s="33"/>
    </row>
    <row r="5" spans="1:19" s="27" customFormat="1" x14ac:dyDescent="0.25">
      <c r="B5" s="34" t="s">
        <v>23</v>
      </c>
      <c r="C5" s="35" t="e">
        <f>_xlfn.XLOOKUP(INT(SUBSTITUTE(C14,"Connecteur ","")),Mesures_Omia!C23:C35,Mesures_Omia!E23:E35)</f>
        <v>#N/A</v>
      </c>
      <c r="D5" s="35" t="e">
        <f>_xlfn.XLOOKUP(INT(SUBSTITUTE(D14,"Connecteur ","")),Mesures_Omia!C23:C35,Mesures_Omia!E23:E35)</f>
        <v>#N/A</v>
      </c>
      <c r="E5" s="35" t="e">
        <f>_xlfn.XLOOKUP(INT(SUBSTITUTE(E14,"Connecteur ","")),Mesures_Omia!C23:C35,Mesures_Omia!E23:E35)</f>
        <v>#N/A</v>
      </c>
      <c r="F5" s="35" t="e">
        <f>_xlfn.XLOOKUP(INT(SUBSTITUTE(F14,"Connecteur ","")),Mesures_Omia!C23:C35,Mesures_Omia!E23:E35)</f>
        <v>#N/A</v>
      </c>
      <c r="G5" s="35" t="e">
        <f>_xlfn.XLOOKUP(INT(SUBSTITUTE(G14,"Connecteur ","")),Mesures_Omia!C23:C35,Mesures_Omia!E23:E35)</f>
        <v>#N/A</v>
      </c>
      <c r="H5" s="35" t="e">
        <f>_xlfn.XLOOKUP(INT(SUBSTITUTE(H14,"Connecteur ","")),Mesures_Omia!C23:C35,Mesures_Omia!E23:E35)</f>
        <v>#N/A</v>
      </c>
      <c r="I5" s="35" t="e">
        <f>_xlfn.XLOOKUP(INT(SUBSTITUTE(I14,"Connecteur ","")),Mesures_Omia!C23:C35,Mesures_Omia!E23:E35)</f>
        <v>#N/A</v>
      </c>
      <c r="J5" s="35" t="e">
        <f>_xlfn.XLOOKUP(INT(SUBSTITUTE(J14,"Connecteur ","")),Mesures_Omia!C23:C35,Mesures_Omia!E23:E35)</f>
        <v>#N/A</v>
      </c>
      <c r="K5" s="35" t="e">
        <f>_xlfn.XLOOKUP(INT(SUBSTITUTE(K14,"Connecteur ","")),Mesures_Omia!C23:C35,Mesures_Omia!E23:E35)</f>
        <v>#N/A</v>
      </c>
      <c r="L5" s="35" t="e">
        <f>_xlfn.XLOOKUP(INT(SUBSTITUTE(L14,"Connecteur ","")),Mesures_Omia!C23:C35,Mesures_Omia!E23:E35)</f>
        <v>#N/A</v>
      </c>
      <c r="M5" s="35" t="e">
        <f>_xlfn.XLOOKUP(INT(SUBSTITUTE(M14,"Connecteur ","")),Mesures_Omia!C23:C35,Mesures_Omia!E23:E35)</f>
        <v>#N/A</v>
      </c>
      <c r="N5" s="35" t="e">
        <f>_xlfn.XLOOKUP(INT(SUBSTITUTE(N14,"Connecteur ","")),Mesures_Omia!C23:C35,Mesures_Omia!E23:E35)</f>
        <v>#N/A</v>
      </c>
      <c r="O5" s="35" t="e">
        <f>_xlfn.XLOOKUP(INT(SUBSTITUTE(O14,"Connecteur ","")),Mesures_Omia!C23:C35,Mesures_Omia!E23:E35)</f>
        <v>#N/A</v>
      </c>
      <c r="P5" s="33"/>
    </row>
    <row r="6" spans="1:19" s="27" customFormat="1" x14ac:dyDescent="0.25">
      <c r="B6" s="34" t="s">
        <v>87</v>
      </c>
      <c r="C6" s="35" t="e">
        <f>_xlfn.XLOOKUP(INT(SUBSTITUTE(C14,"Connecteur ","")),Mesures_Omia!C23:C35,Mesures_Omia!H23:H35)</f>
        <v>#N/A</v>
      </c>
      <c r="D6" s="35" t="e">
        <f>_xlfn.XLOOKUP(INT(SUBSTITUTE(D14,"Connecteur ","")),Mesures_Omia!C23:C35,Mesures_Omia!H23:H35)</f>
        <v>#N/A</v>
      </c>
      <c r="E6" s="35" t="e">
        <f>_xlfn.XLOOKUP(INT(SUBSTITUTE(E14,"Connecteur ","")),Mesures_Omia!C23:C35,Mesures_Omia!H23:H35)</f>
        <v>#N/A</v>
      </c>
      <c r="F6" s="35" t="e">
        <f>_xlfn.XLOOKUP(INT(SUBSTITUTE(F14,"Connecteur ","")),Mesures_Omia!C23:C35,Mesures_Omia!H23:H35)</f>
        <v>#N/A</v>
      </c>
      <c r="G6" s="35" t="e">
        <f>_xlfn.XLOOKUP(INT(SUBSTITUTE(G14,"Connecteur ","")),Mesures_Omia!C23:C35,Mesures_Omia!H23:H35)</f>
        <v>#N/A</v>
      </c>
      <c r="H6" s="35" t="e">
        <f>_xlfn.XLOOKUP(INT(SUBSTITUTE(H14,"Connecteur ","")),Mesures_Omia!C23:C35,Mesures_Omia!H23:H35)</f>
        <v>#N/A</v>
      </c>
      <c r="I6" s="35" t="e">
        <f>_xlfn.XLOOKUP(INT(SUBSTITUTE(I14,"Connecteur ","")),Mesures_Omia!C23:C35,Mesures_Omia!H23:H35)</f>
        <v>#N/A</v>
      </c>
      <c r="J6" s="35" t="e">
        <f>_xlfn.XLOOKUP(INT(SUBSTITUTE(J14,"Connecteur ","")),Mesures_Omia!C23:C35,Mesures_Omia!H23:H35)</f>
        <v>#N/A</v>
      </c>
      <c r="K6" s="35" t="e">
        <f>_xlfn.XLOOKUP(INT(SUBSTITUTE(K14,"Connecteur ","")),Mesures_Omia!C23:C35,Mesures_Omia!H23:H35)</f>
        <v>#N/A</v>
      </c>
      <c r="L6" s="35" t="e">
        <f>_xlfn.XLOOKUP(INT(SUBSTITUTE(L14,"Connecteur ","")),Mesures_Omia!C23:C35,Mesures_Omia!H23:H35)</f>
        <v>#N/A</v>
      </c>
      <c r="M6" s="35" t="e">
        <f>_xlfn.XLOOKUP(INT(SUBSTITUTE(M14,"Connecteur ","")),Mesures_Omia!C23:C35,Mesures_Omia!H23:H35)</f>
        <v>#N/A</v>
      </c>
      <c r="N6" s="35" t="e">
        <f>_xlfn.XLOOKUP(INT(SUBSTITUTE(N14,"Connecteur ","")),Mesures_Omia!C23:C35,Mesures_Omia!H23:H35)</f>
        <v>#N/A</v>
      </c>
      <c r="O6" s="35" t="e">
        <f>_xlfn.XLOOKUP(INT(SUBSTITUTE(O14,"Connecteur ","")),Mesures_Omia!C23:C35,Mesures_Omia!H23:H35)</f>
        <v>#N/A</v>
      </c>
      <c r="P6" s="33"/>
    </row>
    <row r="7" spans="1:19" s="27" customFormat="1" x14ac:dyDescent="0.25">
      <c r="P7" s="33"/>
    </row>
    <row r="8" spans="1:19" s="27" customFormat="1" x14ac:dyDescent="0.25">
      <c r="P8" s="33"/>
    </row>
    <row r="9" spans="1:19" s="27" customFormat="1" x14ac:dyDescent="0.25">
      <c r="A9" s="338" t="s">
        <v>88</v>
      </c>
      <c r="B9" s="338"/>
      <c r="C9" s="338"/>
      <c r="D9" s="338"/>
      <c r="E9" s="338"/>
      <c r="F9" s="338"/>
      <c r="G9" s="338"/>
      <c r="H9" s="338"/>
      <c r="I9" s="338"/>
      <c r="J9" s="338"/>
      <c r="K9" s="338"/>
      <c r="L9" s="338"/>
      <c r="M9" s="338"/>
      <c r="N9" s="338"/>
      <c r="O9" s="338"/>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Donnees_Brutes_Omia_2[Date/Heure]</f>
        <v>0</v>
      </c>
      <c r="C11" s="130" t="e" cm="1">
        <f t="array" ref="C11:O11">Donnees_Brutes_Omia_2[[Connecteur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1" t="s">
        <v>89</v>
      </c>
      <c r="B12" s="179"/>
      <c r="C12" s="191"/>
      <c r="D12" s="191"/>
      <c r="E12" s="191"/>
      <c r="F12" s="191"/>
      <c r="G12" s="191"/>
      <c r="H12" s="191"/>
      <c r="I12" s="191"/>
      <c r="J12" s="191"/>
      <c r="K12" s="191"/>
      <c r="L12" s="191"/>
      <c r="M12" s="191"/>
      <c r="N12" s="191"/>
      <c r="O12" s="191"/>
      <c r="P12" s="33"/>
    </row>
    <row r="13" spans="1:19" s="33" customFormat="1" x14ac:dyDescent="0.25">
      <c r="A13" s="500"/>
      <c r="B13" s="500"/>
      <c r="C13" s="500"/>
      <c r="D13" s="500"/>
      <c r="E13" s="500"/>
      <c r="F13" s="500"/>
      <c r="G13" s="500"/>
      <c r="H13" s="500"/>
      <c r="I13" s="500"/>
      <c r="J13" s="500"/>
      <c r="K13" s="500"/>
      <c r="L13" s="500"/>
      <c r="M13" s="500"/>
      <c r="N13" s="500"/>
      <c r="O13" s="500"/>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36" t="str">
        <v>Connecteur 13</v>
      </c>
      <c r="P14" s="33"/>
      <c r="Q14" s="27"/>
      <c r="R14" s="27"/>
    </row>
    <row r="15" spans="1:19" x14ac:dyDescent="0.25">
      <c r="A15" s="27"/>
      <c r="B15" s="42" t="s">
        <v>91</v>
      </c>
      <c r="C15" s="43" t="e">
        <f>MAX(C11:C12)</f>
        <v>#N/A</v>
      </c>
      <c r="D15" s="43" t="e">
        <f>MAX(D11:D12)</f>
        <v>#N/A</v>
      </c>
      <c r="E15" s="43" t="e">
        <f>MAX(E11:E12)</f>
        <v>#N/A</v>
      </c>
      <c r="F15" s="43" t="e">
        <f>MAX(F11:F12)</f>
        <v>#N/A</v>
      </c>
      <c r="G15" s="43" t="e">
        <f>MAX(G11:G12)</f>
        <v>#N/A</v>
      </c>
      <c r="H15" s="43" t="e">
        <f>MAX(H11:H12)</f>
        <v>#N/A</v>
      </c>
      <c r="I15" s="43" t="e">
        <f>MAX(I11:I12)</f>
        <v>#N/A</v>
      </c>
      <c r="J15" s="43" t="e">
        <f>MAX(J11:J12)</f>
        <v>#N/A</v>
      </c>
      <c r="K15" s="43" t="e">
        <f>MAX(K11:K12)</f>
        <v>#N/A</v>
      </c>
      <c r="L15" s="43" t="e">
        <f>MAX(L11:L12)</f>
        <v>#N/A</v>
      </c>
      <c r="M15" s="43" t="e">
        <f>MAX(M11:M12)</f>
        <v>#N/A</v>
      </c>
      <c r="N15" s="43" t="e">
        <f>MAX(N11:N12)</f>
        <v>#N/A</v>
      </c>
      <c r="O15" s="43" t="e">
        <f>MAX(O11:O12)</f>
        <v>#N/A</v>
      </c>
      <c r="P15" s="48">
        <f>S15+Mesures_Omia!B20</f>
        <v>0</v>
      </c>
      <c r="Q15" s="33"/>
      <c r="R15" s="36" t="s">
        <v>7</v>
      </c>
      <c r="S15" s="48">
        <f>Mesures_Omia!C19</f>
        <v>0</v>
      </c>
    </row>
    <row r="16" spans="1:19" s="27" customFormat="1" x14ac:dyDescent="0.25">
      <c r="B16" s="42" t="s">
        <v>93</v>
      </c>
      <c r="C16" s="43" t="e">
        <f>MIN(C11:C12)</f>
        <v>#N/A</v>
      </c>
      <c r="D16" s="43" t="e">
        <f>MIN(D11:D12)</f>
        <v>#N/A</v>
      </c>
      <c r="E16" s="43" t="e">
        <f>MIN(E11:E12)</f>
        <v>#N/A</v>
      </c>
      <c r="F16" s="43" t="e">
        <f>MIN(F11:F12)</f>
        <v>#N/A</v>
      </c>
      <c r="G16" s="43" t="e">
        <f>MIN(G11:G12)</f>
        <v>#N/A</v>
      </c>
      <c r="H16" s="43" t="e">
        <f>MIN(H11:H12)</f>
        <v>#N/A</v>
      </c>
      <c r="I16" s="43" t="e">
        <f>MIN(I11:I12)</f>
        <v>#N/A</v>
      </c>
      <c r="J16" s="43" t="e">
        <f>MIN(J11:J12)</f>
        <v>#N/A</v>
      </c>
      <c r="K16" s="43" t="e">
        <f>MIN(K11:K12)</f>
        <v>#N/A</v>
      </c>
      <c r="L16" s="43" t="e">
        <f>MIN(L11:L12)</f>
        <v>#N/A</v>
      </c>
      <c r="M16" s="43" t="e">
        <f>MIN(M11:M12)</f>
        <v>#N/A</v>
      </c>
      <c r="N16" s="43" t="e">
        <f>MIN(N11:N12)</f>
        <v>#N/A</v>
      </c>
      <c r="O16" s="43" t="e">
        <f>MIN(O11:O12)</f>
        <v>#N/A</v>
      </c>
      <c r="P16" s="48">
        <f>S15-Mesures_Omia!B20</f>
        <v>0</v>
      </c>
      <c r="Q16" s="33"/>
      <c r="R16" s="36" t="s">
        <v>92</v>
      </c>
      <c r="S16" s="35" t="str">
        <f>"+" &amp; Mesures_Omia!B20 &amp; "°C"</f>
        <v>+°C</v>
      </c>
    </row>
    <row r="17" spans="1:19" s="27" customFormat="1" x14ac:dyDescent="0.25">
      <c r="B17" s="42" t="s">
        <v>95</v>
      </c>
      <c r="C17" s="43" t="e">
        <f>AVERAGE(C11:C12)</f>
        <v>#N/A</v>
      </c>
      <c r="D17" s="43" t="e">
        <f>AVERAGE(D11:D12)</f>
        <v>#N/A</v>
      </c>
      <c r="E17" s="43" t="e">
        <f>AVERAGE(E11:E12)</f>
        <v>#N/A</v>
      </c>
      <c r="F17" s="43" t="e">
        <f>AVERAGE(F11:F12)</f>
        <v>#N/A</v>
      </c>
      <c r="G17" s="43" t="e">
        <f>AVERAGE(G11:G12)</f>
        <v>#N/A</v>
      </c>
      <c r="H17" s="43" t="e">
        <f>AVERAGE(H11:H12)</f>
        <v>#N/A</v>
      </c>
      <c r="I17" s="43" t="e">
        <f>AVERAGE(I11:I12)</f>
        <v>#N/A</v>
      </c>
      <c r="J17" s="43" t="e">
        <f>AVERAGE(J11:J12)</f>
        <v>#N/A</v>
      </c>
      <c r="K17" s="43" t="e">
        <f>AVERAGE(K11:K12)</f>
        <v>#N/A</v>
      </c>
      <c r="L17" s="43" t="e">
        <f>AVERAGE(L11:L12)</f>
        <v>#N/A</v>
      </c>
      <c r="M17" s="43" t="e">
        <f>AVERAGE(M11:M12)</f>
        <v>#N/A</v>
      </c>
      <c r="N17" s="43" t="e">
        <f>AVERAGE(N11:N12)</f>
        <v>#N/A</v>
      </c>
      <c r="O17" s="43" t="e">
        <f>AVERAGE(O11:O12)</f>
        <v>#N/A</v>
      </c>
      <c r="P17" s="44"/>
      <c r="Q17" s="33"/>
      <c r="R17" s="36" t="s">
        <v>94</v>
      </c>
      <c r="S17" s="35" t="str">
        <f>"-" &amp; Mesures_Omia!B20 &amp; "°C"</f>
        <v>-°C</v>
      </c>
    </row>
    <row r="18" spans="1:19" s="27" customFormat="1" x14ac:dyDescent="0.25">
      <c r="B18" s="42" t="s">
        <v>96</v>
      </c>
      <c r="C18" s="45" t="e">
        <f>C15-C16</f>
        <v>#N/A</v>
      </c>
      <c r="D18" s="45" t="e">
        <f t="shared" ref="D18:O18" si="0">D15-D16</f>
        <v>#N/A</v>
      </c>
      <c r="E18" s="45" t="e">
        <f t="shared" si="0"/>
        <v>#N/A</v>
      </c>
      <c r="F18" s="45" t="e">
        <f t="shared" si="0"/>
        <v>#N/A</v>
      </c>
      <c r="G18" s="45" t="e">
        <f t="shared" si="0"/>
        <v>#N/A</v>
      </c>
      <c r="H18" s="45" t="e">
        <f t="shared" si="0"/>
        <v>#N/A</v>
      </c>
      <c r="I18" s="45" t="e">
        <f t="shared" si="0"/>
        <v>#N/A</v>
      </c>
      <c r="J18" s="45" t="e">
        <f t="shared" si="0"/>
        <v>#N/A</v>
      </c>
      <c r="K18" s="45" t="e">
        <f t="shared" si="0"/>
        <v>#N/A</v>
      </c>
      <c r="L18" s="45" t="e">
        <f t="shared" si="0"/>
        <v>#N/A</v>
      </c>
      <c r="M18" s="45" t="e">
        <f t="shared" si="0"/>
        <v>#N/A</v>
      </c>
      <c r="N18" s="45" t="e">
        <f t="shared" si="0"/>
        <v>#N/A</v>
      </c>
      <c r="O18" s="45" t="e">
        <f t="shared" si="0"/>
        <v>#N/A</v>
      </c>
      <c r="P18" s="33"/>
    </row>
    <row r="19" spans="1:19" s="27" customFormat="1" x14ac:dyDescent="0.25">
      <c r="B19" s="42" t="s">
        <v>97</v>
      </c>
      <c r="C19" s="489" t="e">
        <f>ABS(MAX(C15:N15)-MIN(C16:N16))</f>
        <v>#N/A</v>
      </c>
      <c r="D19" s="490"/>
      <c r="E19" s="490"/>
      <c r="F19" s="490"/>
      <c r="G19" s="490"/>
      <c r="H19" s="490"/>
      <c r="I19" s="490"/>
      <c r="J19" s="490"/>
      <c r="K19" s="490"/>
      <c r="L19" s="490"/>
      <c r="M19" s="490"/>
      <c r="N19" s="490"/>
      <c r="O19" s="491"/>
      <c r="P19" s="33"/>
    </row>
    <row r="20" spans="1:19" s="27" customFormat="1" x14ac:dyDescent="0.25">
      <c r="B20" s="42" t="s">
        <v>98</v>
      </c>
      <c r="C20" s="489" t="e">
        <f>AVERAGE(C17:N17)</f>
        <v>#N/A</v>
      </c>
      <c r="D20" s="490"/>
      <c r="E20" s="490"/>
      <c r="F20" s="490"/>
      <c r="G20" s="490"/>
      <c r="H20" s="490"/>
      <c r="I20" s="490"/>
      <c r="J20" s="490"/>
      <c r="K20" s="490"/>
      <c r="L20" s="490"/>
      <c r="M20" s="490"/>
      <c r="N20" s="490"/>
      <c r="O20" s="491"/>
      <c r="P20" s="33"/>
    </row>
    <row r="21" spans="1:19" s="27" customFormat="1" x14ac:dyDescent="0.25">
      <c r="B21" s="36" t="s">
        <v>99</v>
      </c>
      <c r="C21" s="46" t="e">
        <f ca="1">STDEV(OFFSET(INDEX(Donnees_Brutes_Omia_2[Connecteur 1],1),COUNT(Donnees_Brutes_Omia_2[Connecteur 1])-30,0,30))+C5+C6</f>
        <v>#REF!</v>
      </c>
      <c r="D21" s="46" t="e">
        <f ca="1">STDEV(OFFSET(INDEX(Donnees_Brutes_Omia_2[Connecteur 2],1),COUNT(Donnees_Brutes_Omia_2[Connecteur 2])-30,0,30))+D5+D6</f>
        <v>#REF!</v>
      </c>
      <c r="E21" s="46" t="e">
        <f ca="1">STDEV(OFFSET(INDEX(Donnees_Brutes_Omia_2[Connecteur 3],1),COUNT(Donnees_Brutes_Omia_2[Connecteur 3])-30,0,30))+E5+E6</f>
        <v>#REF!</v>
      </c>
      <c r="F21" s="46" t="e">
        <f ca="1">STDEV(OFFSET(INDEX(Donnees_Brutes_Omia_2[Connecteur 4],1),COUNT(Donnees_Brutes_Omia_2[Connecteur 4])-30,0,30))+F5+F6</f>
        <v>#REF!</v>
      </c>
      <c r="G21" s="46" t="e">
        <f ca="1">STDEV(OFFSET(INDEX(Donnees_Brutes_Omia_2[Connecteur 5],1),COUNT(Donnees_Brutes_Omia_2[Connecteur 5])-30,0,30))+G5+G6</f>
        <v>#REF!</v>
      </c>
      <c r="H21" s="46" t="e">
        <f ca="1">STDEV(OFFSET(INDEX(Donnees_Brutes_Omia_2[Connecteur 6],1),COUNT(Donnees_Brutes_Omia_2[Connecteur 6])-30,0,30))+H5+H6</f>
        <v>#REF!</v>
      </c>
      <c r="I21" s="46" t="e">
        <f ca="1">STDEV(OFFSET(INDEX(Donnees_Brutes_Omia_2[Connecteur 7],1),COUNT(Donnees_Brutes_Omia_2[Connecteur 7])-30,0,30))+I5+I6</f>
        <v>#REF!</v>
      </c>
      <c r="J21" s="46" t="e">
        <f ca="1">STDEV(OFFSET(INDEX(Donnees_Brutes_Omia_2[Connecteur 8],1),COUNT(Donnees_Brutes_Omia_2[Connecteur 8])-30,0,30))+J5+J6</f>
        <v>#REF!</v>
      </c>
      <c r="K21" s="46" t="e">
        <f ca="1">STDEV(OFFSET(INDEX(Donnees_Brutes_Omia_2[Connecteur 9],1),COUNT(Donnees_Brutes_Omia_2[Connecteur 9])-30,0,30))+K5+K6</f>
        <v>#REF!</v>
      </c>
      <c r="L21" s="46" t="e">
        <f ca="1">STDEV(OFFSET(INDEX(Donnees_Brutes_Omia_2[Connecteur 10],1),COUNT(Donnees_Brutes_Omia_2[Connecteur 10])-30,0,30))+L5+L6</f>
        <v>#REF!</v>
      </c>
      <c r="M21" s="46" t="e">
        <f ca="1">STDEV(OFFSET(INDEX(Donnees_Brutes_Omia_2[Connecteur 11],1),COUNT(Donnees_Brutes_Omia_2[Connecteur 11])-30,0,30))+M5+M6</f>
        <v>#REF!</v>
      </c>
      <c r="N21" s="46" t="e">
        <f ca="1">STDEV(OFFSET(INDEX(Donnees_Brutes_Omia_2[Connecteur 12],1),COUNT(Donnees_Brutes_Omia_2[Connecteur 12])-30,0,30))+N5+N6</f>
        <v>#REF!</v>
      </c>
      <c r="O21" s="46" t="e">
        <f ca="1">STDEV(OFFSET(INDEX(Donnees_Brutes_Omia_2[Connecteur 13],1),COUNT(Donnees_Brutes_Omia_2[Connecteur 13])-30,0,30))+O5+O6</f>
        <v>#REF!</v>
      </c>
      <c r="P21" s="33"/>
    </row>
    <row r="22" spans="1:19" s="27" customFormat="1" x14ac:dyDescent="0.25">
      <c r="A22"/>
      <c r="B22"/>
      <c r="C22"/>
      <c r="D22"/>
      <c r="E22"/>
      <c r="F22"/>
      <c r="G22"/>
      <c r="H22"/>
      <c r="I22"/>
      <c r="J22"/>
      <c r="K22"/>
      <c r="L22"/>
      <c r="M22"/>
      <c r="N22"/>
      <c r="O22"/>
      <c r="P22"/>
      <c r="Q22"/>
      <c r="R22"/>
    </row>
    <row r="23" spans="1:19" s="27" customFormat="1" x14ac:dyDescent="0.25"/>
  </sheetData>
  <sheetProtection algorithmName="SHA-512" hashValue="Th9JTBMEA0utw8wYIbK7is8kcK6lSbWT2kBtPcEg2dHWlzVde+PlZgbrb1ENS+qluYrf9CJDbOOAGWXcv11afw==" saltValue="7z2qR5sk43mpHcbyoLm7Ng==" spinCount="100000" sheet="1" objects="1" scenarios="1"/>
  <dataConsolidate/>
  <mergeCells count="5">
    <mergeCell ref="C19:O19"/>
    <mergeCell ref="C20:O20"/>
    <mergeCell ref="A1:S1"/>
    <mergeCell ref="A9:O9"/>
    <mergeCell ref="A13:O13"/>
  </mergeCells>
  <conditionalFormatting sqref="C15:O15">
    <cfRule type="cellIs" dxfId="31" priority="2" operator="greaterThan">
      <formula>$P$15</formula>
    </cfRule>
    <cfRule type="cellIs" dxfId="30" priority="3" operator="greaterThan">
      <formula>$P$15</formula>
    </cfRule>
  </conditionalFormatting>
  <conditionalFormatting sqref="C16:O16">
    <cfRule type="cellIs" dxfId="29" priority="1" operator="lessThan">
      <formula>$P$16</formula>
    </cfRule>
    <cfRule type="cellIs" dxfId="28" priority="4" operator="lessThan">
      <formula>$P$16</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2"/>
  <sheetViews>
    <sheetView topLeftCell="A46" workbookViewId="0">
      <selection activeCell="C64" sqref="C64:P64"/>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5.28515625" bestFit="1" customWidth="1"/>
  </cols>
  <sheetData>
    <row r="1" spans="1:19" s="27" customFormat="1" x14ac:dyDescent="0.25">
      <c r="A1" s="454" t="str">
        <f>Mesures_Omia!D19 &amp; "°C"</f>
        <v>°C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A5" s="146"/>
      <c r="B5" s="34" t="s">
        <v>23</v>
      </c>
      <c r="C5" s="35" t="e">
        <f>_xlfn.XLOOKUP(INT(SUBSTITUTE(C14,"Connecteur ","")),Mesures_Omia!C23:C35,Mesures_Omia!I23:I35)</f>
        <v>#N/A</v>
      </c>
      <c r="D5" s="35" t="e">
        <f>_xlfn.XLOOKUP(INT(SUBSTITUTE(D14,"Connecteur ","")),Mesures_Omia!C23:C35,Mesures_Omia!I23:I35)</f>
        <v>#N/A</v>
      </c>
      <c r="E5" s="35" t="e">
        <f>_xlfn.XLOOKUP(INT(SUBSTITUTE(E14,"Connecteur ","")),Mesures_Omia!C23:C35,Mesures_Omia!I23:I35)</f>
        <v>#N/A</v>
      </c>
      <c r="F5" s="35" t="e">
        <f>_xlfn.XLOOKUP(INT(SUBSTITUTE(F14,"Connecteur ","")),Mesures_Omia!C23:C35,Mesures_Omia!I23:I35)</f>
        <v>#N/A</v>
      </c>
      <c r="G5" s="35" t="e">
        <f>_xlfn.XLOOKUP(INT(SUBSTITUTE(G14,"Connecteur ","")),Mesures_Omia!C23:C35,Mesures_Omia!I23:I35)</f>
        <v>#N/A</v>
      </c>
      <c r="H5" s="35" t="e">
        <f>_xlfn.XLOOKUP(INT(SUBSTITUTE(H14,"Connecteur ","")),Mesures_Omia!C23:C35,Mesures_Omia!I23:I35)</f>
        <v>#N/A</v>
      </c>
      <c r="I5" s="35" t="e">
        <f>_xlfn.XLOOKUP(INT(SUBSTITUTE(I14,"Connecteur ","")),Mesures_Omia!C23:C35,Mesures_Omia!I23:I35)</f>
        <v>#N/A</v>
      </c>
      <c r="J5" s="35" t="e">
        <f>_xlfn.XLOOKUP(INT(SUBSTITUTE(J14,"Connecteur ","")),Mesures_Omia!C23:C35,Mesures_Omia!I23:I35)</f>
        <v>#N/A</v>
      </c>
      <c r="K5" s="35" t="e">
        <f>_xlfn.XLOOKUP(INT(SUBSTITUTE(K14,"Connecteur ","")),Mesures_Omia!C23:C35,Mesures_Omia!I23:I35)</f>
        <v>#N/A</v>
      </c>
      <c r="L5" s="35" t="e">
        <f>_xlfn.XLOOKUP(INT(SUBSTITUTE(L14,"Connecteur ","")),Mesures_Omia!C23:C35,Mesures_Omia!I23:I35)</f>
        <v>#N/A</v>
      </c>
      <c r="M5" s="35" t="e">
        <f>_xlfn.XLOOKUP(INT(SUBSTITUTE(M14,"Connecteur ","")),Mesures_Omia!C23:C35,Mesures_Omia!I23:I35)</f>
        <v>#N/A</v>
      </c>
      <c r="N5" s="35" t="e">
        <f>_xlfn.XLOOKUP(INT(SUBSTITUTE(N14,"Connecteur ","")),Mesures_Omia!C23:C35,Mesures_Omia!I23:I35)</f>
        <v>#N/A</v>
      </c>
      <c r="O5" s="35" t="e">
        <f>_xlfn.XLOOKUP(INT(SUBSTITUTE(O14,"Connecteur ","")),Mesures_Omia!C23:C35,Mesures_Omia!I23:I35)</f>
        <v>#N/A</v>
      </c>
      <c r="P5" s="33"/>
    </row>
    <row r="6" spans="1:19" s="27" customFormat="1" x14ac:dyDescent="0.25">
      <c r="A6" s="146"/>
      <c r="B6" s="34" t="s">
        <v>87</v>
      </c>
      <c r="C6" s="35" t="e">
        <f>_xlfn.XLOOKUP(INT(SUBSTITUTE(C14,"Connecteur ","")),Mesures_Omia!C23:C35,Mesures_Omia!F23:F35)</f>
        <v>#N/A</v>
      </c>
      <c r="D6" s="35" t="e">
        <f>_xlfn.XLOOKUP(INT(SUBSTITUTE(D14,"Connecteur ","")),Mesures_Omia!C23:C35,Mesures_Omia!F23:F35)</f>
        <v>#N/A</v>
      </c>
      <c r="E6" s="35" t="e">
        <f>_xlfn.XLOOKUP(INT(SUBSTITUTE(E14,"Connecteur ","")),Mesures_Omia!C23:C35,Mesures_Omia!F23:F35)</f>
        <v>#N/A</v>
      </c>
      <c r="F6" s="35" t="e">
        <f>_xlfn.XLOOKUP(INT(SUBSTITUTE(F14,"Connecteur ","")),Mesures_Omia!C23:C35,Mesures_Omia!F23:F35)</f>
        <v>#N/A</v>
      </c>
      <c r="G6" s="35" t="e">
        <f>_xlfn.XLOOKUP(INT(SUBSTITUTE(G14,"Connecteur ","")),Mesures_Omia!C23:C35,Mesures_Omia!F23:F35)</f>
        <v>#N/A</v>
      </c>
      <c r="H6" s="35" t="e">
        <f>_xlfn.XLOOKUP(INT(SUBSTITUTE(H14,"Connecteur ","")),Mesures_Omia!C23:C35,Mesures_Omia!F23:F35)</f>
        <v>#N/A</v>
      </c>
      <c r="I6" s="35" t="e">
        <f>_xlfn.XLOOKUP(INT(SUBSTITUTE(I14,"Connecteur ","")),Mesures_Omia!C23:C35,Mesures_Omia!F23:F35)</f>
        <v>#N/A</v>
      </c>
      <c r="J6" s="35" t="e">
        <f>_xlfn.XLOOKUP(INT(SUBSTITUTE(J14,"Connecteur ","")),Mesures_Omia!C23:C35,Mesures_Omia!F23:F35)</f>
        <v>#N/A</v>
      </c>
      <c r="K6" s="35" t="e">
        <f>_xlfn.XLOOKUP(INT(SUBSTITUTE(K14,"Connecteur ","")),Mesures_Omia!C23:C35,Mesures_Omia!F23:F35)</f>
        <v>#N/A</v>
      </c>
      <c r="L6" s="35" t="e">
        <f>_xlfn.XLOOKUP(INT(SUBSTITUTE(L14,"Connecteur ","")),Mesures_Omia!C23:C35,Mesures_Omia!F23:F35)</f>
        <v>#N/A</v>
      </c>
      <c r="M6" s="35" t="e">
        <f>_xlfn.XLOOKUP(INT(SUBSTITUTE(M14,"Connecteur ","")),Mesures_Omia!C23:C35,Mesures_Omia!F23:F35)</f>
        <v>#N/A</v>
      </c>
      <c r="N6" s="35" t="e">
        <f>_xlfn.XLOOKUP(INT(SUBSTITUTE(N14,"Connecteur ","")),Mesures_Omia!C23:C35,Mesures_Omia!F23:F35)</f>
        <v>#N/A</v>
      </c>
      <c r="O6" s="35" t="e">
        <f>_xlfn.XLOOKUP(INT(SUBSTITUTE(O14,"Connecteur ","")),Mesures_Omia!C23:C35,Mesures_Omia!F23:F35)</f>
        <v>#N/A</v>
      </c>
      <c r="P6" s="33"/>
    </row>
    <row r="7" spans="1:19" s="27" customFormat="1" x14ac:dyDescent="0.25">
      <c r="P7" s="33"/>
    </row>
    <row r="8" spans="1:19" s="27" customFormat="1" x14ac:dyDescent="0.25">
      <c r="P8" s="33"/>
    </row>
    <row r="9" spans="1:19" s="27" customFormat="1" x14ac:dyDescent="0.25">
      <c r="A9" s="338" t="s">
        <v>88</v>
      </c>
      <c r="B9" s="338"/>
      <c r="C9" s="338"/>
      <c r="D9" s="338"/>
      <c r="E9" s="338"/>
      <c r="F9" s="338"/>
      <c r="G9" s="338"/>
      <c r="H9" s="338"/>
      <c r="I9" s="338"/>
      <c r="J9" s="338"/>
      <c r="K9" s="338"/>
      <c r="L9" s="338"/>
      <c r="M9" s="338"/>
      <c r="N9" s="338"/>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Donnees_Brutes_Omia_3[Date/Heure]</f>
        <v>0</v>
      </c>
      <c r="C11" s="130" t="e" cm="1">
        <f t="array" ref="C11:O11">Donnees_Brutes_Omia_3[[Connecteur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1" t="s">
        <v>89</v>
      </c>
      <c r="B12" s="179"/>
      <c r="C12" s="191"/>
      <c r="D12" s="191"/>
      <c r="E12" s="191"/>
      <c r="F12" s="191"/>
      <c r="G12" s="191"/>
      <c r="H12" s="191"/>
      <c r="I12" s="191"/>
      <c r="J12" s="191"/>
      <c r="K12" s="191"/>
      <c r="L12" s="191"/>
      <c r="M12" s="191"/>
      <c r="N12" s="191"/>
      <c r="O12" s="191"/>
      <c r="P12" s="33"/>
    </row>
    <row r="13" spans="1:19" s="33" customFormat="1" x14ac:dyDescent="0.25">
      <c r="A13" s="500"/>
      <c r="B13" s="500"/>
      <c r="C13" s="500"/>
      <c r="D13" s="500"/>
      <c r="E13" s="500"/>
      <c r="F13" s="500"/>
      <c r="G13" s="500"/>
      <c r="H13" s="500"/>
      <c r="I13" s="500"/>
      <c r="J13" s="500"/>
      <c r="K13" s="500"/>
      <c r="L13" s="500"/>
      <c r="M13" s="500"/>
      <c r="N13" s="500"/>
      <c r="O13" s="500"/>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36" t="str">
        <v>Connecteur 13</v>
      </c>
      <c r="P14" s="33"/>
    </row>
    <row r="15" spans="1:19" s="27" customFormat="1" x14ac:dyDescent="0.25">
      <c r="B15" s="42" t="s">
        <v>91</v>
      </c>
      <c r="C15" s="43" t="e">
        <f>MAX(C11:C11)</f>
        <v>#N/A</v>
      </c>
      <c r="D15" s="43" t="e">
        <f>MAX(D11:D11)</f>
        <v>#N/A</v>
      </c>
      <c r="E15" s="43" t="e">
        <f>MAX(E11:E11)</f>
        <v>#N/A</v>
      </c>
      <c r="F15" s="43" t="e">
        <f>MAX(F11:F11)</f>
        <v>#N/A</v>
      </c>
      <c r="G15" s="43" t="e">
        <f>MAX(G11:G11)</f>
        <v>#N/A</v>
      </c>
      <c r="H15" s="43" t="e">
        <f>MAX(H11:H11)</f>
        <v>#N/A</v>
      </c>
      <c r="I15" s="43" t="e">
        <f>MAX(I11:I11)</f>
        <v>#N/A</v>
      </c>
      <c r="J15" s="43" t="e">
        <f>MAX(J11:J11)</f>
        <v>#N/A</v>
      </c>
      <c r="K15" s="43" t="e">
        <f>MAX(K11:K11)</f>
        <v>#N/A</v>
      </c>
      <c r="L15" s="43" t="e">
        <f>MAX(L11:L11)</f>
        <v>#N/A</v>
      </c>
      <c r="M15" s="43" t="e">
        <f>MAX(M11:M11)</f>
        <v>#N/A</v>
      </c>
      <c r="N15" s="43" t="e">
        <f>MAX(N11:N11)</f>
        <v>#N/A</v>
      </c>
      <c r="O15" s="43" t="e">
        <f>MAX(O11:O11)</f>
        <v>#N/A</v>
      </c>
      <c r="P15" s="48">
        <f>S15+Mesures_Omia!B20</f>
        <v>0</v>
      </c>
      <c r="Q15" s="33"/>
      <c r="R15" s="36" t="s">
        <v>7</v>
      </c>
      <c r="S15" s="48">
        <f>Mesures_Omia!D19</f>
        <v>0</v>
      </c>
    </row>
    <row r="16" spans="1:19" s="27" customFormat="1" x14ac:dyDescent="0.25">
      <c r="B16" s="42" t="s">
        <v>93</v>
      </c>
      <c r="C16" s="43" t="e">
        <f>MIN(C11:C11)</f>
        <v>#N/A</v>
      </c>
      <c r="D16" s="43" t="e">
        <f>MIN(D11:D11)</f>
        <v>#N/A</v>
      </c>
      <c r="E16" s="43" t="e">
        <f>MIN(E11:E11)</f>
        <v>#N/A</v>
      </c>
      <c r="F16" s="43" t="e">
        <f>MIN(F11:F11)</f>
        <v>#N/A</v>
      </c>
      <c r="G16" s="43" t="e">
        <f>MIN(G11:G11)</f>
        <v>#N/A</v>
      </c>
      <c r="H16" s="43" t="e">
        <f>MIN(H11:H11)</f>
        <v>#N/A</v>
      </c>
      <c r="I16" s="43" t="e">
        <f>MIN(I11:I11)</f>
        <v>#N/A</v>
      </c>
      <c r="J16" s="43" t="e">
        <f>MIN(J11:J11)</f>
        <v>#N/A</v>
      </c>
      <c r="K16" s="43" t="e">
        <f>MIN(K11:K11)</f>
        <v>#N/A</v>
      </c>
      <c r="L16" s="43" t="e">
        <f>MIN(L11:L11)</f>
        <v>#N/A</v>
      </c>
      <c r="M16" s="43" t="e">
        <f>MIN(M11:M11)</f>
        <v>#N/A</v>
      </c>
      <c r="N16" s="43" t="e">
        <f>MIN(N11:N11)</f>
        <v>#N/A</v>
      </c>
      <c r="O16" s="43" t="e">
        <f>MIN(O11:O11)</f>
        <v>#N/A</v>
      </c>
      <c r="P16" s="48">
        <f>S15-Mesures_Omia!B20</f>
        <v>0</v>
      </c>
      <c r="Q16" s="33"/>
      <c r="R16" s="36" t="s">
        <v>92</v>
      </c>
      <c r="S16" s="35" t="str">
        <f>"+" &amp; Mesures_Omia!B20 &amp; "°C"</f>
        <v>+°C</v>
      </c>
    </row>
    <row r="17" spans="1:19" s="27" customFormat="1" x14ac:dyDescent="0.25">
      <c r="B17" s="42" t="s">
        <v>95</v>
      </c>
      <c r="C17" s="43" t="e">
        <f>AVERAGE(C11:C11)</f>
        <v>#N/A</v>
      </c>
      <c r="D17" s="43" t="e">
        <f>AVERAGE(D11:D11)</f>
        <v>#N/A</v>
      </c>
      <c r="E17" s="43" t="e">
        <f>AVERAGE(E11:E11)</f>
        <v>#N/A</v>
      </c>
      <c r="F17" s="43" t="e">
        <f>AVERAGE(F11:F11)</f>
        <v>#N/A</v>
      </c>
      <c r="G17" s="43" t="e">
        <f>AVERAGE(G11:G11)</f>
        <v>#N/A</v>
      </c>
      <c r="H17" s="43" t="e">
        <f>AVERAGE(H11:H11)</f>
        <v>#N/A</v>
      </c>
      <c r="I17" s="43" t="e">
        <f>AVERAGE(I11:I11)</f>
        <v>#N/A</v>
      </c>
      <c r="J17" s="43" t="e">
        <f>AVERAGE(J11:J11)</f>
        <v>#N/A</v>
      </c>
      <c r="K17" s="43" t="e">
        <f>AVERAGE(K11:K11)</f>
        <v>#N/A</v>
      </c>
      <c r="L17" s="43" t="e">
        <f>AVERAGE(L11:L11)</f>
        <v>#N/A</v>
      </c>
      <c r="M17" s="43" t="e">
        <f>AVERAGE(M11:M11)</f>
        <v>#N/A</v>
      </c>
      <c r="N17" s="43" t="e">
        <f>AVERAGE(N11:N11)</f>
        <v>#N/A</v>
      </c>
      <c r="O17" s="43" t="e">
        <f>AVERAGE(O11:O11)</f>
        <v>#N/A</v>
      </c>
      <c r="P17" s="33"/>
      <c r="Q17" s="33"/>
      <c r="R17" s="36" t="s">
        <v>94</v>
      </c>
      <c r="S17" s="35" t="str">
        <f>"-" &amp; Mesures_Omia!B20 &amp; "°C"</f>
        <v>-°C</v>
      </c>
    </row>
    <row r="18" spans="1:19" s="27" customFormat="1" x14ac:dyDescent="0.25">
      <c r="B18" s="42" t="s">
        <v>96</v>
      </c>
      <c r="C18" s="45" t="e">
        <f>C15-C16</f>
        <v>#N/A</v>
      </c>
      <c r="D18" s="45" t="e">
        <f>D15-D16</f>
        <v>#N/A</v>
      </c>
      <c r="E18" s="45" t="e">
        <f t="shared" ref="E18:O18" si="0">E15-E16</f>
        <v>#N/A</v>
      </c>
      <c r="F18" s="45" t="e">
        <f t="shared" si="0"/>
        <v>#N/A</v>
      </c>
      <c r="G18" s="45" t="e">
        <f t="shared" si="0"/>
        <v>#N/A</v>
      </c>
      <c r="H18" s="45" t="e">
        <f t="shared" si="0"/>
        <v>#N/A</v>
      </c>
      <c r="I18" s="45" t="e">
        <f t="shared" si="0"/>
        <v>#N/A</v>
      </c>
      <c r="J18" s="45" t="e">
        <f t="shared" si="0"/>
        <v>#N/A</v>
      </c>
      <c r="K18" s="45" t="e">
        <f t="shared" si="0"/>
        <v>#N/A</v>
      </c>
      <c r="L18" s="45" t="e">
        <f t="shared" si="0"/>
        <v>#N/A</v>
      </c>
      <c r="M18" s="45" t="e">
        <f t="shared" si="0"/>
        <v>#N/A</v>
      </c>
      <c r="N18" s="45" t="e">
        <f t="shared" si="0"/>
        <v>#N/A</v>
      </c>
      <c r="O18" s="45" t="e">
        <f t="shared" si="0"/>
        <v>#N/A</v>
      </c>
      <c r="P18" s="33"/>
    </row>
    <row r="19" spans="1:19" s="27" customFormat="1" x14ac:dyDescent="0.25">
      <c r="B19" s="42" t="s">
        <v>97</v>
      </c>
      <c r="C19" s="489" t="e">
        <f>ABS(MAX(C15:N15)-MIN(C16:N16))</f>
        <v>#N/A</v>
      </c>
      <c r="D19" s="490"/>
      <c r="E19" s="490"/>
      <c r="F19" s="490"/>
      <c r="G19" s="490"/>
      <c r="H19" s="490"/>
      <c r="I19" s="490"/>
      <c r="J19" s="490"/>
      <c r="K19" s="490"/>
      <c r="L19" s="490"/>
      <c r="M19" s="490"/>
      <c r="N19" s="490"/>
      <c r="O19" s="490"/>
      <c r="P19" s="491"/>
    </row>
    <row r="20" spans="1:19" s="27" customFormat="1" x14ac:dyDescent="0.25">
      <c r="B20" s="42" t="s">
        <v>98</v>
      </c>
      <c r="C20" s="489" t="e">
        <f>AVERAGE(C17:N17)</f>
        <v>#N/A</v>
      </c>
      <c r="D20" s="490"/>
      <c r="E20" s="490"/>
      <c r="F20" s="490"/>
      <c r="G20" s="490"/>
      <c r="H20" s="490"/>
      <c r="I20" s="490"/>
      <c r="J20" s="490"/>
      <c r="K20" s="490"/>
      <c r="L20" s="490"/>
      <c r="M20" s="490"/>
      <c r="N20" s="490"/>
      <c r="O20" s="490"/>
      <c r="P20" s="491"/>
    </row>
    <row r="21" spans="1:19" s="27" customFormat="1" x14ac:dyDescent="0.25">
      <c r="B21" s="36" t="s">
        <v>99</v>
      </c>
      <c r="C21" s="46" t="e">
        <f ca="1">STDEV(OFFSET(INDEX(Donnees_Brutes_Omia_3[Connecteur 1],1),COUNT(Donnees_Brutes_Omia_3[Connecteur 1])-30,0,30))+C5+C6</f>
        <v>#REF!</v>
      </c>
      <c r="D21" s="46" t="e">
        <f ca="1">STDEV(OFFSET(INDEX(Donnees_Brutes_Omia_3[Connecteur 2],1),COUNT(Donnees_Brutes_Omia_3[Connecteur 2])-30,0,30))+D5+D6</f>
        <v>#REF!</v>
      </c>
      <c r="E21" s="46" t="e">
        <f ca="1">STDEV(OFFSET(INDEX(Donnees_Brutes_Omia_3[Connecteur 3],1),COUNT(Donnees_Brutes_Omia_3[Connecteur 3])-30,0,30))+E5+E6</f>
        <v>#REF!</v>
      </c>
      <c r="F21" s="46" t="e">
        <f ca="1">STDEV(OFFSET(INDEX(Donnees_Brutes_Omia_3[Connecteur 4],1),COUNT(Donnees_Brutes_Omia_3[Connecteur 4])-30,0,30))+F5+F6</f>
        <v>#REF!</v>
      </c>
      <c r="G21" s="46" t="e">
        <f ca="1">STDEV(OFFSET(INDEX(Donnees_Brutes_Omia_3[Connecteur 5],1),COUNT(Donnees_Brutes_Omia_3[Connecteur 5])-30,0,30))+G5+G6</f>
        <v>#REF!</v>
      </c>
      <c r="H21" s="46" t="e">
        <f ca="1">STDEV(OFFSET(INDEX(Donnees_Brutes_Omia_3[Connecteur 6],1),COUNT(Donnees_Brutes_Omia_3[Connecteur 6])-30,0,30))+H5+H6</f>
        <v>#REF!</v>
      </c>
      <c r="I21" s="46" t="e">
        <f ca="1">STDEV(OFFSET(INDEX(Donnees_Brutes_Omia_3[Connecteur 7],1),COUNT(Donnees_Brutes_Omia_3[Connecteur 7])-30,0,30))+I5+I6</f>
        <v>#REF!</v>
      </c>
      <c r="J21" s="46" t="e">
        <f ca="1">STDEV(OFFSET(INDEX(Donnees_Brutes_Omia_3[Connecteur 8],1),COUNT(Donnees_Brutes_Omia_3[Connecteur 8])-30,0,30))+J5+J6</f>
        <v>#REF!</v>
      </c>
      <c r="K21" s="46" t="e">
        <f ca="1">STDEV(OFFSET(INDEX(Donnees_Brutes_Omia_3[Connecteur 9],1),COUNT(Donnees_Brutes_Omia_3[Connecteur 9])-30,0,30))+K5+K6</f>
        <v>#REF!</v>
      </c>
      <c r="L21" s="46" t="e">
        <f ca="1">STDEV(OFFSET(INDEX(Donnees_Brutes_Omia_3[Connecteur 10],1),COUNT(Donnees_Brutes_Omia_3[Connecteur 10])-30,0,30))+L5+L6</f>
        <v>#REF!</v>
      </c>
      <c r="M21" s="46" t="e">
        <f ca="1">STDEV(OFFSET(INDEX(Donnees_Brutes_Omia_3[Connecteur 11],1),COUNT(Donnees_Brutes_Omia_3[Connecteur 11])-30,0,30))+M5+M6</f>
        <v>#REF!</v>
      </c>
      <c r="N21" s="46" t="e">
        <f ca="1">STDEV(OFFSET(INDEX(Donnees_Brutes_Omia_3[Connecteur 12],1),COUNT(Donnees_Brutes_Omia_3[Connecteur 12])-30,0,30))+N5+N6</f>
        <v>#REF!</v>
      </c>
      <c r="O21" s="46" t="e">
        <f ca="1">STDEV(OFFSET(INDEX(Donnees_Brutes_Omia_3[Connecteur 13],1),COUNT(Donnees_Brutes_Omia_3[Connecteur 13])-30,0,30))+O5+O6</f>
        <v>#REF!</v>
      </c>
      <c r="P21" s="33"/>
    </row>
    <row r="22" spans="1:19" s="27" customFormat="1" x14ac:dyDescent="0.25">
      <c r="A22"/>
      <c r="B22"/>
      <c r="C22"/>
      <c r="D22"/>
      <c r="E22"/>
      <c r="F22"/>
      <c r="G22"/>
      <c r="H22"/>
      <c r="I22"/>
      <c r="J22"/>
      <c r="K22"/>
      <c r="L22"/>
      <c r="M22"/>
      <c r="N22"/>
      <c r="O22"/>
      <c r="P22"/>
    </row>
  </sheetData>
  <sheetProtection algorithmName="SHA-512" hashValue="8PyhDlvNP9KpKQJqGBtRQRO15XoHGONLKV10/MkgjREJCU7LQozJiTJz2L4fpzIsFf0H7Mt6Iauml6mMyPOutw==" saltValue="hCbSVVXQfh0faZ/FYBh04g==" spinCount="100000" sheet="1" objects="1" scenarios="1"/>
  <dataConsolidate/>
  <mergeCells count="5">
    <mergeCell ref="C20:P20"/>
    <mergeCell ref="A1:S3"/>
    <mergeCell ref="A9:N9"/>
    <mergeCell ref="C19:P19"/>
    <mergeCell ref="A13:O13"/>
  </mergeCells>
  <conditionalFormatting sqref="C15:O15">
    <cfRule type="cellIs" dxfId="27" priority="1" operator="greaterThan">
      <formula>$P$15</formula>
    </cfRule>
  </conditionalFormatting>
  <conditionalFormatting sqref="C16:O16">
    <cfRule type="cellIs" dxfId="26" priority="2" operator="lessThan">
      <formula>$P$16</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2"/>
  <sheetViews>
    <sheetView view="pageBreakPreview" topLeftCell="A468" zoomScale="60" zoomScaleNormal="100" zoomScalePageLayoutView="60" workbookViewId="0">
      <selection activeCell="G168" sqref="G16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6" t="s">
        <v>250</v>
      </c>
      <c r="C4" s="497"/>
      <c r="D4" s="497"/>
      <c r="E4" s="497"/>
      <c r="F4" s="497"/>
    </row>
    <row r="5" spans="2:9" ht="26.25" x14ac:dyDescent="0.25">
      <c r="B5" s="497"/>
      <c r="C5" s="497"/>
      <c r="D5" s="497"/>
      <c r="E5" s="497"/>
      <c r="F5" s="497"/>
      <c r="G5" s="88"/>
      <c r="H5" s="88"/>
      <c r="I5" s="89"/>
    </row>
    <row r="6" spans="2:9" ht="58.5" customHeight="1" x14ac:dyDescent="0.25">
      <c r="B6" s="497"/>
      <c r="C6" s="497"/>
      <c r="D6" s="497"/>
      <c r="E6" s="497"/>
      <c r="F6" s="497"/>
    </row>
    <row r="10" spans="2:9" ht="21" x14ac:dyDescent="0.25">
      <c r="C10" s="379" t="s">
        <v>138</v>
      </c>
      <c r="D10" s="379"/>
      <c r="E10" s="472">
        <f>Mesures_Omia!D5</f>
        <v>0</v>
      </c>
      <c r="F10" s="472"/>
    </row>
    <row r="11" spans="2:9" ht="21" x14ac:dyDescent="0.25">
      <c r="C11" s="90"/>
      <c r="D11" s="90"/>
      <c r="E11" s="91"/>
      <c r="F11" s="91"/>
    </row>
    <row r="12" spans="2:9" x14ac:dyDescent="0.25">
      <c r="C12" s="92" t="s">
        <v>1</v>
      </c>
      <c r="D12" s="147">
        <f>Mesures_Omia!C7</f>
        <v>0</v>
      </c>
      <c r="F12" s="92" t="s">
        <v>18</v>
      </c>
      <c r="G12" s="147">
        <f>Mesures_Omia!G7</f>
        <v>0</v>
      </c>
    </row>
    <row r="13" spans="2:9" ht="15.75" x14ac:dyDescent="0.25">
      <c r="C13" s="94" t="s">
        <v>2</v>
      </c>
      <c r="D13" s="148">
        <f>Mesures_Omia!C8</f>
        <v>0</v>
      </c>
      <c r="F13" s="96" t="s">
        <v>19</v>
      </c>
      <c r="G13" s="148">
        <f>Mesures_Omia!G8</f>
        <v>0</v>
      </c>
    </row>
    <row r="14" spans="2:9" ht="15.75" x14ac:dyDescent="0.25">
      <c r="C14" s="97"/>
      <c r="D14" s="98"/>
      <c r="G14" s="99"/>
    </row>
    <row r="15" spans="2:9" ht="15.75" x14ac:dyDescent="0.25">
      <c r="C15" s="100" t="s">
        <v>139</v>
      </c>
      <c r="D15" s="101">
        <f>Mesures_Omia!C14</f>
        <v>0</v>
      </c>
      <c r="F15" s="92" t="s">
        <v>140</v>
      </c>
      <c r="G15" s="9">
        <f>Mesures_Omia!C15</f>
        <v>0</v>
      </c>
    </row>
    <row r="16" spans="2:9" ht="15.75" x14ac:dyDescent="0.25">
      <c r="C16" s="100" t="s">
        <v>141</v>
      </c>
      <c r="D16" s="103">
        <f>Mesures_Omia!G11</f>
        <v>15</v>
      </c>
      <c r="F16" s="92" t="s">
        <v>142</v>
      </c>
      <c r="G16" s="9">
        <f>Mesures_Omia!G12</f>
        <v>0</v>
      </c>
    </row>
    <row r="17" spans="1:9" ht="15.75" x14ac:dyDescent="0.25">
      <c r="C17" s="97"/>
      <c r="D17" s="98"/>
      <c r="F17" s="97"/>
      <c r="G17" s="1"/>
    </row>
    <row r="18" spans="1:9" ht="15.75" x14ac:dyDescent="0.25">
      <c r="C18" s="100" t="s">
        <v>143</v>
      </c>
      <c r="D18" s="149">
        <f>Mesures_Omia!C11</f>
        <v>0</v>
      </c>
      <c r="F18" s="92" t="s">
        <v>144</v>
      </c>
      <c r="G18" s="156">
        <f>Mesures_Omia!G10</f>
        <v>0</v>
      </c>
    </row>
    <row r="19" spans="1:9" ht="15.75" x14ac:dyDescent="0.25">
      <c r="C19" s="94" t="s">
        <v>145</v>
      </c>
      <c r="D19" s="149">
        <f>Mesures_Omia!C11</f>
        <v>0</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226</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8" ht="36" x14ac:dyDescent="0.25">
      <c r="C51" s="462" t="s">
        <v>148</v>
      </c>
      <c r="D51" s="462"/>
      <c r="E51" s="462"/>
      <c r="F51" s="462"/>
    </row>
    <row r="52" spans="2:8" ht="17.25" x14ac:dyDescent="0.25">
      <c r="B52" s="105"/>
    </row>
    <row r="53" spans="2:8" ht="23.25" x14ac:dyDescent="0.25">
      <c r="B53" s="106" t="s">
        <v>149</v>
      </c>
    </row>
    <row r="55" spans="2:8" ht="21" x14ac:dyDescent="0.25">
      <c r="B55" s="107" t="s">
        <v>227</v>
      </c>
      <c r="E55" s="471" t="s">
        <v>228</v>
      </c>
      <c r="F55" s="471"/>
      <c r="G55" s="107"/>
      <c r="H55" s="108"/>
    </row>
    <row r="56" spans="2:8" ht="21" x14ac:dyDescent="0.25">
      <c r="B56" s="107" t="s">
        <v>229</v>
      </c>
      <c r="E56" s="471" t="s">
        <v>230</v>
      </c>
      <c r="F56" s="471"/>
      <c r="G56" s="471"/>
      <c r="H56" s="107"/>
    </row>
    <row r="57" spans="2:8" ht="21" x14ac:dyDescent="0.25">
      <c r="B57" s="471" t="s">
        <v>231</v>
      </c>
      <c r="C57" s="471"/>
      <c r="E57" s="471" t="s">
        <v>155</v>
      </c>
      <c r="F57" s="471"/>
      <c r="G57" s="108"/>
      <c r="H57" s="108"/>
    </row>
    <row r="59" spans="2:8" ht="23.25" x14ac:dyDescent="0.25">
      <c r="B59" s="106" t="s">
        <v>156</v>
      </c>
    </row>
    <row r="61" spans="2:8" ht="21" x14ac:dyDescent="0.25">
      <c r="B61" s="471" t="s">
        <v>232</v>
      </c>
      <c r="C61" s="471"/>
      <c r="D61" s="107"/>
      <c r="E61" s="471"/>
      <c r="F61" s="471"/>
      <c r="G61" s="471"/>
    </row>
    <row r="62" spans="2:8" ht="21" x14ac:dyDescent="0.25">
      <c r="B62" s="471" t="s">
        <v>233</v>
      </c>
      <c r="C62" s="471"/>
      <c r="D62" s="107"/>
    </row>
    <row r="64" spans="2:8" ht="21" x14ac:dyDescent="0.25">
      <c r="B64" s="107" t="s">
        <v>160</v>
      </c>
    </row>
    <row r="66" spans="2:9" ht="21" x14ac:dyDescent="0.25">
      <c r="B66" s="107" t="s">
        <v>234</v>
      </c>
      <c r="C66" s="107"/>
      <c r="D66" s="107"/>
      <c r="E66" s="495" t="s">
        <v>235</v>
      </c>
      <c r="F66" s="495"/>
      <c r="G66" s="107"/>
      <c r="H66" s="107"/>
      <c r="I66" s="107"/>
    </row>
    <row r="67" spans="2:9" ht="21" x14ac:dyDescent="0.25">
      <c r="B67" s="150" t="s">
        <v>235</v>
      </c>
      <c r="C67" s="107"/>
      <c r="D67" s="107"/>
      <c r="E67" s="471" t="s">
        <v>236</v>
      </c>
      <c r="F67" s="471"/>
      <c r="G67" s="471"/>
      <c r="H67" s="471"/>
      <c r="I67" s="107"/>
    </row>
    <row r="68" spans="2:9" ht="21" x14ac:dyDescent="0.25">
      <c r="B68" s="471"/>
      <c r="C68" s="471"/>
      <c r="D68" s="471"/>
      <c r="E68" s="471"/>
      <c r="F68" s="471"/>
      <c r="G68" s="471"/>
      <c r="H68" s="471"/>
      <c r="I68" s="471"/>
    </row>
    <row r="69" spans="2:9" ht="21" x14ac:dyDescent="0.25">
      <c r="B69" s="471"/>
      <c r="C69" s="471"/>
      <c r="D69" s="471"/>
      <c r="E69" s="471"/>
      <c r="F69" s="471"/>
      <c r="G69" s="471"/>
      <c r="H69" s="471"/>
      <c r="I69" s="108"/>
    </row>
    <row r="85" spans="1:9" ht="36" x14ac:dyDescent="0.25">
      <c r="C85" s="462" t="s">
        <v>170</v>
      </c>
      <c r="D85" s="462"/>
      <c r="E85" s="462"/>
      <c r="F85" s="462"/>
      <c r="G85" s="462"/>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1" t="s">
        <v>10</v>
      </c>
      <c r="D94" s="451"/>
      <c r="E94" s="451"/>
      <c r="F94" s="451"/>
      <c r="G94" s="451"/>
      <c r="H94" s="442"/>
      <c r="I94" s="111"/>
    </row>
    <row r="95" spans="1:9" ht="30" x14ac:dyDescent="0.25">
      <c r="A95" s="111"/>
      <c r="B95" s="111"/>
      <c r="C95" s="445"/>
      <c r="D95" s="445"/>
      <c r="E95" s="3" t="s">
        <v>15</v>
      </c>
      <c r="F95" s="20" t="s">
        <v>17</v>
      </c>
      <c r="G95" s="20" t="s">
        <v>24</v>
      </c>
      <c r="H95" s="20" t="s">
        <v>25</v>
      </c>
      <c r="I95" s="114"/>
    </row>
    <row r="96" spans="1:9" ht="17.25" x14ac:dyDescent="0.25">
      <c r="A96" s="111"/>
      <c r="B96" s="111"/>
      <c r="C96" s="441" t="str">
        <f>Mesures_Omia!A44</f>
        <v xml:space="preserve">Sonde </v>
      </c>
      <c r="D96" s="442"/>
      <c r="E96" s="10" cm="1">
        <f t="array" ref="E96:H108">Mesures_Omia!C44:F56</f>
        <v>0</v>
      </c>
      <c r="F96" s="10">
        <v>0</v>
      </c>
      <c r="G96" s="10">
        <v>0</v>
      </c>
      <c r="H96" s="10">
        <v>0</v>
      </c>
      <c r="I96" s="111"/>
    </row>
    <row r="97" spans="1:9" ht="17.25" x14ac:dyDescent="0.25">
      <c r="A97" s="111"/>
      <c r="B97" s="111"/>
      <c r="C97" s="441" t="str">
        <f>Mesures_Omia!A45</f>
        <v xml:space="preserve">Sonde </v>
      </c>
      <c r="D97" s="442"/>
      <c r="E97" s="10">
        <v>0</v>
      </c>
      <c r="F97" s="10">
        <v>0</v>
      </c>
      <c r="G97" s="10">
        <v>0</v>
      </c>
      <c r="H97" s="10">
        <v>0</v>
      </c>
      <c r="I97" s="111"/>
    </row>
    <row r="98" spans="1:9" ht="17.25" x14ac:dyDescent="0.25">
      <c r="A98" s="111"/>
      <c r="B98" s="111"/>
      <c r="C98" s="441" t="str">
        <f>Mesures_Omia!A46</f>
        <v xml:space="preserve">Sonde </v>
      </c>
      <c r="D98" s="442"/>
      <c r="E98" s="10">
        <v>0</v>
      </c>
      <c r="F98" s="10">
        <v>0</v>
      </c>
      <c r="G98" s="10">
        <v>0</v>
      </c>
      <c r="H98" s="10">
        <v>0</v>
      </c>
      <c r="I98" s="111"/>
    </row>
    <row r="99" spans="1:9" ht="17.25" x14ac:dyDescent="0.25">
      <c r="A99" s="111"/>
      <c r="B99" s="111"/>
      <c r="C99" s="441" t="str">
        <f>Mesures_Omia!A47</f>
        <v xml:space="preserve">Sonde </v>
      </c>
      <c r="D99" s="442"/>
      <c r="E99" s="10">
        <v>0</v>
      </c>
      <c r="F99" s="10">
        <v>0</v>
      </c>
      <c r="G99" s="10">
        <v>0</v>
      </c>
      <c r="H99" s="10">
        <v>0</v>
      </c>
      <c r="I99" s="111"/>
    </row>
    <row r="100" spans="1:9" ht="17.25" x14ac:dyDescent="0.25">
      <c r="A100" s="111"/>
      <c r="B100" s="111"/>
      <c r="C100" s="441" t="str">
        <f>Mesures_Omia!A48</f>
        <v xml:space="preserve">Sonde </v>
      </c>
      <c r="D100" s="442"/>
      <c r="E100" s="10">
        <v>0</v>
      </c>
      <c r="F100" s="10">
        <v>0</v>
      </c>
      <c r="G100" s="10">
        <v>0</v>
      </c>
      <c r="H100" s="10">
        <v>0</v>
      </c>
      <c r="I100" s="111"/>
    </row>
    <row r="101" spans="1:9" ht="17.25" x14ac:dyDescent="0.25">
      <c r="A101" s="111"/>
      <c r="B101" s="111"/>
      <c r="C101" s="441" t="str">
        <f>Mesures_Omia!A49</f>
        <v xml:space="preserve">Sonde </v>
      </c>
      <c r="D101" s="442"/>
      <c r="E101" s="10">
        <v>0</v>
      </c>
      <c r="F101" s="10">
        <v>0</v>
      </c>
      <c r="G101" s="10">
        <v>0</v>
      </c>
      <c r="H101" s="10">
        <v>0</v>
      </c>
      <c r="I101" s="111"/>
    </row>
    <row r="102" spans="1:9" ht="17.25" x14ac:dyDescent="0.25">
      <c r="A102" s="111"/>
      <c r="B102" s="111"/>
      <c r="C102" s="441" t="str">
        <f>Mesures_Omia!A50</f>
        <v xml:space="preserve">Sonde </v>
      </c>
      <c r="D102" s="442"/>
      <c r="E102" s="10">
        <v>0</v>
      </c>
      <c r="F102" s="10">
        <v>0</v>
      </c>
      <c r="G102" s="10">
        <v>0</v>
      </c>
      <c r="H102" s="10">
        <v>0</v>
      </c>
      <c r="I102" s="111"/>
    </row>
    <row r="103" spans="1:9" ht="17.25" x14ac:dyDescent="0.25">
      <c r="A103" s="111"/>
      <c r="B103" s="111"/>
      <c r="C103" s="441" t="str">
        <f>Mesures_Omia!A51</f>
        <v xml:space="preserve">Sonde </v>
      </c>
      <c r="D103" s="442"/>
      <c r="E103" s="10">
        <v>0</v>
      </c>
      <c r="F103" s="10">
        <v>0</v>
      </c>
      <c r="G103" s="10">
        <v>0</v>
      </c>
      <c r="H103" s="10">
        <v>0</v>
      </c>
      <c r="I103" s="111"/>
    </row>
    <row r="104" spans="1:9" ht="17.25" x14ac:dyDescent="0.25">
      <c r="A104" s="111"/>
      <c r="B104" s="111"/>
      <c r="C104" s="441" t="str">
        <f>Mesures_Omia!A52</f>
        <v xml:space="preserve">Sonde </v>
      </c>
      <c r="D104" s="442"/>
      <c r="E104" s="10">
        <v>0</v>
      </c>
      <c r="F104" s="10">
        <v>0</v>
      </c>
      <c r="G104" s="10">
        <v>0</v>
      </c>
      <c r="H104" s="10">
        <v>0</v>
      </c>
      <c r="I104" s="111"/>
    </row>
    <row r="105" spans="1:9" ht="17.25" x14ac:dyDescent="0.25">
      <c r="A105" s="111"/>
      <c r="B105" s="111"/>
      <c r="C105" s="441" t="str">
        <f>Mesures_Omia!A53</f>
        <v xml:space="preserve">Sonde </v>
      </c>
      <c r="D105" s="442"/>
      <c r="E105" s="10">
        <v>0</v>
      </c>
      <c r="F105" s="10">
        <v>0</v>
      </c>
      <c r="G105" s="10">
        <v>0</v>
      </c>
      <c r="H105" s="10">
        <v>0</v>
      </c>
      <c r="I105" s="111"/>
    </row>
    <row r="106" spans="1:9" ht="17.25" x14ac:dyDescent="0.25">
      <c r="A106" s="111"/>
      <c r="B106" s="111"/>
      <c r="C106" s="441" t="str">
        <f>Mesures_Omia!A54</f>
        <v xml:space="preserve">Sonde </v>
      </c>
      <c r="D106" s="442"/>
      <c r="E106" s="10">
        <v>0</v>
      </c>
      <c r="F106" s="10">
        <v>0</v>
      </c>
      <c r="G106" s="10">
        <v>0</v>
      </c>
      <c r="H106" s="10">
        <v>0</v>
      </c>
      <c r="I106" s="111"/>
    </row>
    <row r="107" spans="1:9" ht="17.25" x14ac:dyDescent="0.25">
      <c r="A107" s="111"/>
      <c r="B107" s="111"/>
      <c r="C107" s="441" t="str">
        <f>Mesures_Omia!A55</f>
        <v xml:space="preserve">Sonde </v>
      </c>
      <c r="D107" s="442"/>
      <c r="E107" s="10">
        <v>0</v>
      </c>
      <c r="F107" s="10">
        <v>0</v>
      </c>
      <c r="G107" s="10">
        <v>0</v>
      </c>
      <c r="H107" s="10">
        <v>0</v>
      </c>
      <c r="I107" s="111"/>
    </row>
    <row r="108" spans="1:9" ht="17.25" x14ac:dyDescent="0.25">
      <c r="A108" s="111"/>
      <c r="B108" s="111"/>
      <c r="C108" s="441" t="str">
        <f>Mesures_Omia!A56</f>
        <v xml:space="preserve">Sonde </v>
      </c>
      <c r="D108" s="442"/>
      <c r="E108" s="10">
        <v>0</v>
      </c>
      <c r="F108" s="10">
        <v>0</v>
      </c>
      <c r="G108" s="10">
        <v>0</v>
      </c>
      <c r="H108" s="10">
        <v>0</v>
      </c>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5" t="s">
        <v>176</v>
      </c>
      <c r="C116" s="465"/>
      <c r="D116" s="465"/>
      <c r="E116" s="465"/>
      <c r="F116" s="465"/>
    </row>
    <row r="118" spans="1:9" ht="26.25" x14ac:dyDescent="0.25">
      <c r="B118" s="109" t="s">
        <v>177</v>
      </c>
    </row>
    <row r="119" spans="1:9" ht="21" x14ac:dyDescent="0.3">
      <c r="E119" s="107" t="s">
        <v>178</v>
      </c>
      <c r="F119" s="107"/>
      <c r="G119" s="116">
        <f>Mesures_Omia!K44</f>
        <v>0</v>
      </c>
    </row>
    <row r="120" spans="1:9" ht="21" x14ac:dyDescent="0.3">
      <c r="B120" s="117" t="s">
        <v>179</v>
      </c>
      <c r="C120" s="107" t="s">
        <v>180</v>
      </c>
      <c r="E120" s="107" t="s">
        <v>181</v>
      </c>
      <c r="F120" s="107"/>
      <c r="G120" s="116">
        <f>Mesures_Omia!L44</f>
        <v>0</v>
      </c>
    </row>
    <row r="121" spans="1:9" ht="21" x14ac:dyDescent="0.25">
      <c r="B121" s="117" t="s">
        <v>182</v>
      </c>
      <c r="C121" s="110" t="s">
        <v>183</v>
      </c>
      <c r="E121" s="107" t="s">
        <v>184</v>
      </c>
      <c r="F121" s="107"/>
      <c r="G121" s="118">
        <f>Mesures_Omia!M44</f>
        <v>0</v>
      </c>
    </row>
    <row r="122" spans="1:9" ht="21" x14ac:dyDescent="0.35">
      <c r="B122" s="119" t="s">
        <v>185</v>
      </c>
      <c r="C122" s="120" t="s">
        <v>186</v>
      </c>
      <c r="E122" s="107" t="s">
        <v>187</v>
      </c>
      <c r="F122" s="107"/>
      <c r="G122" s="121" t="e">
        <f>"±" &amp;  SUBSTITUTE(ROUND(AVERAGE(Mesures_Omia!D23:F35),2),"-"," ") &amp; "°C"</f>
        <v>#DIV/0!</v>
      </c>
    </row>
    <row r="127" spans="1:9" ht="36" x14ac:dyDescent="0.25">
      <c r="C127" s="462" t="s">
        <v>188</v>
      </c>
      <c r="D127" s="462"/>
      <c r="E127" s="462"/>
      <c r="F127" s="462"/>
    </row>
    <row r="128" spans="1:9" ht="36" x14ac:dyDescent="0.25">
      <c r="B128" s="104"/>
      <c r="C128" s="104"/>
      <c r="D128" s="104"/>
    </row>
    <row r="129" spans="2:9" x14ac:dyDescent="0.25">
      <c r="B129" s="338"/>
      <c r="C129" s="338"/>
      <c r="D129" s="338"/>
      <c r="E129" s="338"/>
      <c r="F129" s="338"/>
      <c r="G129" s="338"/>
      <c r="H129" s="338"/>
      <c r="I129" s="338"/>
    </row>
    <row r="130" spans="2:9" x14ac:dyDescent="0.25">
      <c r="B130" s="338"/>
      <c r="C130" s="338"/>
      <c r="D130" s="338"/>
      <c r="E130" s="338"/>
      <c r="F130" s="338"/>
      <c r="G130" s="338"/>
      <c r="H130" s="338"/>
      <c r="I130" s="338"/>
    </row>
    <row r="131" spans="2:9" x14ac:dyDescent="0.25">
      <c r="B131" s="338"/>
      <c r="C131" s="338"/>
      <c r="D131" s="338"/>
      <c r="E131" s="338"/>
      <c r="F131" s="338"/>
      <c r="G131" s="338"/>
      <c r="H131" s="338"/>
      <c r="I131" s="338"/>
    </row>
    <row r="132" spans="2:9" x14ac:dyDescent="0.25">
      <c r="B132" s="338"/>
      <c r="C132" s="338"/>
      <c r="D132" s="338"/>
      <c r="E132" s="338"/>
      <c r="F132" s="338"/>
      <c r="G132" s="338"/>
      <c r="H132" s="338"/>
      <c r="I132" s="338"/>
    </row>
    <row r="133" spans="2:9" x14ac:dyDescent="0.25">
      <c r="B133" s="338"/>
      <c r="C133" s="338"/>
      <c r="D133" s="338"/>
      <c r="E133" s="338"/>
      <c r="F133" s="338"/>
      <c r="G133" s="338"/>
      <c r="H133" s="338"/>
      <c r="I133" s="338"/>
    </row>
    <row r="134" spans="2:9" x14ac:dyDescent="0.25">
      <c r="B134" s="338"/>
      <c r="C134" s="338"/>
      <c r="D134" s="338"/>
      <c r="E134" s="338"/>
      <c r="F134" s="338"/>
      <c r="G134" s="338"/>
      <c r="H134" s="338"/>
      <c r="I134" s="338"/>
    </row>
    <row r="135" spans="2:9" x14ac:dyDescent="0.25">
      <c r="B135" s="338"/>
      <c r="C135" s="338"/>
      <c r="D135" s="338"/>
      <c r="E135" s="338"/>
      <c r="F135" s="338"/>
      <c r="G135" s="338"/>
      <c r="H135" s="338"/>
      <c r="I135" s="338"/>
    </row>
    <row r="136" spans="2:9" x14ac:dyDescent="0.25">
      <c r="B136" s="338"/>
      <c r="C136" s="338"/>
      <c r="D136" s="338"/>
      <c r="E136" s="338"/>
      <c r="F136" s="338"/>
      <c r="G136" s="338"/>
      <c r="H136" s="338"/>
      <c r="I136" s="338"/>
    </row>
    <row r="137" spans="2:9" x14ac:dyDescent="0.25">
      <c r="B137" s="338"/>
      <c r="C137" s="338"/>
      <c r="D137" s="338"/>
      <c r="E137" s="338"/>
      <c r="F137" s="338"/>
      <c r="G137" s="338"/>
      <c r="H137" s="338"/>
      <c r="I137" s="338"/>
    </row>
    <row r="138" spans="2:9" x14ac:dyDescent="0.25">
      <c r="B138" s="338"/>
      <c r="C138" s="338"/>
      <c r="D138" s="338"/>
      <c r="E138" s="338"/>
      <c r="F138" s="338"/>
      <c r="G138" s="338"/>
      <c r="H138" s="338"/>
      <c r="I138" s="338"/>
    </row>
    <row r="139" spans="2:9" x14ac:dyDescent="0.25">
      <c r="B139" s="338"/>
      <c r="C139" s="338"/>
      <c r="D139" s="338"/>
      <c r="E139" s="338"/>
      <c r="F139" s="338"/>
      <c r="G139" s="338"/>
      <c r="H139" s="338"/>
      <c r="I139" s="338"/>
    </row>
    <row r="140" spans="2:9" x14ac:dyDescent="0.25">
      <c r="B140" s="338"/>
      <c r="C140" s="338"/>
      <c r="D140" s="338"/>
      <c r="E140" s="338"/>
      <c r="F140" s="338"/>
      <c r="G140" s="338"/>
      <c r="H140" s="338"/>
      <c r="I140" s="338"/>
    </row>
    <row r="141" spans="2:9" x14ac:dyDescent="0.25">
      <c r="B141" s="338"/>
      <c r="C141" s="338"/>
      <c r="D141" s="338"/>
      <c r="E141" s="338"/>
      <c r="F141" s="338"/>
      <c r="G141" s="338"/>
      <c r="H141" s="338"/>
      <c r="I141" s="338"/>
    </row>
    <row r="142" spans="2:9" x14ac:dyDescent="0.25">
      <c r="B142" s="338"/>
      <c r="C142" s="338"/>
      <c r="D142" s="338"/>
      <c r="E142" s="338"/>
      <c r="F142" s="338"/>
      <c r="G142" s="338"/>
      <c r="H142" s="338"/>
      <c r="I142" s="338"/>
    </row>
    <row r="143" spans="2:9" x14ac:dyDescent="0.25">
      <c r="B143" s="338"/>
      <c r="C143" s="338"/>
      <c r="D143" s="338"/>
      <c r="E143" s="338"/>
      <c r="F143" s="338"/>
      <c r="G143" s="338"/>
      <c r="H143" s="338"/>
      <c r="I143" s="338"/>
    </row>
    <row r="144" spans="2:9" x14ac:dyDescent="0.25">
      <c r="B144" s="338"/>
      <c r="C144" s="338"/>
      <c r="D144" s="338"/>
      <c r="E144" s="338"/>
      <c r="F144" s="338"/>
      <c r="G144" s="338"/>
      <c r="H144" s="338"/>
      <c r="I144" s="338"/>
    </row>
    <row r="163" spans="1:8" ht="36" x14ac:dyDescent="0.25">
      <c r="C163" s="462" t="s">
        <v>240</v>
      </c>
      <c r="D163" s="462"/>
      <c r="E163" s="462"/>
      <c r="F163" s="462"/>
      <c r="G163" s="462"/>
      <c r="H163" s="462"/>
    </row>
    <row r="166" spans="1:8" ht="15.75" thickBot="1" x14ac:dyDescent="0.3"/>
    <row r="167" spans="1:8" ht="15.75" thickBot="1" x14ac:dyDescent="0.3">
      <c r="A167" s="12" t="s">
        <v>9</v>
      </c>
      <c r="B167" s="13" t="s">
        <v>12</v>
      </c>
      <c r="C167" s="13" t="s">
        <v>14</v>
      </c>
    </row>
    <row r="168" spans="1:8" x14ac:dyDescent="0.25">
      <c r="A168" s="15">
        <v>1</v>
      </c>
      <c r="B168" s="16">
        <f>Mesures_Omia!B23</f>
        <v>0</v>
      </c>
      <c r="C168" s="17">
        <f>Mesures_Omia!C23</f>
        <v>0</v>
      </c>
    </row>
    <row r="169" spans="1:8" x14ac:dyDescent="0.25">
      <c r="A169" s="19">
        <v>2</v>
      </c>
      <c r="B169" s="16">
        <f>Mesures_Omia!B24</f>
        <v>0</v>
      </c>
      <c r="C169" s="17">
        <f>Mesures_Omia!C24</f>
        <v>0</v>
      </c>
    </row>
    <row r="170" spans="1:8" x14ac:dyDescent="0.25">
      <c r="A170" s="15">
        <v>3</v>
      </c>
      <c r="B170" s="16">
        <f>Mesures_Omia!B25</f>
        <v>0</v>
      </c>
      <c r="C170" s="17">
        <f>Mesures_Omia!C25</f>
        <v>0</v>
      </c>
    </row>
    <row r="171" spans="1:8" x14ac:dyDescent="0.25">
      <c r="A171" s="19">
        <v>4</v>
      </c>
      <c r="B171" s="16">
        <f>Mesures_Omia!B26</f>
        <v>0</v>
      </c>
      <c r="C171" s="17">
        <f>Mesures_Omia!C26</f>
        <v>0</v>
      </c>
    </row>
    <row r="172" spans="1:8" x14ac:dyDescent="0.25">
      <c r="A172" s="15">
        <v>5</v>
      </c>
      <c r="B172" s="16">
        <f>Mesures_Omia!B27</f>
        <v>0</v>
      </c>
      <c r="C172" s="17">
        <f>Mesures_Omia!C27</f>
        <v>0</v>
      </c>
    </row>
    <row r="173" spans="1:8" x14ac:dyDescent="0.25">
      <c r="A173" s="19">
        <v>6</v>
      </c>
      <c r="B173" s="16">
        <f>Mesures_Omia!B28</f>
        <v>0</v>
      </c>
      <c r="C173" s="17">
        <f>Mesures_Omia!C28</f>
        <v>0</v>
      </c>
    </row>
    <row r="174" spans="1:8" x14ac:dyDescent="0.25">
      <c r="A174" s="15">
        <v>7</v>
      </c>
      <c r="B174" s="16">
        <f>Mesures_Omia!B29</f>
        <v>0</v>
      </c>
      <c r="C174" s="17">
        <f>Mesures_Omia!C29</f>
        <v>0</v>
      </c>
    </row>
    <row r="175" spans="1:8" x14ac:dyDescent="0.25">
      <c r="A175" s="19">
        <v>8</v>
      </c>
      <c r="B175" s="16">
        <f>Mesures_Omia!B30</f>
        <v>0</v>
      </c>
      <c r="C175" s="17">
        <f>Mesures_Omia!C30</f>
        <v>0</v>
      </c>
    </row>
    <row r="176" spans="1:8" x14ac:dyDescent="0.25">
      <c r="A176" s="15">
        <v>9</v>
      </c>
      <c r="B176" s="16">
        <f>Mesures_Omia!B31</f>
        <v>0</v>
      </c>
      <c r="C176" s="17">
        <f>Mesures_Omia!C31</f>
        <v>0</v>
      </c>
    </row>
    <row r="177" spans="1:3" x14ac:dyDescent="0.25">
      <c r="A177" s="19">
        <v>10</v>
      </c>
      <c r="B177" s="16">
        <f>Mesures_Omia!B32</f>
        <v>0</v>
      </c>
      <c r="C177" s="17">
        <f>Mesures_Omia!C32</f>
        <v>0</v>
      </c>
    </row>
    <row r="178" spans="1:3" x14ac:dyDescent="0.25">
      <c r="A178" s="15">
        <v>11</v>
      </c>
      <c r="B178" s="16">
        <f>Mesures_Omia!B33</f>
        <v>0</v>
      </c>
      <c r="C178" s="17">
        <f>Mesures_Omia!C33</f>
        <v>0</v>
      </c>
    </row>
    <row r="179" spans="1:3" x14ac:dyDescent="0.25">
      <c r="A179" s="19">
        <v>12</v>
      </c>
      <c r="B179" s="16">
        <f>Mesures_Omia!B34</f>
        <v>0</v>
      </c>
      <c r="C179" s="17">
        <f>Mesures_Omia!C34</f>
        <v>0</v>
      </c>
    </row>
    <row r="180" spans="1:3" x14ac:dyDescent="0.25">
      <c r="A180" s="19">
        <v>13</v>
      </c>
      <c r="B180" s="16">
        <f>Mesures_Omia!B35</f>
        <v>0</v>
      </c>
      <c r="C180" s="17">
        <f>Mesures_Omia!C35</f>
        <v>0</v>
      </c>
    </row>
    <row r="196" spans="1:9" ht="36" x14ac:dyDescent="0.25">
      <c r="C196" s="462" t="str">
        <f>"6. Résultats et exploitation des résultats à " &amp; Mesures_Omia!B19 &amp; "°C"</f>
        <v>6. Résultats et exploitation des résultats à °C</v>
      </c>
      <c r="D196" s="462"/>
      <c r="E196" s="462"/>
      <c r="F196" s="462"/>
      <c r="G196" s="462"/>
      <c r="H196" s="462"/>
    </row>
    <row r="200" spans="1:9" x14ac:dyDescent="0.25">
      <c r="A200" s="122" t="s">
        <v>241</v>
      </c>
      <c r="B200" s="124">
        <f>Mesures_Omia!B19</f>
        <v>0</v>
      </c>
      <c r="G200" s="466" t="s">
        <v>191</v>
      </c>
      <c r="H200" s="467"/>
      <c r="I200" s="468"/>
    </row>
    <row r="201" spans="1:9" x14ac:dyDescent="0.25">
      <c r="A201" s="122" t="s">
        <v>242</v>
      </c>
      <c r="B201" s="151">
        <f>Mesures_Omia!B20</f>
        <v>0</v>
      </c>
      <c r="G201" s="22" t="s">
        <v>192</v>
      </c>
      <c r="H201" s="22" t="s">
        <v>193</v>
      </c>
      <c r="I201" s="22" t="s">
        <v>194</v>
      </c>
    </row>
    <row r="202" spans="1:9" x14ac:dyDescent="0.25">
      <c r="G202" s="125">
        <f>INDEX(Donnees_Brutes_Omia_1[Date/Heure],1)</f>
        <v>0</v>
      </c>
      <c r="H202" s="125" cm="1">
        <f t="array" ref="H202">INDEX(Donnees_Brutes_Omia_1[Date/Heure], COUNTA(Donnees_Brutes_Omia_1[Connecteur 1]))</f>
        <v>0</v>
      </c>
      <c r="I202" s="125">
        <f>H202-G202</f>
        <v>0</v>
      </c>
    </row>
    <row r="205" spans="1:9" ht="23.25" x14ac:dyDescent="0.25">
      <c r="B205" s="469" t="s">
        <v>195</v>
      </c>
      <c r="C205" s="469"/>
    </row>
    <row r="208" spans="1:9" ht="30" x14ac:dyDescent="0.25">
      <c r="B208" s="126" t="s">
        <v>196</v>
      </c>
      <c r="C208" s="127" t="s">
        <v>197</v>
      </c>
      <c r="D208" s="127" t="s">
        <v>112</v>
      </c>
      <c r="E208" s="128" t="s">
        <v>198</v>
      </c>
      <c r="F208" s="127" t="s">
        <v>199</v>
      </c>
    </row>
    <row r="209" spans="1:6" x14ac:dyDescent="0.25">
      <c r="B209" s="129" t="s">
        <v>200</v>
      </c>
      <c r="C209" s="130" t="str">
        <f>"60°C"</f>
        <v>60°C</v>
      </c>
      <c r="D209" s="130" t="s">
        <v>201</v>
      </c>
      <c r="E209" s="130" t="s">
        <v>201</v>
      </c>
      <c r="F209" s="131" t="s">
        <v>201</v>
      </c>
    </row>
    <row r="210" spans="1:6" x14ac:dyDescent="0.25">
      <c r="B210" s="129" t="s">
        <v>202</v>
      </c>
      <c r="C210" s="130" t="str">
        <f>"60°C"</f>
        <v>60°C</v>
      </c>
      <c r="D210" s="130" t="s">
        <v>201</v>
      </c>
      <c r="E210" s="130" t="s">
        <v>201</v>
      </c>
      <c r="F210" s="131" t="s">
        <v>201</v>
      </c>
    </row>
    <row r="211" spans="1:6" x14ac:dyDescent="0.25">
      <c r="A211" s="470" t="s">
        <v>203</v>
      </c>
      <c r="B211" s="129" t="s">
        <v>204</v>
      </c>
      <c r="C211" s="132" t="e">
        <f>MAX(Omia_1!C15:O15)</f>
        <v>#N/A</v>
      </c>
      <c r="D211" s="130" t="e">
        <f>_xlfn.XLOOKUP(INT(SUBSTITUTE(E211,"Connecteur ","")),Mesures_Omia!C23:C35,Mesures_Omia!A23:A35)</f>
        <v>#N/A</v>
      </c>
      <c r="E211" s="130" t="e" cm="1">
        <f t="array" ref="E211">_xlfn.XLOOKUP(MAX(Omia_1!C15:O15),Omia_1!C15:O15,_xlfn.ANCHORARRAY(Omia_1!C14))</f>
        <v>#N/A</v>
      </c>
      <c r="F211" s="130" t="e">
        <f>_xlfn.XLOOKUP(INT(SUBSTITUTE(E211,"Connecteur ","")),Mesures_Omia!C23:C35,Mesures_Omia!B23:B35)</f>
        <v>#N/A</v>
      </c>
    </row>
    <row r="212" spans="1:6" x14ac:dyDescent="0.25">
      <c r="A212" s="470"/>
      <c r="B212" s="129" t="s">
        <v>205</v>
      </c>
      <c r="C212" s="132" t="e">
        <f>MIN(Omia_1!C15:O15)</f>
        <v>#N/A</v>
      </c>
      <c r="D212" s="130" t="e">
        <f>_xlfn.XLOOKUP(INT(SUBSTITUTE(E212,"Connecteur ","")),Mesures_Omia!C23:C35,Mesures_Omia!A23:A35)</f>
        <v>#N/A</v>
      </c>
      <c r="E212" s="130" t="e" cm="1">
        <f t="array" ref="E212">_xlfn.XLOOKUP(MIN(Omia_1!C15:O15),Omia_1!C15:O15,_xlfn.ANCHORARRAY(Omia_1!C14))</f>
        <v>#N/A</v>
      </c>
      <c r="F212" s="131" t="e">
        <f>_xlfn.XLOOKUP(INT(SUBSTITUTE(E212,"Connecteur ","")),Mesures_Omia!C23:C35,Mesures_Omia!B23:B35)</f>
        <v>#N/A</v>
      </c>
    </row>
    <row r="213" spans="1:6" x14ac:dyDescent="0.25">
      <c r="A213" s="470"/>
      <c r="B213" s="129" t="s">
        <v>206</v>
      </c>
      <c r="C213" s="132" t="e">
        <f>MIN(Omia_1!C16:O16)</f>
        <v>#N/A</v>
      </c>
      <c r="D213" s="130" t="e">
        <f>_xlfn.XLOOKUP(INT(SUBSTITUTE(E213,"Connecteur ","")),Mesures_Omia!C23:C35,Mesures_Omia!A23:A35)</f>
        <v>#N/A</v>
      </c>
      <c r="E213" s="130" t="e" cm="1">
        <f t="array" ref="E213">_xlfn.XLOOKUP(MIN(Omia_1!C16:O16),Omia_1!C16:O16,_xlfn.ANCHORARRAY(Omia_1!C14))</f>
        <v>#N/A</v>
      </c>
      <c r="F213" s="131" t="e">
        <f>_xlfn.XLOOKUP(INT(SUBSTITUTE(E213,"Connecteur ","")),Mesures_Omia!C23:C35,Mesures_Omia!B23:B35)</f>
        <v>#N/A</v>
      </c>
    </row>
    <row r="214" spans="1:6" x14ac:dyDescent="0.25">
      <c r="A214" s="470"/>
      <c r="B214" s="129" t="s">
        <v>207</v>
      </c>
      <c r="C214" s="132" t="e">
        <f>AVERAGE(Omia_1!C17:O17)</f>
        <v>#N/A</v>
      </c>
      <c r="D214" s="130" t="s">
        <v>201</v>
      </c>
      <c r="E214" s="130" t="s">
        <v>201</v>
      </c>
      <c r="F214" s="131" t="s">
        <v>201</v>
      </c>
    </row>
    <row r="215" spans="1:6" x14ac:dyDescent="0.25">
      <c r="C215" s="89"/>
      <c r="D215" s="89"/>
      <c r="E215" s="89"/>
      <c r="F215" s="89"/>
    </row>
    <row r="226" spans="1:14" ht="36" x14ac:dyDescent="0.25">
      <c r="B226" s="462" t="str">
        <f>"7. Résultats et exploitation des résultats à " &amp; Mesures_Omia!B19 &amp; "°C"</f>
        <v>7. Résultats et exploitation des résultats à °C</v>
      </c>
      <c r="C226" s="462"/>
      <c r="D226" s="462"/>
      <c r="E226" s="462"/>
      <c r="F226" s="462"/>
    </row>
    <row r="229" spans="1:14" x14ac:dyDescent="0.25">
      <c r="B229" s="338" t="s">
        <v>209</v>
      </c>
      <c r="C229" s="338"/>
    </row>
    <row r="233" spans="1:14" x14ac:dyDescent="0.25">
      <c r="A233" s="1"/>
      <c r="B233" s="152" t="str" cm="1">
        <f t="array" ref="B233:N233">Donnees_Brutes_Omia_1[[#Headers],[Connecteur 1]:[Connecteur 13]]</f>
        <v>Connecteur 1</v>
      </c>
      <c r="C233" s="152" t="str">
        <v>Connecteur 2</v>
      </c>
      <c r="D233" s="152" t="str">
        <v>Connecteur 3</v>
      </c>
      <c r="E233" s="152" t="str">
        <v>Connecteur 4</v>
      </c>
      <c r="F233" s="152" t="str">
        <v>Connecteur 5</v>
      </c>
      <c r="G233" s="152" t="str">
        <v>Connecteur 6</v>
      </c>
      <c r="H233" s="152" t="str">
        <v>Connecteur 7</v>
      </c>
      <c r="I233" s="152" t="str">
        <v>Connecteur 8</v>
      </c>
      <c r="J233" s="152" t="str">
        <v>Connecteur 9</v>
      </c>
      <c r="K233" s="152" t="str">
        <v>Connecteur 10</v>
      </c>
      <c r="L233" s="152" t="str">
        <v>Connecteur 11</v>
      </c>
      <c r="M233" s="152" t="str">
        <v>Connecteur 12</v>
      </c>
      <c r="N233" s="152" t="str">
        <v>Connecteur 13</v>
      </c>
    </row>
    <row r="234" spans="1:14" x14ac:dyDescent="0.25">
      <c r="A234" s="42" t="s">
        <v>91</v>
      </c>
      <c r="B234" s="43" t="e">
        <f>Omia_1!C15</f>
        <v>#N/A</v>
      </c>
      <c r="C234" s="43" t="e">
        <f>Omia_1!D15</f>
        <v>#N/A</v>
      </c>
      <c r="D234" s="43" t="e">
        <f>Omia_1!E15</f>
        <v>#N/A</v>
      </c>
      <c r="E234" s="43" t="e">
        <f>Omia_1!F15</f>
        <v>#N/A</v>
      </c>
      <c r="F234" s="43" t="e">
        <f>Omia_1!G15</f>
        <v>#N/A</v>
      </c>
      <c r="G234" s="43" t="e">
        <f>Omia_1!H15</f>
        <v>#N/A</v>
      </c>
      <c r="H234" s="43" t="e">
        <f>Omia_1!I15</f>
        <v>#N/A</v>
      </c>
      <c r="I234" s="43" t="e">
        <f>Omia_1!J15</f>
        <v>#N/A</v>
      </c>
      <c r="J234" s="43" t="e">
        <f>Omia_1!K15</f>
        <v>#N/A</v>
      </c>
      <c r="K234" s="43" t="e">
        <f>Omia_1!L15</f>
        <v>#N/A</v>
      </c>
      <c r="L234" s="43" t="e">
        <f>Omia_1!M15</f>
        <v>#N/A</v>
      </c>
      <c r="M234" s="43" t="e">
        <f>Omia_1!N15</f>
        <v>#N/A</v>
      </c>
      <c r="N234" s="43" t="e">
        <f>Omia_1!O15</f>
        <v>#N/A</v>
      </c>
    </row>
    <row r="235" spans="1:14" x14ac:dyDescent="0.25">
      <c r="A235" s="42" t="s">
        <v>93</v>
      </c>
      <c r="B235" s="43" t="e">
        <f>Omia_1!C16</f>
        <v>#N/A</v>
      </c>
      <c r="C235" s="43" t="e">
        <f>Omia_1!D16</f>
        <v>#N/A</v>
      </c>
      <c r="D235" s="43" t="e">
        <f>Omia_1!E16</f>
        <v>#N/A</v>
      </c>
      <c r="E235" s="43" t="e">
        <f>Omia_1!F16</f>
        <v>#N/A</v>
      </c>
      <c r="F235" s="43" t="e">
        <f>Omia_1!G16</f>
        <v>#N/A</v>
      </c>
      <c r="G235" s="43" t="e">
        <f>Omia_1!H16</f>
        <v>#N/A</v>
      </c>
      <c r="H235" s="43" t="e">
        <f>Omia_1!I16</f>
        <v>#N/A</v>
      </c>
      <c r="I235" s="43" t="e">
        <f>Omia_1!J16</f>
        <v>#N/A</v>
      </c>
      <c r="J235" s="43" t="e">
        <f>Omia_1!K16</f>
        <v>#N/A</v>
      </c>
      <c r="K235" s="43" t="e">
        <f>Omia_1!L16</f>
        <v>#N/A</v>
      </c>
      <c r="L235" s="43" t="e">
        <f>Omia_1!M16</f>
        <v>#N/A</v>
      </c>
      <c r="M235" s="43" t="e">
        <f>Omia_1!N16</f>
        <v>#N/A</v>
      </c>
      <c r="N235" s="43" t="e">
        <f>Omia_1!O16</f>
        <v>#N/A</v>
      </c>
    </row>
    <row r="236" spans="1:14" x14ac:dyDescent="0.25">
      <c r="A236" s="42" t="s">
        <v>95</v>
      </c>
      <c r="B236" s="43" t="e">
        <f>Omia_1!C17</f>
        <v>#N/A</v>
      </c>
      <c r="C236" s="43" t="e">
        <f>Omia_1!D17</f>
        <v>#N/A</v>
      </c>
      <c r="D236" s="43" t="e">
        <f>Omia_1!E17</f>
        <v>#N/A</v>
      </c>
      <c r="E236" s="43" t="e">
        <f>Omia_1!F17</f>
        <v>#N/A</v>
      </c>
      <c r="F236" s="43" t="e">
        <f>Omia_1!G17</f>
        <v>#N/A</v>
      </c>
      <c r="G236" s="43" t="e">
        <f>Omia_1!H17</f>
        <v>#N/A</v>
      </c>
      <c r="H236" s="43" t="e">
        <f>Omia_1!I17</f>
        <v>#N/A</v>
      </c>
      <c r="I236" s="43" t="e">
        <f>Omia_1!J17</f>
        <v>#N/A</v>
      </c>
      <c r="J236" s="43" t="e">
        <f>Omia_1!K17</f>
        <v>#N/A</v>
      </c>
      <c r="K236" s="43" t="e">
        <f>Omia_1!L17</f>
        <v>#N/A</v>
      </c>
      <c r="L236" s="43" t="e">
        <f>Omia_1!M17</f>
        <v>#N/A</v>
      </c>
      <c r="M236" s="43" t="e">
        <f>Omia_1!N17</f>
        <v>#N/A</v>
      </c>
      <c r="N236" s="43" t="e">
        <f>Omia_1!O17</f>
        <v>#N/A</v>
      </c>
    </row>
    <row r="237" spans="1:14" x14ac:dyDescent="0.25">
      <c r="A237" s="42" t="s">
        <v>96</v>
      </c>
      <c r="B237" s="43" t="e">
        <f>Omia_1!C18</f>
        <v>#N/A</v>
      </c>
      <c r="C237" s="43" t="e">
        <f>Omia_1!D18</f>
        <v>#N/A</v>
      </c>
      <c r="D237" s="43" t="e">
        <f>Omia_1!E18</f>
        <v>#N/A</v>
      </c>
      <c r="E237" s="43" t="e">
        <f>Omia_1!F18</f>
        <v>#N/A</v>
      </c>
      <c r="F237" s="43" t="e">
        <f>Omia_1!G18</f>
        <v>#N/A</v>
      </c>
      <c r="G237" s="43" t="e">
        <f>Omia_1!H18</f>
        <v>#N/A</v>
      </c>
      <c r="H237" s="43" t="e">
        <f>Omia_1!I18</f>
        <v>#N/A</v>
      </c>
      <c r="I237" s="43" t="e">
        <f>Omia_1!J18</f>
        <v>#N/A</v>
      </c>
      <c r="J237" s="43" t="e">
        <f>Omia_1!K18</f>
        <v>#N/A</v>
      </c>
      <c r="K237" s="43" t="e">
        <f>Omia_1!L18</f>
        <v>#N/A</v>
      </c>
      <c r="L237" s="43" t="e">
        <f>Omia_1!M18</f>
        <v>#N/A</v>
      </c>
      <c r="M237" s="43" t="e">
        <f>Omia_1!N18</f>
        <v>#N/A</v>
      </c>
      <c r="N237" s="43" t="e">
        <f>Omia_1!O18</f>
        <v>#N/A</v>
      </c>
    </row>
    <row r="238" spans="1:14" x14ac:dyDescent="0.25">
      <c r="A238" s="42" t="s">
        <v>97</v>
      </c>
      <c r="B238" s="492" t="e">
        <f>Omia_1!C19</f>
        <v>#N/A</v>
      </c>
      <c r="C238" s="493"/>
      <c r="D238" s="493"/>
      <c r="E238" s="493"/>
      <c r="F238" s="493"/>
      <c r="G238" s="493"/>
      <c r="H238" s="493"/>
      <c r="I238" s="493"/>
      <c r="J238" s="493"/>
      <c r="K238" s="493"/>
      <c r="L238" s="493"/>
      <c r="M238" s="493"/>
      <c r="N238" s="494"/>
    </row>
    <row r="239" spans="1:14" x14ac:dyDescent="0.25">
      <c r="A239" s="42" t="s">
        <v>98</v>
      </c>
      <c r="B239" s="492" t="e">
        <f>Omia_1!C20</f>
        <v>#N/A</v>
      </c>
      <c r="C239" s="493"/>
      <c r="D239" s="493"/>
      <c r="E239" s="493"/>
      <c r="F239" s="493"/>
      <c r="G239" s="493"/>
      <c r="H239" s="493"/>
      <c r="I239" s="493"/>
      <c r="J239" s="493"/>
      <c r="K239" s="493"/>
      <c r="L239" s="493"/>
      <c r="M239" s="493"/>
      <c r="N239" s="494"/>
    </row>
    <row r="240" spans="1:14" x14ac:dyDescent="0.25">
      <c r="A240" s="36" t="s">
        <v>99</v>
      </c>
      <c r="B240" s="153" t="e" cm="1">
        <f t="array" aca="1" ref="B240:N240" ca="1">Omia_1!C21:O21</f>
        <v>#REF!</v>
      </c>
      <c r="C240" s="154" t="e">
        <f ca="1"/>
        <v>#REF!</v>
      </c>
      <c r="D240" s="154" t="e">
        <f ca="1"/>
        <v>#REF!</v>
      </c>
      <c r="E240" s="154" t="e">
        <f ca="1"/>
        <v>#REF!</v>
      </c>
      <c r="F240" s="154" t="e">
        <f ca="1"/>
        <v>#REF!</v>
      </c>
      <c r="G240" s="154" t="e">
        <f ca="1"/>
        <v>#REF!</v>
      </c>
      <c r="H240" s="154" t="e">
        <f ca="1"/>
        <v>#REF!</v>
      </c>
      <c r="I240" s="154" t="e">
        <f ca="1"/>
        <v>#REF!</v>
      </c>
      <c r="J240" s="154" t="e">
        <f ca="1"/>
        <v>#REF!</v>
      </c>
      <c r="K240" s="154" t="e">
        <f ca="1"/>
        <v>#REF!</v>
      </c>
      <c r="L240" s="154" t="e">
        <f ca="1"/>
        <v>#REF!</v>
      </c>
      <c r="M240" s="154" t="e">
        <f ca="1"/>
        <v>#REF!</v>
      </c>
      <c r="N240" s="154" t="e">
        <f ca="1"/>
        <v>#REF!</v>
      </c>
    </row>
    <row r="252" spans="2:6" x14ac:dyDescent="0.25">
      <c r="B252" s="135"/>
    </row>
    <row r="254" spans="2:6" ht="36" x14ac:dyDescent="0.3">
      <c r="C254" s="136" t="str">
        <f>"8. Résultats et exploitation des résultats à " &amp; Mesures_Omia!B19 &amp; "°C"</f>
        <v>8. Résultats et exploitation des résultats à °C</v>
      </c>
      <c r="D254" s="137"/>
      <c r="E254" s="137"/>
      <c r="F254" s="137"/>
    </row>
    <row r="257" spans="2:2" x14ac:dyDescent="0.25">
      <c r="B257" t="s">
        <v>216</v>
      </c>
    </row>
    <row r="291" spans="1:9" ht="36" x14ac:dyDescent="0.25">
      <c r="B291" s="136" t="str">
        <f>"9. Résultats et exploitation des résultats à " &amp; Mesures_Omia!C19 &amp; "°C"</f>
        <v>9. Résultats et exploitation des résultats à °C</v>
      </c>
    </row>
    <row r="299" spans="1:9" x14ac:dyDescent="0.25">
      <c r="A299" s="122" t="s">
        <v>241</v>
      </c>
      <c r="B299" s="124">
        <v>150</v>
      </c>
      <c r="G299" s="466" t="s">
        <v>191</v>
      </c>
      <c r="H299" s="467"/>
      <c r="I299" s="468"/>
    </row>
    <row r="300" spans="1:9" x14ac:dyDescent="0.25">
      <c r="A300" s="122" t="s">
        <v>242</v>
      </c>
      <c r="B300" s="151">
        <f>Mesures_Omia!B20</f>
        <v>0</v>
      </c>
      <c r="G300" s="22" t="s">
        <v>192</v>
      </c>
      <c r="H300" s="22" t="s">
        <v>193</v>
      </c>
      <c r="I300" s="22" t="s">
        <v>194</v>
      </c>
    </row>
    <row r="301" spans="1:9" x14ac:dyDescent="0.25">
      <c r="G301" s="125">
        <f>INDEX(Donnees_Brutes_Omia_2[Date/Heure], 1)</f>
        <v>0</v>
      </c>
      <c r="H301" s="125" cm="1">
        <f t="array" ref="H301">INDEX(Donnees_Brutes_Omia_2[Date/Heure], COUNTA(Donnees_Brutes_Omia_2[Connecteur 1]))</f>
        <v>0</v>
      </c>
      <c r="I301" s="125">
        <f>H301-G301</f>
        <v>0</v>
      </c>
    </row>
    <row r="304" spans="1:9" ht="23.25" x14ac:dyDescent="0.25">
      <c r="B304" s="469" t="s">
        <v>195</v>
      </c>
      <c r="C304" s="469"/>
    </row>
    <row r="307" spans="1:6" ht="30" x14ac:dyDescent="0.25">
      <c r="B307" s="126" t="s">
        <v>196</v>
      </c>
      <c r="C307" s="127" t="s">
        <v>197</v>
      </c>
      <c r="D307" s="127" t="s">
        <v>112</v>
      </c>
      <c r="E307" s="128" t="s">
        <v>198</v>
      </c>
      <c r="F307" s="127" t="s">
        <v>199</v>
      </c>
    </row>
    <row r="308" spans="1:6" x14ac:dyDescent="0.25">
      <c r="B308" s="129" t="s">
        <v>200</v>
      </c>
      <c r="C308" s="130" t="str">
        <f>"150°C"</f>
        <v>150°C</v>
      </c>
      <c r="D308" s="130" t="s">
        <v>201</v>
      </c>
      <c r="E308" s="130" t="s">
        <v>201</v>
      </c>
      <c r="F308" s="131" t="s">
        <v>201</v>
      </c>
    </row>
    <row r="309" spans="1:6" x14ac:dyDescent="0.25">
      <c r="B309" s="129" t="s">
        <v>202</v>
      </c>
      <c r="C309" s="130" t="str">
        <f>"150°C"</f>
        <v>150°C</v>
      </c>
      <c r="D309" s="130" t="s">
        <v>201</v>
      </c>
      <c r="E309" s="130" t="s">
        <v>201</v>
      </c>
      <c r="F309" s="131" t="s">
        <v>201</v>
      </c>
    </row>
    <row r="310" spans="1:6" x14ac:dyDescent="0.25">
      <c r="A310" s="470" t="s">
        <v>203</v>
      </c>
      <c r="B310" s="129" t="s">
        <v>204</v>
      </c>
      <c r="C310" s="132" t="e">
        <f>MAX(Omia_2!C15:O15)</f>
        <v>#N/A</v>
      </c>
      <c r="D310" s="130" t="e">
        <f>_xlfn.XLOOKUP(INT(SUBSTITUTE(E310,"Connecteur ","")),Mesures_Omia!C23:C35,Mesures_Omia!A23:A35)</f>
        <v>#N/A</v>
      </c>
      <c r="E310" s="130" t="e" cm="1">
        <f t="array" ref="E310">_xlfn.XLOOKUP(MAX(Omia_2!C15:O15),Omia_2!C15:O15,_xlfn.ANCHORARRAY(Omia_2!C14))</f>
        <v>#N/A</v>
      </c>
      <c r="F310" s="130" t="e">
        <f>_xlfn.XLOOKUP(INT(SUBSTITUTE(E310,"Connecteur ","")),Mesures_Omia!C23:C35,Mesures_Omia!B23:B35)</f>
        <v>#N/A</v>
      </c>
    </row>
    <row r="311" spans="1:6" x14ac:dyDescent="0.25">
      <c r="A311" s="470"/>
      <c r="B311" s="129" t="s">
        <v>205</v>
      </c>
      <c r="C311" s="132" t="e">
        <f>MIN(Omia_2!C15:O15)</f>
        <v>#N/A</v>
      </c>
      <c r="D311" s="130" t="e">
        <f>_xlfn.XLOOKUP(INT(SUBSTITUTE(E311,"Connecteur ","")),Mesures_Omia!C23:C35,Mesures_Omia!A23:A35)</f>
        <v>#N/A</v>
      </c>
      <c r="E311" s="130" t="e" cm="1">
        <f t="array" ref="E311">_xlfn.XLOOKUP(MIN(Omia_2!C15:O15),Omia_2!C15:O15,_xlfn.ANCHORARRAY(Omia_2!C14))</f>
        <v>#N/A</v>
      </c>
      <c r="F311" s="131" t="e">
        <f>_xlfn.XLOOKUP(INT(SUBSTITUTE(E311,"Connecteur ","")),Mesures_Omia!C23:C35,Mesures_Omia!B23:B35)</f>
        <v>#N/A</v>
      </c>
    </row>
    <row r="312" spans="1:6" x14ac:dyDescent="0.25">
      <c r="A312" s="470"/>
      <c r="B312" s="129" t="s">
        <v>206</v>
      </c>
      <c r="C312" s="132" t="e">
        <f>MIN(Omia_2!C15:O15)</f>
        <v>#N/A</v>
      </c>
      <c r="D312" s="130" t="e">
        <f>_xlfn.XLOOKUP(INT(SUBSTITUTE(E312,"Connecteur ","")),Mesures_Omia!C24:C36,Mesures_Omia!A24:A36)</f>
        <v>#N/A</v>
      </c>
      <c r="E312" s="130" t="e" cm="1">
        <f t="array" ref="E312">_xlfn.XLOOKUP(MIN(Omia_2!C16:O16),Omia_2!C16:O16,_xlfn.ANCHORARRAY(Omia_2!C14))</f>
        <v>#N/A</v>
      </c>
      <c r="F312" s="131" t="e">
        <f>_xlfn.XLOOKUP(INT(SUBSTITUTE(E312,"Connecteur ","")),Mesures_Omia!C24:C36,Mesures_Omia!B24:B36)</f>
        <v>#N/A</v>
      </c>
    </row>
    <row r="313" spans="1:6" x14ac:dyDescent="0.25">
      <c r="A313" s="470"/>
      <c r="B313" s="129" t="s">
        <v>207</v>
      </c>
      <c r="C313" s="132" t="e">
        <f>AVERAGE(Omia_2!C15:O15)</f>
        <v>#N/A</v>
      </c>
      <c r="D313" s="130" t="s">
        <v>201</v>
      </c>
      <c r="E313" s="130" t="s">
        <v>201</v>
      </c>
      <c r="F313" s="131" t="s">
        <v>201</v>
      </c>
    </row>
    <row r="314" spans="1:6" x14ac:dyDescent="0.25">
      <c r="C314" s="89"/>
      <c r="D314" s="89"/>
      <c r="E314" s="89"/>
      <c r="F314" s="89"/>
    </row>
    <row r="324" spans="1:14" ht="36" x14ac:dyDescent="0.25">
      <c r="B324" s="462" t="str">
        <f>"10. Résultats et exploitation des résultats à " &amp; Mesures_Omia!C19 &amp; "°C"</f>
        <v>10. Résultats et exploitation des résultats à °C</v>
      </c>
      <c r="C324" s="462"/>
      <c r="D324" s="462"/>
      <c r="E324" s="462"/>
      <c r="F324" s="462"/>
    </row>
    <row r="327" spans="1:14" x14ac:dyDescent="0.25">
      <c r="B327" s="338" t="s">
        <v>209</v>
      </c>
      <c r="C327" s="338"/>
    </row>
    <row r="331" spans="1:14" x14ac:dyDescent="0.25">
      <c r="A331" s="1"/>
      <c r="B331" s="152" t="str" cm="1">
        <f t="array" ref="B331:N331">Donnees_Brutes_Omia_1[[#Headers],[Connecteur 1]:[Connecteur 13]]</f>
        <v>Connecteur 1</v>
      </c>
      <c r="C331" s="152" t="str">
        <v>Connecteur 2</v>
      </c>
      <c r="D331" s="152" t="str">
        <v>Connecteur 3</v>
      </c>
      <c r="E331" s="152" t="str">
        <v>Connecteur 4</v>
      </c>
      <c r="F331" s="152" t="str">
        <v>Connecteur 5</v>
      </c>
      <c r="G331" s="152" t="str">
        <v>Connecteur 6</v>
      </c>
      <c r="H331" s="152" t="str">
        <v>Connecteur 7</v>
      </c>
      <c r="I331" s="152" t="str">
        <v>Connecteur 8</v>
      </c>
      <c r="J331" s="152" t="str">
        <v>Connecteur 9</v>
      </c>
      <c r="K331" s="152" t="str">
        <v>Connecteur 10</v>
      </c>
      <c r="L331" s="152" t="str">
        <v>Connecteur 11</v>
      </c>
      <c r="M331" s="152" t="str">
        <v>Connecteur 12</v>
      </c>
      <c r="N331" s="152" t="str">
        <v>Connecteur 13</v>
      </c>
    </row>
    <row r="332" spans="1:14" x14ac:dyDescent="0.25">
      <c r="A332" s="42" t="s">
        <v>91</v>
      </c>
      <c r="B332" s="43" t="e" cm="1">
        <f t="array" ref="B332:N335">Omia_2!C15:O18</f>
        <v>#N/A</v>
      </c>
      <c r="C332" s="43" t="e">
        <v>#N/A</v>
      </c>
      <c r="D332" s="43" t="e">
        <v>#N/A</v>
      </c>
      <c r="E332" s="43" t="e">
        <v>#N/A</v>
      </c>
      <c r="F332" s="43" t="e">
        <v>#N/A</v>
      </c>
      <c r="G332" s="43" t="e">
        <v>#N/A</v>
      </c>
      <c r="H332" s="43" t="e">
        <v>#N/A</v>
      </c>
      <c r="I332" s="43" t="e">
        <v>#N/A</v>
      </c>
      <c r="J332" s="43" t="e">
        <v>#N/A</v>
      </c>
      <c r="K332" s="43" t="e">
        <v>#N/A</v>
      </c>
      <c r="L332" s="43" t="e">
        <v>#N/A</v>
      </c>
      <c r="M332" s="43" t="e">
        <v>#N/A</v>
      </c>
      <c r="N332" s="43" t="e">
        <v>#N/A</v>
      </c>
    </row>
    <row r="333" spans="1:14" x14ac:dyDescent="0.25">
      <c r="A333" s="42" t="s">
        <v>93</v>
      </c>
      <c r="B333" s="43" t="e">
        <v>#N/A</v>
      </c>
      <c r="C333" s="43" t="e">
        <v>#N/A</v>
      </c>
      <c r="D333" s="43" t="e">
        <v>#N/A</v>
      </c>
      <c r="E333" s="43" t="e">
        <v>#N/A</v>
      </c>
      <c r="F333" s="43" t="e">
        <v>#N/A</v>
      </c>
      <c r="G333" s="43" t="e">
        <v>#N/A</v>
      </c>
      <c r="H333" s="43" t="e">
        <v>#N/A</v>
      </c>
      <c r="I333" s="43" t="e">
        <v>#N/A</v>
      </c>
      <c r="J333" s="43" t="e">
        <v>#N/A</v>
      </c>
      <c r="K333" s="43" t="e">
        <v>#N/A</v>
      </c>
      <c r="L333" s="43" t="e">
        <v>#N/A</v>
      </c>
      <c r="M333" s="43" t="e">
        <v>#N/A</v>
      </c>
      <c r="N333" s="43" t="e">
        <v>#N/A</v>
      </c>
    </row>
    <row r="334" spans="1:14" x14ac:dyDescent="0.25">
      <c r="A334" s="42" t="s">
        <v>95</v>
      </c>
      <c r="B334" s="43" t="e">
        <v>#N/A</v>
      </c>
      <c r="C334" s="43" t="e">
        <v>#N/A</v>
      </c>
      <c r="D334" s="43" t="e">
        <v>#N/A</v>
      </c>
      <c r="E334" s="43" t="e">
        <v>#N/A</v>
      </c>
      <c r="F334" s="43" t="e">
        <v>#N/A</v>
      </c>
      <c r="G334" s="43" t="e">
        <v>#N/A</v>
      </c>
      <c r="H334" s="43" t="e">
        <v>#N/A</v>
      </c>
      <c r="I334" s="43" t="e">
        <v>#N/A</v>
      </c>
      <c r="J334" s="43" t="e">
        <v>#N/A</v>
      </c>
      <c r="K334" s="43" t="e">
        <v>#N/A</v>
      </c>
      <c r="L334" s="43" t="e">
        <v>#N/A</v>
      </c>
      <c r="M334" s="43" t="e">
        <v>#N/A</v>
      </c>
      <c r="N334" s="43" t="e">
        <v>#N/A</v>
      </c>
    </row>
    <row r="335" spans="1:14" x14ac:dyDescent="0.25">
      <c r="A335" s="42" t="s">
        <v>96</v>
      </c>
      <c r="B335" s="43" t="e">
        <v>#N/A</v>
      </c>
      <c r="C335" s="43" t="e">
        <v>#N/A</v>
      </c>
      <c r="D335" s="43" t="e">
        <v>#N/A</v>
      </c>
      <c r="E335" s="43" t="e">
        <v>#N/A</v>
      </c>
      <c r="F335" s="43" t="e">
        <v>#N/A</v>
      </c>
      <c r="G335" s="43" t="e">
        <v>#N/A</v>
      </c>
      <c r="H335" s="43" t="e">
        <v>#N/A</v>
      </c>
      <c r="I335" s="43" t="e">
        <v>#N/A</v>
      </c>
      <c r="J335" s="43" t="e">
        <v>#N/A</v>
      </c>
      <c r="K335" s="43" t="e">
        <v>#N/A</v>
      </c>
      <c r="L335" s="43" t="e">
        <v>#N/A</v>
      </c>
      <c r="M335" s="43" t="e">
        <v>#N/A</v>
      </c>
      <c r="N335" s="43" t="e">
        <v>#N/A</v>
      </c>
    </row>
    <row r="336" spans="1:14" x14ac:dyDescent="0.25">
      <c r="A336" s="42" t="s">
        <v>97</v>
      </c>
      <c r="B336" s="492" t="e">
        <f>Omia_2!C19</f>
        <v>#N/A</v>
      </c>
      <c r="C336" s="493"/>
      <c r="D336" s="493"/>
      <c r="E336" s="493"/>
      <c r="F336" s="493"/>
      <c r="G336" s="493"/>
      <c r="H336" s="493"/>
      <c r="I336" s="493"/>
      <c r="J336" s="493"/>
      <c r="K336" s="493"/>
      <c r="L336" s="493"/>
      <c r="M336" s="493"/>
      <c r="N336" s="494"/>
    </row>
    <row r="337" spans="1:14" x14ac:dyDescent="0.25">
      <c r="A337" s="42" t="s">
        <v>98</v>
      </c>
      <c r="B337" s="492" t="e">
        <f>Omia_2!C20</f>
        <v>#N/A</v>
      </c>
      <c r="C337" s="493"/>
      <c r="D337" s="493"/>
      <c r="E337" s="493"/>
      <c r="F337" s="493"/>
      <c r="G337" s="493"/>
      <c r="H337" s="493"/>
      <c r="I337" s="493"/>
      <c r="J337" s="493"/>
      <c r="K337" s="493"/>
      <c r="L337" s="493"/>
      <c r="M337" s="493"/>
      <c r="N337" s="494"/>
    </row>
    <row r="338" spans="1:14" x14ac:dyDescent="0.25">
      <c r="A338" s="36" t="s">
        <v>99</v>
      </c>
      <c r="B338" s="153" t="e" cm="1">
        <f t="array" aca="1" ref="B338:N338" ca="1">Omia_2!C21:O21</f>
        <v>#REF!</v>
      </c>
      <c r="C338" s="154" t="e">
        <f ca="1"/>
        <v>#REF!</v>
      </c>
      <c r="D338" s="154" t="e">
        <f ca="1"/>
        <v>#REF!</v>
      </c>
      <c r="E338" s="154" t="e">
        <f ca="1"/>
        <v>#REF!</v>
      </c>
      <c r="F338" s="154" t="e">
        <f ca="1"/>
        <v>#REF!</v>
      </c>
      <c r="G338" s="154" t="e">
        <f ca="1"/>
        <v>#REF!</v>
      </c>
      <c r="H338" s="154" t="e">
        <f ca="1"/>
        <v>#REF!</v>
      </c>
      <c r="I338" s="154" t="e">
        <f ca="1"/>
        <v>#REF!</v>
      </c>
      <c r="J338" s="154" t="e">
        <f ca="1"/>
        <v>#REF!</v>
      </c>
      <c r="K338" s="154" t="e">
        <f ca="1"/>
        <v>#REF!</v>
      </c>
      <c r="L338" s="154" t="e">
        <f ca="1"/>
        <v>#REF!</v>
      </c>
      <c r="M338" s="154" t="e">
        <f ca="1"/>
        <v>#REF!</v>
      </c>
      <c r="N338" s="154" t="e">
        <f ca="1"/>
        <v>#REF!</v>
      </c>
    </row>
    <row r="348" spans="1:14" x14ac:dyDescent="0.25">
      <c r="B348" s="135"/>
    </row>
    <row r="350" spans="1:14" ht="36" x14ac:dyDescent="0.3">
      <c r="C350" s="136" t="str">
        <f>"11. Résultats et exploitation des résultats à " &amp; Mesures_Omia!C19 &amp; "°C"</f>
        <v>11. Résultats et exploitation des résultats à °C</v>
      </c>
      <c r="D350" s="137"/>
      <c r="E350" s="137"/>
      <c r="F350" s="137"/>
    </row>
    <row r="353" spans="2:2" x14ac:dyDescent="0.25">
      <c r="B353" t="s">
        <v>216</v>
      </c>
    </row>
    <row r="402" spans="1:9" ht="36" x14ac:dyDescent="0.25">
      <c r="B402" s="136" t="str">
        <f>"12. Résultats et exploitation des résultats à " &amp; Mesures_Omia!D19 &amp; "°C"</f>
        <v>12. Résultats et exploitation des résultats à °C</v>
      </c>
    </row>
    <row r="409" spans="1:9" x14ac:dyDescent="0.25">
      <c r="A409" s="122" t="s">
        <v>241</v>
      </c>
      <c r="B409" s="124">
        <v>190</v>
      </c>
      <c r="G409" s="466" t="s">
        <v>191</v>
      </c>
      <c r="H409" s="467"/>
      <c r="I409" s="468"/>
    </row>
    <row r="410" spans="1:9" x14ac:dyDescent="0.25">
      <c r="A410" s="122" t="s">
        <v>242</v>
      </c>
      <c r="B410" s="151">
        <f>Mesures_Omia!B20</f>
        <v>0</v>
      </c>
      <c r="G410" s="22" t="s">
        <v>192</v>
      </c>
      <c r="H410" s="22" t="s">
        <v>193</v>
      </c>
      <c r="I410" s="22" t="s">
        <v>194</v>
      </c>
    </row>
    <row r="411" spans="1:9" x14ac:dyDescent="0.25">
      <c r="G411" s="125">
        <f>INDEX(Donnees_Brutes_Omia_3[Date/Heure], 1)</f>
        <v>0</v>
      </c>
      <c r="H411" s="125" cm="1">
        <f t="array" ref="H411">INDEX(Donnees_Brutes_Omia_3[Date/Heure], COUNTA(Donnees_Brutes_Omia_3[Connecteur 1]))</f>
        <v>0</v>
      </c>
      <c r="I411" s="125">
        <f>H411-G411</f>
        <v>0</v>
      </c>
    </row>
    <row r="414" spans="1:9" ht="23.25" x14ac:dyDescent="0.25">
      <c r="B414" s="469" t="s">
        <v>195</v>
      </c>
      <c r="C414" s="469"/>
    </row>
    <row r="417" spans="1:6" ht="30" x14ac:dyDescent="0.25">
      <c r="B417" s="126" t="s">
        <v>196</v>
      </c>
      <c r="C417" s="127" t="s">
        <v>197</v>
      </c>
      <c r="D417" s="127" t="s">
        <v>112</v>
      </c>
      <c r="E417" s="128" t="s">
        <v>198</v>
      </c>
      <c r="F417" s="127" t="s">
        <v>199</v>
      </c>
    </row>
    <row r="418" spans="1:6" x14ac:dyDescent="0.25">
      <c r="B418" s="129" t="s">
        <v>200</v>
      </c>
      <c r="C418" s="130" t="str">
        <f>"190°C"</f>
        <v>190°C</v>
      </c>
      <c r="D418" s="130" t="s">
        <v>201</v>
      </c>
      <c r="E418" s="130" t="s">
        <v>201</v>
      </c>
      <c r="F418" s="131" t="s">
        <v>201</v>
      </c>
    </row>
    <row r="419" spans="1:6" x14ac:dyDescent="0.25">
      <c r="B419" s="129" t="s">
        <v>202</v>
      </c>
      <c r="C419" s="130" t="str">
        <f>"190°C"</f>
        <v>190°C</v>
      </c>
      <c r="D419" s="130" t="s">
        <v>201</v>
      </c>
      <c r="E419" s="130" t="s">
        <v>201</v>
      </c>
      <c r="F419" s="131" t="s">
        <v>201</v>
      </c>
    </row>
    <row r="420" spans="1:6" x14ac:dyDescent="0.25">
      <c r="A420" s="470" t="s">
        <v>203</v>
      </c>
      <c r="B420" s="129" t="s">
        <v>204</v>
      </c>
      <c r="C420" s="132" t="e">
        <f>MAX(Omia_3!C15:O15)</f>
        <v>#N/A</v>
      </c>
      <c r="D420" s="130" t="e">
        <f>_xlfn.XLOOKUP(INT(SUBSTITUTE(E420,"Connecteur ","")),Mesures_Omia!C23:C35,Mesures_Omia!A23:A35)</f>
        <v>#N/A</v>
      </c>
      <c r="E420" s="130" t="e" cm="1">
        <f t="array" ref="E420">_xlfn.XLOOKUP(MAX(Omia_3!C15:O15),Omia_3!C15:O15,_xlfn.ANCHORARRAY(Omia_3!C14))</f>
        <v>#N/A</v>
      </c>
      <c r="F420" s="130" t="e">
        <f>_xlfn.XLOOKUP(INT(SUBSTITUTE(E420,"Connecteur ","")),Mesures_Omia!C23:C35,Mesures_Omia!B23:B35)</f>
        <v>#N/A</v>
      </c>
    </row>
    <row r="421" spans="1:6" x14ac:dyDescent="0.25">
      <c r="A421" s="470"/>
      <c r="B421" s="129" t="s">
        <v>205</v>
      </c>
      <c r="C421" s="132" t="e">
        <f>MIN(Omia_3!C15:O15)</f>
        <v>#N/A</v>
      </c>
      <c r="D421" s="130" t="e">
        <f>_xlfn.XLOOKUP(INT(SUBSTITUTE(E421,"Connecteur ","")),Mesures_Omia!C23:C35,Mesures_Omia!A23:A35)</f>
        <v>#N/A</v>
      </c>
      <c r="E421" s="130" t="e" cm="1">
        <f t="array" ref="E421">_xlfn.XLOOKUP(MIN(Omia_3!C15:O15),Omia_3!C15:O15,_xlfn.ANCHORARRAY(Omia_3!C14))</f>
        <v>#N/A</v>
      </c>
      <c r="F421" s="131" t="e">
        <f>_xlfn.XLOOKUP(INT(SUBSTITUTE(E421,"Connecteur ","")),Mesures_Omia!C23:C35,Mesures_Omia!B23:B35)</f>
        <v>#N/A</v>
      </c>
    </row>
    <row r="422" spans="1:6" x14ac:dyDescent="0.25">
      <c r="A422" s="470"/>
      <c r="B422" s="129" t="s">
        <v>206</v>
      </c>
      <c r="C422" s="132" t="e">
        <f>MIN(Omia_3!C16:O16)</f>
        <v>#N/A</v>
      </c>
      <c r="D422" s="130" t="e">
        <f>_xlfn.XLOOKUP(INT(SUBSTITUTE(E422,"Connecteur ","")),Mesures_Omia!C23:C35,Mesures_Omia!A23:A35)</f>
        <v>#N/A</v>
      </c>
      <c r="E422" s="130" t="e" cm="1">
        <f t="array" ref="E422">_xlfn.XLOOKUP(MAX(Omia_3!C16:O16),Omia_3!C16:O16,_xlfn.ANCHORARRAY(Omia_3!C14))</f>
        <v>#N/A</v>
      </c>
      <c r="F422" s="131" t="e">
        <f>_xlfn.XLOOKUP(INT(SUBSTITUTE(E422,"Connecteur ","")),Mesures_Omia!C23:C35,Mesures_Omia!B23:B35)</f>
        <v>#N/A</v>
      </c>
    </row>
    <row r="423" spans="1:6" x14ac:dyDescent="0.25">
      <c r="A423" s="470"/>
      <c r="B423" s="129" t="s">
        <v>207</v>
      </c>
      <c r="C423" s="132" t="e">
        <f>AVERAGE(Omia_3!C17:O17)</f>
        <v>#N/A</v>
      </c>
      <c r="D423" s="130" t="s">
        <v>201</v>
      </c>
      <c r="E423" s="130" t="s">
        <v>201</v>
      </c>
      <c r="F423" s="131" t="s">
        <v>201</v>
      </c>
    </row>
    <row r="424" spans="1:6" x14ac:dyDescent="0.25">
      <c r="C424" s="89"/>
      <c r="D424" s="89"/>
      <c r="E424" s="89"/>
      <c r="F424" s="89"/>
    </row>
    <row r="433" spans="1:14" ht="36" x14ac:dyDescent="0.25">
      <c r="B433" s="462" t="str">
        <f>"13. Résultats et exploitation des résultats à " &amp; Mesures_Omia!D19 &amp; "°C"</f>
        <v>13. Résultats et exploitation des résultats à °C</v>
      </c>
      <c r="C433" s="462"/>
      <c r="D433" s="462"/>
      <c r="E433" s="462"/>
      <c r="F433" s="462"/>
    </row>
    <row r="436" spans="1:14" x14ac:dyDescent="0.25">
      <c r="B436" s="338" t="s">
        <v>209</v>
      </c>
      <c r="C436" s="338"/>
    </row>
    <row r="440" spans="1:14" x14ac:dyDescent="0.25">
      <c r="A440" s="1"/>
      <c r="B440" s="152" t="str" cm="1">
        <f t="array" ref="B440:N440">Donnees_Brutes_Omia_1[[#Headers],[Connecteur 1]:[Connecteur 13]]</f>
        <v>Connecteur 1</v>
      </c>
      <c r="C440" s="152" t="str">
        <v>Connecteur 2</v>
      </c>
      <c r="D440" s="152" t="str">
        <v>Connecteur 3</v>
      </c>
      <c r="E440" s="152" t="str">
        <v>Connecteur 4</v>
      </c>
      <c r="F440" s="152" t="str">
        <v>Connecteur 5</v>
      </c>
      <c r="G440" s="152" t="str">
        <v>Connecteur 6</v>
      </c>
      <c r="H440" s="152" t="str">
        <v>Connecteur 7</v>
      </c>
      <c r="I440" s="152" t="str">
        <v>Connecteur 8</v>
      </c>
      <c r="J440" s="152" t="str">
        <v>Connecteur 9</v>
      </c>
      <c r="K440" s="152" t="str">
        <v>Connecteur 10</v>
      </c>
      <c r="L440" s="152" t="str">
        <v>Connecteur 11</v>
      </c>
      <c r="M440" s="152" t="str">
        <v>Connecteur 12</v>
      </c>
      <c r="N440" s="152" t="str">
        <v>Connecteur 13</v>
      </c>
    </row>
    <row r="441" spans="1:14" x14ac:dyDescent="0.25">
      <c r="A441" s="42" t="s">
        <v>91</v>
      </c>
      <c r="B441" s="43" t="e" cm="1">
        <f t="array" ref="B441:N444">Omia_3!C15:O18</f>
        <v>#N/A</v>
      </c>
      <c r="C441" s="43" t="e">
        <v>#N/A</v>
      </c>
      <c r="D441" s="43" t="e">
        <v>#N/A</v>
      </c>
      <c r="E441" s="43" t="e">
        <v>#N/A</v>
      </c>
      <c r="F441" s="43" t="e">
        <v>#N/A</v>
      </c>
      <c r="G441" s="43" t="e">
        <v>#N/A</v>
      </c>
      <c r="H441" s="43" t="e">
        <v>#N/A</v>
      </c>
      <c r="I441" s="43" t="e">
        <v>#N/A</v>
      </c>
      <c r="J441" s="43" t="e">
        <v>#N/A</v>
      </c>
      <c r="K441" s="43" t="e">
        <v>#N/A</v>
      </c>
      <c r="L441" s="43" t="e">
        <v>#N/A</v>
      </c>
      <c r="M441" s="43" t="e">
        <v>#N/A</v>
      </c>
      <c r="N441" s="43" t="e">
        <v>#N/A</v>
      </c>
    </row>
    <row r="442" spans="1:14" x14ac:dyDescent="0.25">
      <c r="A442" s="42" t="s">
        <v>93</v>
      </c>
      <c r="B442" s="43" t="e">
        <v>#N/A</v>
      </c>
      <c r="C442" s="43" t="e">
        <v>#N/A</v>
      </c>
      <c r="D442" s="43" t="e">
        <v>#N/A</v>
      </c>
      <c r="E442" s="43" t="e">
        <v>#N/A</v>
      </c>
      <c r="F442" s="43" t="e">
        <v>#N/A</v>
      </c>
      <c r="G442" s="43" t="e">
        <v>#N/A</v>
      </c>
      <c r="H442" s="43" t="e">
        <v>#N/A</v>
      </c>
      <c r="I442" s="43" t="e">
        <v>#N/A</v>
      </c>
      <c r="J442" s="43" t="e">
        <v>#N/A</v>
      </c>
      <c r="K442" s="43" t="e">
        <v>#N/A</v>
      </c>
      <c r="L442" s="43" t="e">
        <v>#N/A</v>
      </c>
      <c r="M442" s="43" t="e">
        <v>#N/A</v>
      </c>
      <c r="N442" s="43" t="e">
        <v>#N/A</v>
      </c>
    </row>
    <row r="443" spans="1:14" x14ac:dyDescent="0.25">
      <c r="A443" s="42" t="s">
        <v>95</v>
      </c>
      <c r="B443" s="43" t="e">
        <v>#N/A</v>
      </c>
      <c r="C443" s="43" t="e">
        <v>#N/A</v>
      </c>
      <c r="D443" s="43" t="e">
        <v>#N/A</v>
      </c>
      <c r="E443" s="43" t="e">
        <v>#N/A</v>
      </c>
      <c r="F443" s="43" t="e">
        <v>#N/A</v>
      </c>
      <c r="G443" s="43" t="e">
        <v>#N/A</v>
      </c>
      <c r="H443" s="43" t="e">
        <v>#N/A</v>
      </c>
      <c r="I443" s="43" t="e">
        <v>#N/A</v>
      </c>
      <c r="J443" s="43" t="e">
        <v>#N/A</v>
      </c>
      <c r="K443" s="43" t="e">
        <v>#N/A</v>
      </c>
      <c r="L443" s="43" t="e">
        <v>#N/A</v>
      </c>
      <c r="M443" s="43" t="e">
        <v>#N/A</v>
      </c>
      <c r="N443" s="43" t="e">
        <v>#N/A</v>
      </c>
    </row>
    <row r="444" spans="1:14" x14ac:dyDescent="0.25">
      <c r="A444" s="42" t="s">
        <v>96</v>
      </c>
      <c r="B444" s="43" t="e">
        <v>#N/A</v>
      </c>
      <c r="C444" s="43" t="e">
        <v>#N/A</v>
      </c>
      <c r="D444" s="43" t="e">
        <v>#N/A</v>
      </c>
      <c r="E444" s="43" t="e">
        <v>#N/A</v>
      </c>
      <c r="F444" s="43" t="e">
        <v>#N/A</v>
      </c>
      <c r="G444" s="43" t="e">
        <v>#N/A</v>
      </c>
      <c r="H444" s="43" t="e">
        <v>#N/A</v>
      </c>
      <c r="I444" s="43" t="e">
        <v>#N/A</v>
      </c>
      <c r="J444" s="43" t="e">
        <v>#N/A</v>
      </c>
      <c r="K444" s="43" t="e">
        <v>#N/A</v>
      </c>
      <c r="L444" s="43" t="e">
        <v>#N/A</v>
      </c>
      <c r="M444" s="43" t="e">
        <v>#N/A</v>
      </c>
      <c r="N444" s="43" t="e">
        <v>#N/A</v>
      </c>
    </row>
    <row r="445" spans="1:14" x14ac:dyDescent="0.25">
      <c r="A445" s="42" t="s">
        <v>97</v>
      </c>
      <c r="B445" s="492" t="e">
        <f>Omia_3!C19</f>
        <v>#N/A</v>
      </c>
      <c r="C445" s="493"/>
      <c r="D445" s="493"/>
      <c r="E445" s="493"/>
      <c r="F445" s="493"/>
      <c r="G445" s="493"/>
      <c r="H445" s="493"/>
      <c r="I445" s="493"/>
      <c r="J445" s="493"/>
      <c r="K445" s="493"/>
      <c r="L445" s="493"/>
      <c r="M445" s="493"/>
      <c r="N445" s="494"/>
    </row>
    <row r="446" spans="1:14" x14ac:dyDescent="0.25">
      <c r="A446" s="42" t="s">
        <v>98</v>
      </c>
      <c r="B446" s="492" t="e">
        <f>Omia_3!C20</f>
        <v>#N/A</v>
      </c>
      <c r="C446" s="493"/>
      <c r="D446" s="493"/>
      <c r="E446" s="493"/>
      <c r="F446" s="493"/>
      <c r="G446" s="493"/>
      <c r="H446" s="493"/>
      <c r="I446" s="493"/>
      <c r="J446" s="493"/>
      <c r="K446" s="493"/>
      <c r="L446" s="493"/>
      <c r="M446" s="493"/>
      <c r="N446" s="494"/>
    </row>
    <row r="447" spans="1:14" x14ac:dyDescent="0.25">
      <c r="A447" s="36" t="s">
        <v>99</v>
      </c>
      <c r="B447" s="153" t="e" cm="1">
        <f t="array" aca="1" ref="B447:N447" ca="1">Omia_3!C21:O21</f>
        <v>#REF!</v>
      </c>
      <c r="C447" s="154" t="e">
        <f ca="1"/>
        <v>#REF!</v>
      </c>
      <c r="D447" s="154" t="e">
        <f ca="1"/>
        <v>#REF!</v>
      </c>
      <c r="E447" s="154" t="e">
        <f ca="1"/>
        <v>#REF!</v>
      </c>
      <c r="F447" s="154" t="e">
        <f ca="1"/>
        <v>#REF!</v>
      </c>
      <c r="G447" s="154" t="e">
        <f ca="1"/>
        <v>#REF!</v>
      </c>
      <c r="H447" s="154" t="e">
        <f ca="1"/>
        <v>#REF!</v>
      </c>
      <c r="I447" s="154" t="e">
        <f ca="1"/>
        <v>#REF!</v>
      </c>
      <c r="J447" s="154" t="e">
        <f ca="1"/>
        <v>#REF!</v>
      </c>
      <c r="K447" s="154" t="e">
        <f ca="1"/>
        <v>#REF!</v>
      </c>
      <c r="L447" s="154" t="e">
        <f ca="1"/>
        <v>#REF!</v>
      </c>
      <c r="M447" s="154" t="e">
        <f ca="1"/>
        <v>#REF!</v>
      </c>
      <c r="N447" s="154" t="e">
        <f ca="1"/>
        <v>#REF!</v>
      </c>
    </row>
    <row r="453" spans="2:6" x14ac:dyDescent="0.25">
      <c r="B453" s="135"/>
    </row>
    <row r="455" spans="2:6" ht="36" x14ac:dyDescent="0.3">
      <c r="C455" s="136" t="str">
        <f>"14. Résultats et exploitation des résultats à " &amp; Mesures_Omia!D19 &amp; "°C"</f>
        <v>14. Résultats et exploitation des résultats à °C</v>
      </c>
      <c r="D455" s="137"/>
      <c r="E455" s="137"/>
      <c r="F455" s="137"/>
    </row>
    <row r="458" spans="2:6" x14ac:dyDescent="0.25">
      <c r="B458" t="s">
        <v>216</v>
      </c>
    </row>
    <row r="505" spans="3:7" x14ac:dyDescent="0.25">
      <c r="C505" s="129" t="s">
        <v>219</v>
      </c>
      <c r="D505" s="129"/>
      <c r="E505" s="22" t="str">
        <f>Mesures_Omia!B19 &amp; "°C"</f>
        <v>°C</v>
      </c>
      <c r="F505" s="22" t="str">
        <f>Mesures_Omia!C19 &amp; "°C"</f>
        <v>°C</v>
      </c>
      <c r="G505" s="22" t="str">
        <f>Mesures_Omia!D19 &amp; "°C"</f>
        <v>°C</v>
      </c>
    </row>
    <row r="506" spans="3:7" x14ac:dyDescent="0.25">
      <c r="C506" s="457" t="s">
        <v>220</v>
      </c>
      <c r="D506" s="458"/>
      <c r="E506" s="130">
        <f>Mesures_Omia!B19</f>
        <v>0</v>
      </c>
      <c r="F506" s="130">
        <f>Mesures_Omia!C19</f>
        <v>0</v>
      </c>
      <c r="G506" s="130">
        <f>Mesures_Omia!D19</f>
        <v>0</v>
      </c>
    </row>
    <row r="507" spans="3:7" x14ac:dyDescent="0.25">
      <c r="C507" s="457" t="s">
        <v>221</v>
      </c>
      <c r="D507" s="458"/>
      <c r="E507" s="132" t="e">
        <f>Omia_1!C19</f>
        <v>#N/A</v>
      </c>
      <c r="F507" s="132" t="e">
        <f>Omia_2!C19</f>
        <v>#N/A</v>
      </c>
      <c r="G507" s="132" t="e">
        <f>Omia_3!C19</f>
        <v>#N/A</v>
      </c>
    </row>
    <row r="508" spans="3:7" x14ac:dyDescent="0.25">
      <c r="C508" s="457" t="s">
        <v>222</v>
      </c>
      <c r="D508" s="458"/>
      <c r="E508" s="155">
        <f>Mesures_Omia!B20</f>
        <v>0</v>
      </c>
      <c r="F508" s="155">
        <f>Mesures_Omia!B20</f>
        <v>0</v>
      </c>
      <c r="G508" s="155">
        <f>Mesures_Omia!B20</f>
        <v>0</v>
      </c>
    </row>
    <row r="509" spans="3:7" x14ac:dyDescent="0.25">
      <c r="C509" s="457" t="s">
        <v>243</v>
      </c>
      <c r="D509" s="458"/>
      <c r="E509" s="130" t="e">
        <f>IF(MIN(Omia_1!C16:O16)&lt;Omia_1!P16,"NON CONFORME","CONFORME")</f>
        <v>#N/A</v>
      </c>
      <c r="F509" s="130" t="e">
        <f>IF(MIN(Omia_2!C16:O16)&lt;Omia_2!P16,"NON CONFORME","CONFORME")</f>
        <v>#N/A</v>
      </c>
      <c r="G509" s="130" t="e">
        <f>IF(MIN(Omia_3!C16:O16)&lt;Omia_3!P16,"NON CONFORME","CONFORME")</f>
        <v>#N/A</v>
      </c>
    </row>
    <row r="510" spans="3:7" x14ac:dyDescent="0.25">
      <c r="C510" s="457" t="s">
        <v>244</v>
      </c>
      <c r="D510" s="458"/>
      <c r="E510" s="130" t="e">
        <f>IF(MAX(Omia_1!C15:O15)&gt;Omia_1!P15,"NON CONFORME","CONFORME")</f>
        <v>#N/A</v>
      </c>
      <c r="F510" s="130" t="e">
        <f>IF(MAX(Omia_2!C15:O15)&gt;Omia_2!P15,"NON CONFORME","CONFORME")</f>
        <v>#N/A</v>
      </c>
      <c r="G510" s="130" t="e">
        <f>IF(MAX(Omia_3!C15:O15)&gt;Omia_3!P15,"NON CONFORME","CONFORME")</f>
        <v>#N/A</v>
      </c>
    </row>
    <row r="511" spans="3:7" x14ac:dyDescent="0.25">
      <c r="C511" s="457" t="s">
        <v>245</v>
      </c>
      <c r="D511" s="458"/>
      <c r="E511" s="130" t="e">
        <f>IF(OR(Omia_1!C20&lt;Omia_1!P16,Omia_1!C20&gt;Omia_1!P15),"NON CONFORME","CONFORME")</f>
        <v>#N/A</v>
      </c>
      <c r="F511" s="130" t="e">
        <f>IF(OR(Omia_2!C20&lt;Omia_2!P16,Omia_2!C20&gt;Omia_2!P15),"NON CONFORME","CONFORME")</f>
        <v>#N/A</v>
      </c>
      <c r="G511" s="130" t="e">
        <f>IF(OR(Omia_3!C20&lt;Omia_3!P16,Omia_3!C20&gt;Omia_3!P15),"NON CONFORME","CONFORME")</f>
        <v>#N/A</v>
      </c>
    </row>
    <row r="512" spans="3:7" x14ac:dyDescent="0.25">
      <c r="C512" s="457" t="s">
        <v>224</v>
      </c>
      <c r="D512" s="458"/>
      <c r="E512" s="130" t="e">
        <f>(MAX(Omia_1!C15:O15)- MIN(Omia_1!C16:O16))/2</f>
        <v>#N/A</v>
      </c>
      <c r="F512" s="130" t="e">
        <f>(MAX(Omia_2!C15:O15)- MIN(Omia_2!C16:O16))/2</f>
        <v>#N/A</v>
      </c>
      <c r="G512" s="130" t="e">
        <f>(MAX(Omia_3!C15:O15)- MIN(Omia_3!C16:O16))/2</f>
        <v>#N/A</v>
      </c>
    </row>
  </sheetData>
  <sheetProtection algorithmName="SHA-512" hashValue="K3VUbDtsiN1JHoTlK25JcI0jX3/zc2mP5UILOy/cmRAvK2I7jTlNBooTEyquYHksUIcMOCdqtctSG15zSi69Nw==" saltValue="TAKheI27to4zd1yvVt2e+w==" spinCount="100000" sheet="1" objects="1" scenarios="1"/>
  <mergeCells count="68">
    <mergeCell ref="C51:F51"/>
    <mergeCell ref="B4:F6"/>
    <mergeCell ref="C10:D10"/>
    <mergeCell ref="E10:F10"/>
    <mergeCell ref="A28:B28"/>
    <mergeCell ref="A30:I47"/>
    <mergeCell ref="B69:D69"/>
    <mergeCell ref="E69:H69"/>
    <mergeCell ref="E55:F55"/>
    <mergeCell ref="E56:G56"/>
    <mergeCell ref="B57:C57"/>
    <mergeCell ref="E57:F57"/>
    <mergeCell ref="B61:C61"/>
    <mergeCell ref="E61:G61"/>
    <mergeCell ref="B62:C62"/>
    <mergeCell ref="E66:F66"/>
    <mergeCell ref="E67:H67"/>
    <mergeCell ref="B68:D68"/>
    <mergeCell ref="E68:I68"/>
    <mergeCell ref="C104:D104"/>
    <mergeCell ref="C85:G85"/>
    <mergeCell ref="C94:H94"/>
    <mergeCell ref="C95:D95"/>
    <mergeCell ref="C96:D96"/>
    <mergeCell ref="C97:D97"/>
    <mergeCell ref="C98:D98"/>
    <mergeCell ref="C99:D99"/>
    <mergeCell ref="C100:D100"/>
    <mergeCell ref="C101:D101"/>
    <mergeCell ref="C102:D102"/>
    <mergeCell ref="C103:D103"/>
    <mergeCell ref="A211:A214"/>
    <mergeCell ref="C105:D105"/>
    <mergeCell ref="C106:D106"/>
    <mergeCell ref="C107:D107"/>
    <mergeCell ref="C108:D108"/>
    <mergeCell ref="B116:F116"/>
    <mergeCell ref="C127:F127"/>
    <mergeCell ref="B304:C304"/>
    <mergeCell ref="B129:I144"/>
    <mergeCell ref="C163:H163"/>
    <mergeCell ref="C196:H196"/>
    <mergeCell ref="G200:I200"/>
    <mergeCell ref="B205:C205"/>
    <mergeCell ref="B226:F226"/>
    <mergeCell ref="B229:C229"/>
    <mergeCell ref="B238:N238"/>
    <mergeCell ref="B239:N239"/>
    <mergeCell ref="G299:I299"/>
    <mergeCell ref="B446:N446"/>
    <mergeCell ref="A310:A313"/>
    <mergeCell ref="B324:F324"/>
    <mergeCell ref="B327:C327"/>
    <mergeCell ref="B336:N336"/>
    <mergeCell ref="B337:N337"/>
    <mergeCell ref="G409:I409"/>
    <mergeCell ref="B414:C414"/>
    <mergeCell ref="A420:A423"/>
    <mergeCell ref="B433:F433"/>
    <mergeCell ref="B436:C436"/>
    <mergeCell ref="B445:N445"/>
    <mergeCell ref="C512:D512"/>
    <mergeCell ref="C506:D506"/>
    <mergeCell ref="C507:D507"/>
    <mergeCell ref="C508:D508"/>
    <mergeCell ref="C509:D509"/>
    <mergeCell ref="C510:D510"/>
    <mergeCell ref="C511:D511"/>
  </mergeCells>
  <conditionalFormatting sqref="E509">
    <cfRule type="containsText" dxfId="25" priority="6" operator="containsText" text="NON CONFORME">
      <formula>NOT(ISERROR(SEARCH("NON CONFORME",E509)))</formula>
    </cfRule>
  </conditionalFormatting>
  <conditionalFormatting sqref="E510">
    <cfRule type="containsText" dxfId="24" priority="5" operator="containsText" text="NON CONFORME">
      <formula>NOT(ISERROR(SEARCH("NON CONFORME",E510)))</formula>
    </cfRule>
  </conditionalFormatting>
  <conditionalFormatting sqref="F509">
    <cfRule type="containsText" dxfId="23" priority="4" operator="containsText" text="NON CONFORME">
      <formula>NOT(ISERROR(SEARCH("NON CONFORME",F509)))</formula>
    </cfRule>
  </conditionalFormatting>
  <conditionalFormatting sqref="F510">
    <cfRule type="containsText" dxfId="22" priority="3" operator="containsText" text="NON CONFORME">
      <formula>NOT(ISERROR(SEARCH("NON CONFORME",F510)))</formula>
    </cfRule>
  </conditionalFormatting>
  <conditionalFormatting sqref="G509">
    <cfRule type="containsText" dxfId="21" priority="2" operator="containsText" text="NON CONFORME">
      <formula>NOT(ISERROR(SEARCH("NON CONFORME",G509)))</formula>
    </cfRule>
  </conditionalFormatting>
  <conditionalFormatting sqref="G510">
    <cfRule type="containsText" dxfId="20"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2:O48"/>
  <sheetViews>
    <sheetView zoomScale="115" zoomScaleNormal="115" workbookViewId="0">
      <selection activeCell="G5" sqref="G5"/>
    </sheetView>
  </sheetViews>
  <sheetFormatPr baseColWidth="10" defaultRowHeight="15" x14ac:dyDescent="0.25"/>
  <cols>
    <col min="1" max="1" width="13.5703125" bestFit="1" customWidth="1"/>
    <col min="2" max="2" width="14.7109375" bestFit="1" customWidth="1"/>
    <col min="3" max="3" width="18.85546875" bestFit="1" customWidth="1"/>
    <col min="4" max="4" width="17.85546875" customWidth="1"/>
    <col min="5" max="5" width="17.5703125" customWidth="1"/>
    <col min="6" max="6" width="18.85546875" customWidth="1"/>
    <col min="7" max="7" width="14.5703125" customWidth="1"/>
    <col min="8" max="8" width="15.85546875" customWidth="1"/>
    <col min="9" max="9" width="17.5703125" customWidth="1"/>
    <col min="11" max="11" width="21.42578125" bestFit="1" customWidth="1"/>
    <col min="12" max="12" width="17.28515625" bestFit="1" customWidth="1"/>
    <col min="13" max="13" width="25.85546875" bestFit="1" customWidth="1"/>
  </cols>
  <sheetData>
    <row r="2" spans="1:13" x14ac:dyDescent="0.25">
      <c r="B2" s="452" t="s">
        <v>553</v>
      </c>
      <c r="C2" s="453"/>
      <c r="D2" s="453"/>
      <c r="E2" s="453"/>
      <c r="F2" s="453"/>
      <c r="G2" s="453"/>
      <c r="H2" s="453"/>
      <c r="I2" s="453"/>
      <c r="J2" s="453"/>
      <c r="K2" s="453"/>
    </row>
    <row r="3" spans="1:13" ht="75" customHeight="1" x14ac:dyDescent="0.25">
      <c r="B3" s="453"/>
      <c r="C3" s="453"/>
      <c r="D3" s="453"/>
      <c r="E3" s="453"/>
      <c r="F3" s="453"/>
      <c r="G3" s="453"/>
      <c r="H3" s="453"/>
      <c r="I3" s="453"/>
      <c r="J3" s="453"/>
      <c r="K3" s="453"/>
    </row>
    <row r="4" spans="1:13" ht="24" customHeight="1" x14ac:dyDescent="0.25">
      <c r="A4" s="1"/>
      <c r="B4" s="2"/>
      <c r="C4" s="2"/>
      <c r="D4" s="2"/>
      <c r="E4" s="2"/>
      <c r="F4" s="2"/>
      <c r="G4" s="2"/>
    </row>
    <row r="5" spans="1:13" x14ac:dyDescent="0.25">
      <c r="A5" s="445" t="s">
        <v>0</v>
      </c>
      <c r="B5" s="445"/>
      <c r="C5" s="445"/>
      <c r="D5" s="162"/>
      <c r="E5" s="1"/>
      <c r="F5" s="1"/>
    </row>
    <row r="6" spans="1:13" x14ac:dyDescent="0.25">
      <c r="A6" s="1"/>
      <c r="B6" s="1"/>
      <c r="C6" s="1"/>
      <c r="D6" s="1"/>
      <c r="E6" s="1"/>
      <c r="F6" s="1"/>
      <c r="G6" s="1"/>
    </row>
    <row r="7" spans="1:13" x14ac:dyDescent="0.25">
      <c r="A7" s="445" t="s">
        <v>1</v>
      </c>
      <c r="B7" s="445"/>
      <c r="C7" s="4"/>
      <c r="D7" s="1"/>
      <c r="E7" s="445" t="s">
        <v>18</v>
      </c>
      <c r="F7" s="445"/>
      <c r="G7" s="4"/>
      <c r="H7" s="157"/>
      <c r="M7" s="5"/>
    </row>
    <row r="8" spans="1:13" x14ac:dyDescent="0.25">
      <c r="A8" s="445" t="s">
        <v>2</v>
      </c>
      <c r="B8" s="445"/>
      <c r="C8" s="6"/>
      <c r="D8" s="1"/>
      <c r="E8" s="445" t="s">
        <v>19</v>
      </c>
      <c r="F8" s="445"/>
      <c r="G8" s="6"/>
      <c r="M8" s="5"/>
    </row>
    <row r="9" spans="1:13" x14ac:dyDescent="0.25">
      <c r="A9" s="1"/>
      <c r="B9" s="1"/>
      <c r="C9" s="1"/>
      <c r="D9" s="1"/>
      <c r="E9" s="1"/>
      <c r="F9" s="1"/>
      <c r="G9" s="1"/>
      <c r="M9" s="5"/>
    </row>
    <row r="10" spans="1:13" x14ac:dyDescent="0.25">
      <c r="A10" s="441" t="s">
        <v>3</v>
      </c>
      <c r="B10" s="442"/>
      <c r="C10" s="7"/>
      <c r="D10" s="1"/>
      <c r="E10" s="441" t="s">
        <v>20</v>
      </c>
      <c r="F10" s="442"/>
      <c r="G10" s="8"/>
    </row>
    <row r="11" spans="1:13" x14ac:dyDescent="0.25">
      <c r="A11" s="441" t="s">
        <v>4</v>
      </c>
      <c r="B11" s="442"/>
      <c r="C11" s="8"/>
      <c r="D11" s="1"/>
      <c r="E11" s="445" t="s">
        <v>21</v>
      </c>
      <c r="F11" s="445"/>
      <c r="G11" s="160">
        <v>15</v>
      </c>
    </row>
    <row r="12" spans="1:13" x14ac:dyDescent="0.25">
      <c r="A12" s="1"/>
      <c r="B12" s="1"/>
      <c r="C12" s="1"/>
      <c r="D12" s="1"/>
      <c r="E12" s="445" t="s">
        <v>22</v>
      </c>
      <c r="F12" s="445"/>
      <c r="G12" s="10"/>
    </row>
    <row r="13" spans="1:13" x14ac:dyDescent="0.25">
      <c r="A13" s="1"/>
      <c r="B13" s="1"/>
      <c r="C13" s="1"/>
      <c r="D13" s="1"/>
      <c r="E13" s="1"/>
      <c r="F13" s="1"/>
      <c r="G13" s="1"/>
    </row>
    <row r="14" spans="1:13" x14ac:dyDescent="0.25">
      <c r="A14" s="441" t="s">
        <v>5</v>
      </c>
      <c r="B14" s="442"/>
      <c r="C14" s="4"/>
      <c r="D14" s="1"/>
      <c r="E14" s="1"/>
      <c r="F14" s="1"/>
      <c r="G14" s="1"/>
    </row>
    <row r="15" spans="1:13" x14ac:dyDescent="0.25">
      <c r="A15" s="441" t="s">
        <v>6</v>
      </c>
      <c r="B15" s="442"/>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1"/>
      <c r="C19" s="11"/>
      <c r="D19" s="11"/>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Enregistreur " &amp; B19 &amp; "°C"</f>
        <v>Décalage Enregistreur °C</v>
      </c>
      <c r="H22" s="26" t="str">
        <f>"Décalage Enregistreur " &amp; C19 &amp; "°C"</f>
        <v>Décalage Enregistreur °C</v>
      </c>
      <c r="I22" s="26" t="str">
        <f>"Décalage Enregistreur " &amp; D19 &amp; "°C"</f>
        <v>Décalage Enregistreur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6" spans="1:15" ht="26.25" x14ac:dyDescent="0.25">
      <c r="A36" s="1"/>
      <c r="B36" s="444" t="s">
        <v>13</v>
      </c>
      <c r="C36" s="444"/>
      <c r="D36" s="1"/>
      <c r="E36" s="1"/>
      <c r="F36" s="1"/>
      <c r="G36" s="1"/>
      <c r="H36" s="1"/>
      <c r="I36" s="1"/>
      <c r="J36" s="444" t="s">
        <v>30</v>
      </c>
      <c r="K36" s="444"/>
      <c r="L36" s="1"/>
      <c r="M36" s="1"/>
    </row>
    <row r="37" spans="1:15" x14ac:dyDescent="0.25">
      <c r="A37" s="1"/>
      <c r="B37" s="1"/>
      <c r="C37" s="1"/>
      <c r="D37" s="1"/>
      <c r="E37" s="1"/>
      <c r="F37" s="1"/>
      <c r="G37" s="1"/>
      <c r="H37" s="1"/>
      <c r="I37" s="1"/>
      <c r="J37" s="1"/>
      <c r="K37" s="1"/>
      <c r="L37" s="1"/>
      <c r="M37" s="1"/>
      <c r="N37" s="1"/>
      <c r="O37" s="1"/>
    </row>
    <row r="38" spans="1:15" x14ac:dyDescent="0.25">
      <c r="A38" s="441" t="s">
        <v>10</v>
      </c>
      <c r="B38" s="451"/>
      <c r="C38" s="451"/>
      <c r="D38" s="451"/>
      <c r="E38" s="451"/>
      <c r="F38" s="442"/>
      <c r="G38" s="1"/>
      <c r="H38" s="1"/>
      <c r="I38" s="445" t="s">
        <v>26</v>
      </c>
      <c r="J38" s="445"/>
      <c r="K38" s="445"/>
      <c r="L38" s="445"/>
      <c r="M38" s="445"/>
    </row>
    <row r="39" spans="1:15" ht="30" x14ac:dyDescent="0.25">
      <c r="A39" s="445"/>
      <c r="B39" s="445"/>
      <c r="C39" s="3" t="s">
        <v>15</v>
      </c>
      <c r="D39" s="20" t="s">
        <v>17</v>
      </c>
      <c r="E39" s="20" t="s">
        <v>24</v>
      </c>
      <c r="F39" s="20" t="s">
        <v>25</v>
      </c>
      <c r="G39" s="1"/>
      <c r="H39" s="1"/>
      <c r="I39" s="448"/>
      <c r="J39" s="448"/>
      <c r="K39" s="3" t="s">
        <v>32</v>
      </c>
      <c r="L39" s="3" t="s">
        <v>34</v>
      </c>
      <c r="M39" s="3" t="s">
        <v>35</v>
      </c>
    </row>
    <row r="40" spans="1:15" x14ac:dyDescent="0.25">
      <c r="A40" s="441" t="str">
        <f t="shared" ref="A40:A48" si="0">CONCATENATE("Sonde ", B23)</f>
        <v xml:space="preserve">Sonde </v>
      </c>
      <c r="B40" s="442"/>
      <c r="C40" s="10"/>
      <c r="D40" s="10"/>
      <c r="E40" s="10"/>
      <c r="F40" s="10"/>
      <c r="G40" s="1"/>
      <c r="H40" s="1"/>
      <c r="I40" s="449" t="s">
        <v>27</v>
      </c>
      <c r="J40" s="450"/>
      <c r="K40" s="10"/>
      <c r="L40" s="10"/>
      <c r="M40" s="10"/>
    </row>
    <row r="41" spans="1:15" x14ac:dyDescent="0.25">
      <c r="A41" s="441" t="str">
        <f t="shared" si="0"/>
        <v xml:space="preserve">Sonde </v>
      </c>
      <c r="B41" s="442"/>
      <c r="C41" s="10"/>
      <c r="D41" s="10"/>
      <c r="E41" s="10"/>
      <c r="F41" s="10"/>
      <c r="G41" s="1"/>
      <c r="H41" s="1"/>
      <c r="I41" s="1"/>
      <c r="J41" s="1"/>
      <c r="K41" s="1"/>
      <c r="L41" s="1"/>
      <c r="M41" s="1"/>
    </row>
    <row r="42" spans="1:15" x14ac:dyDescent="0.25">
      <c r="A42" s="441" t="str">
        <f t="shared" si="0"/>
        <v xml:space="preserve">Sonde </v>
      </c>
      <c r="B42" s="442"/>
      <c r="C42" s="10"/>
      <c r="D42" s="10"/>
      <c r="E42" s="10"/>
      <c r="F42" s="10"/>
      <c r="G42" s="1"/>
      <c r="H42" s="1"/>
      <c r="I42" s="1"/>
      <c r="J42" s="1"/>
      <c r="K42" s="1"/>
      <c r="L42" s="1"/>
      <c r="M42" s="1"/>
    </row>
    <row r="43" spans="1:15" x14ac:dyDescent="0.25">
      <c r="A43" s="441" t="str">
        <f t="shared" si="0"/>
        <v xml:space="preserve">Sonde </v>
      </c>
      <c r="B43" s="442"/>
      <c r="C43" s="10"/>
      <c r="D43" s="10"/>
      <c r="E43" s="10"/>
      <c r="F43" s="10"/>
      <c r="G43" s="1"/>
      <c r="H43" s="1"/>
      <c r="I43" s="1"/>
      <c r="J43" s="1"/>
      <c r="K43" s="1"/>
      <c r="L43" s="1"/>
      <c r="M43" s="1"/>
    </row>
    <row r="44" spans="1:15" x14ac:dyDescent="0.25">
      <c r="A44" s="441" t="str">
        <f t="shared" si="0"/>
        <v xml:space="preserve">Sonde </v>
      </c>
      <c r="B44" s="442"/>
      <c r="C44" s="10"/>
      <c r="D44" s="10"/>
      <c r="E44" s="10"/>
      <c r="F44" s="10"/>
      <c r="G44" s="1"/>
      <c r="H44" s="1"/>
      <c r="I44" s="1"/>
      <c r="J44" s="1"/>
    </row>
    <row r="45" spans="1:15" x14ac:dyDescent="0.25">
      <c r="A45" s="441" t="str">
        <f t="shared" si="0"/>
        <v xml:space="preserve">Sonde </v>
      </c>
      <c r="B45" s="442"/>
      <c r="C45" s="10"/>
      <c r="D45" s="10"/>
      <c r="E45" s="10"/>
      <c r="F45" s="10"/>
      <c r="G45" s="1"/>
      <c r="H45" s="1"/>
      <c r="I45" s="1"/>
      <c r="J45" s="1"/>
    </row>
    <row r="46" spans="1:15" x14ac:dyDescent="0.25">
      <c r="A46" s="441" t="str">
        <f t="shared" si="0"/>
        <v xml:space="preserve">Sonde </v>
      </c>
      <c r="B46" s="442"/>
      <c r="C46" s="10"/>
      <c r="D46" s="10"/>
      <c r="E46" s="10"/>
      <c r="F46" s="10"/>
      <c r="G46" s="1"/>
      <c r="H46" s="1"/>
      <c r="I46" s="1"/>
      <c r="J46" s="1"/>
    </row>
    <row r="47" spans="1:15" x14ac:dyDescent="0.25">
      <c r="A47" s="441" t="str">
        <f t="shared" si="0"/>
        <v xml:space="preserve">Sonde </v>
      </c>
      <c r="B47" s="442"/>
      <c r="C47" s="10"/>
      <c r="D47" s="10"/>
      <c r="E47" s="10"/>
      <c r="F47" s="10"/>
      <c r="G47" s="1"/>
      <c r="H47" s="1"/>
      <c r="I47" s="1"/>
      <c r="J47" s="1"/>
    </row>
    <row r="48" spans="1:15" x14ac:dyDescent="0.25">
      <c r="A48" s="441" t="str">
        <f t="shared" si="0"/>
        <v xml:space="preserve">Sonde </v>
      </c>
      <c r="B48" s="442"/>
      <c r="C48" s="10"/>
      <c r="D48" s="10"/>
      <c r="E48" s="10"/>
      <c r="F48" s="10"/>
      <c r="G48" s="1"/>
      <c r="H48" s="1"/>
      <c r="I48" s="1"/>
      <c r="J48" s="1"/>
    </row>
  </sheetData>
  <sheetProtection algorithmName="SHA-512" hashValue="uLPsbGyIGcgQe2xTy9hcPq97kPo2yFwEiZO6Ib324wXv3eCmTrYmJa47RgcMvCzudR7FtMA9MwzcYmi1F10drw==" saltValue="rO+C4zBDaU7VIrkwPK+a/w==" spinCount="100000" sheet="1" objects="1" scenarios="1"/>
  <protectedRanges>
    <protectedRange sqref="C10" name="Donnees controleur"/>
  </protectedRanges>
  <mergeCells count="29">
    <mergeCell ref="A45:B45"/>
    <mergeCell ref="A46:B46"/>
    <mergeCell ref="A47:B47"/>
    <mergeCell ref="A48:B48"/>
    <mergeCell ref="A40:B40"/>
    <mergeCell ref="I40:J40"/>
    <mergeCell ref="A41:B41"/>
    <mergeCell ref="A42:B42"/>
    <mergeCell ref="A43:B43"/>
    <mergeCell ref="A44:B44"/>
    <mergeCell ref="A39:B39"/>
    <mergeCell ref="I39:J39"/>
    <mergeCell ref="A10:B10"/>
    <mergeCell ref="E10:F10"/>
    <mergeCell ref="A11:B11"/>
    <mergeCell ref="E11:F11"/>
    <mergeCell ref="E12:F12"/>
    <mergeCell ref="A14:B14"/>
    <mergeCell ref="A15:B15"/>
    <mergeCell ref="B36:C36"/>
    <mergeCell ref="J36:K36"/>
    <mergeCell ref="A38:F38"/>
    <mergeCell ref="I38:M38"/>
    <mergeCell ref="B2:K3"/>
    <mergeCell ref="A5:C5"/>
    <mergeCell ref="A7:B7"/>
    <mergeCell ref="E7:F7"/>
    <mergeCell ref="A8:B8"/>
    <mergeCell ref="E8:F8"/>
  </mergeCells>
  <conditionalFormatting sqref="A1:N4 A5:M5 A6:N49">
    <cfRule type="expression" dxfId="19" priority="1">
      <formula>AND(NOT(CELL("protege", A1)), A1="")</formula>
    </cfRule>
  </conditionalFormatting>
  <dataValidations count="2">
    <dataValidation type="list" allowBlank="1" showInputMessage="1" showErrorMessage="1" sqref="C10" xr:uid="{8E4C1123-B088-4ED5-9031-95064819C800}">
      <formula1>"BCH , LV"</formula1>
    </dataValidation>
    <dataValidation type="list" allowBlank="1" showInputMessage="1" showErrorMessage="1" sqref="C15"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6</xdr:row>
                    <xdr:rowOff>47625</xdr:rowOff>
                  </from>
                  <to>
                    <xdr:col>13</xdr:col>
                    <xdr:colOff>400050</xdr:colOff>
                    <xdr:row>12</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3mPu21MdvWYM+HndwDLgW/YZmJoBxBKp3Hiu1+J28RNFY2OFPXJ1/4oh4IqMQA9EVpHGMWXgMPWzBAGnoGgSkQ==" saltValue="OR5qKNUjdTBGCH8kclOIRg=="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sM8evk09P7SEr8/K8HKiwDMhYLpHf8cfA9MvU1XoNn66dST1kuFhv+k+Ar2NebXI6gTkP5u20VmOJddDiGZl+Q==" saltValue="CUqDXTwlsNI1UPgte2C0Ag==" spinCount="100000" sheet="1" objects="1" scenarios="1"/>
  <phoneticPr fontId="40"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5dqFJy+3tgoCFdQ+K80hYJMEDesoGNkt65kRqwmgEPz8REPZUyK74wK3MN+Y/ARVYrbVcU8eZTFQFgp3PytmbA==" saltValue="JD0vJOCVtjUNI+UtR+R0vg==" spinCount="100000" sheet="1" objects="1" scenarios="1"/>
  <phoneticPr fontId="40"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73" workbookViewId="0">
      <selection activeCell="L105" sqref="K105:L108"/>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4" t="str">
        <f>Mesures_Dover!B19 &amp; "°C"</f>
        <v>°C</v>
      </c>
      <c r="B1" s="454"/>
      <c r="C1" s="454"/>
      <c r="D1" s="454"/>
      <c r="E1" s="454"/>
      <c r="F1" s="454"/>
      <c r="G1" s="454"/>
      <c r="H1" s="454"/>
      <c r="I1" s="454"/>
      <c r="J1" s="454"/>
      <c r="K1" s="454"/>
      <c r="L1" s="454"/>
      <c r="M1" s="454"/>
      <c r="N1" s="454"/>
      <c r="O1" s="454"/>
    </row>
    <row r="2" spans="1:15" s="27" customFormat="1" x14ac:dyDescent="0.25">
      <c r="A2" s="454"/>
      <c r="B2" s="454"/>
      <c r="C2" s="454"/>
      <c r="D2" s="454"/>
      <c r="E2" s="454"/>
      <c r="F2" s="454"/>
      <c r="G2" s="454"/>
      <c r="H2" s="454"/>
      <c r="I2" s="454"/>
      <c r="J2" s="454"/>
      <c r="K2" s="454"/>
      <c r="L2" s="454"/>
      <c r="M2" s="454"/>
      <c r="N2" s="454"/>
      <c r="O2" s="454"/>
    </row>
    <row r="3" spans="1:15" s="27" customFormat="1" x14ac:dyDescent="0.25">
      <c r="A3" s="454"/>
      <c r="B3" s="454"/>
      <c r="C3" s="454"/>
      <c r="D3" s="454"/>
      <c r="E3" s="454"/>
      <c r="F3" s="454"/>
      <c r="G3" s="454"/>
      <c r="H3" s="454"/>
      <c r="I3" s="454"/>
      <c r="J3" s="454"/>
      <c r="K3" s="454"/>
      <c r="L3" s="454"/>
      <c r="M3" s="454"/>
      <c r="N3" s="454"/>
      <c r="O3" s="454"/>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1" t="s">
        <v>88</v>
      </c>
      <c r="B9" s="371"/>
      <c r="C9" s="371"/>
      <c r="D9" s="371"/>
      <c r="E9" s="371"/>
      <c r="F9" s="371"/>
      <c r="G9" s="371"/>
      <c r="H9" s="371"/>
      <c r="I9" s="371"/>
      <c r="J9" s="371"/>
      <c r="K9" s="371"/>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0" t="s">
        <v>292</v>
      </c>
      <c r="B11" s="145" cm="1">
        <f t="array" ref="B11">Valeurs_Brutes_Dover_1[Date/Heure]</f>
        <v>0</v>
      </c>
      <c r="C11" s="132" t="e" cm="1">
        <f t="array" ref="C11:K11">Valeurs_Brutes_Dover_1[[Connecteur 1]:[Connecteur 9]] + C5 + C6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19" t="s">
        <v>89</v>
      </c>
      <c r="B12" s="179"/>
      <c r="C12" s="189"/>
      <c r="D12" s="189"/>
      <c r="E12" s="189"/>
      <c r="F12" s="189"/>
      <c r="G12" s="189"/>
      <c r="H12" s="189"/>
      <c r="I12" s="189"/>
      <c r="J12" s="189"/>
      <c r="K12" s="189"/>
      <c r="L12" s="33"/>
    </row>
    <row r="13" spans="1:15" s="455"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MAX(C11:C12)</f>
        <v>#N/A</v>
      </c>
      <c r="D15" s="43" t="e">
        <f>MAX(D11:D12)</f>
        <v>#N/A</v>
      </c>
      <c r="E15" s="43" t="e">
        <f>MAX(E11:E12)</f>
        <v>#N/A</v>
      </c>
      <c r="F15" s="43" t="e">
        <f>MAX(F11:F12)</f>
        <v>#N/A</v>
      </c>
      <c r="G15" s="43" t="e">
        <f>MAX(G11:G12)</f>
        <v>#N/A</v>
      </c>
      <c r="H15" s="43" t="e">
        <f>MAX(H11:H12)</f>
        <v>#N/A</v>
      </c>
      <c r="I15" s="43" t="e">
        <f>MAX(I11:I12)</f>
        <v>#N/A</v>
      </c>
      <c r="J15" s="43" t="e">
        <f>MAX(J11:J12)</f>
        <v>#N/A</v>
      </c>
      <c r="K15" s="43" t="e">
        <f>MAX(K11:K12)</f>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O16+Mesures_Dover!B20</f>
        <v>0</v>
      </c>
      <c r="M16" s="27"/>
      <c r="N16" s="36" t="s">
        <v>7</v>
      </c>
      <c r="O16" s="48">
        <f>Mesures_Dover!B19</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O16-Mesures_Dover!B20</f>
        <v>0</v>
      </c>
      <c r="M17" s="27"/>
      <c r="N17" s="36" t="s">
        <v>92</v>
      </c>
      <c r="O17" s="35" t="str">
        <f>"+" &amp; Mesures_Dover!B20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94</v>
      </c>
      <c r="O18" s="35" t="str">
        <f>"-" &amp; Mesures_Dover!B20 &amp; "°C"</f>
        <v>-°C</v>
      </c>
    </row>
    <row r="19" spans="1:15" x14ac:dyDescent="0.25">
      <c r="A19" s="27"/>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33"/>
      <c r="M19" s="27"/>
      <c r="N19" s="27"/>
      <c r="O19" s="27"/>
    </row>
    <row r="20" spans="1:15" x14ac:dyDescent="0.25">
      <c r="A20" s="27"/>
      <c r="B20" s="42" t="s">
        <v>97</v>
      </c>
      <c r="C20" s="489" t="e">
        <f ca="1">ABS(MAX(C16:K16)-MIN(C17:K17))</f>
        <v>#REF!</v>
      </c>
      <c r="D20" s="490"/>
      <c r="E20" s="490"/>
      <c r="F20" s="490"/>
      <c r="G20" s="490"/>
      <c r="H20" s="490"/>
      <c r="I20" s="490"/>
      <c r="J20" s="490"/>
      <c r="K20" s="491"/>
    </row>
    <row r="21" spans="1:15" x14ac:dyDescent="0.25">
      <c r="A21" s="27"/>
      <c r="B21" s="42" t="s">
        <v>98</v>
      </c>
      <c r="C21" s="489" t="e">
        <f ca="1">AVERAGE(C18:K18)</f>
        <v>#REF!</v>
      </c>
      <c r="D21" s="490"/>
      <c r="E21" s="490"/>
      <c r="F21" s="490"/>
      <c r="G21" s="490"/>
      <c r="H21" s="490"/>
      <c r="I21" s="490"/>
      <c r="J21" s="490"/>
      <c r="K21" s="491"/>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Atipg2Ea8u0wrARN5fdWDHBWPOqaFKJ8UmoQgrY8C4wPleO+snrw/HvyO5sY7APN4P8WIHt5KxKI9mPbL840UA==" saltValue="yJzdykzW/8ZjVovnq+IEDQ==" spinCount="100000" sheet="1" objects="1" scenarios="1"/>
  <mergeCells count="5">
    <mergeCell ref="C21:K21"/>
    <mergeCell ref="C20:K20"/>
    <mergeCell ref="A1:O3"/>
    <mergeCell ref="A9:K9"/>
    <mergeCell ref="A13:XFD13"/>
  </mergeCells>
  <conditionalFormatting sqref="C16:K16">
    <cfRule type="cellIs" dxfId="18" priority="16" operator="greaterThan">
      <formula>$L$16</formula>
    </cfRule>
  </conditionalFormatting>
  <conditionalFormatting sqref="C17:K17">
    <cfRule type="cellIs" dxfId="17" priority="17" operator="lessThan">
      <formula>$L$17</formula>
    </cfRule>
  </conditionalFormatting>
  <conditionalFormatting sqref="C15:K15">
    <cfRule type="cellIs" dxfId="16"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55" workbookViewId="0">
      <selection activeCell="B5" sqref="B5"/>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5.28515625" bestFit="1" customWidth="1"/>
  </cols>
  <sheetData>
    <row r="1" spans="1:15" s="27" customFormat="1" x14ac:dyDescent="0.25">
      <c r="A1" s="454" t="str">
        <f>Mesures_Dover!C19 &amp; "°C"</f>
        <v>°C</v>
      </c>
      <c r="B1" s="454"/>
      <c r="C1" s="454"/>
      <c r="D1" s="454"/>
      <c r="E1" s="454"/>
      <c r="F1" s="454"/>
      <c r="G1" s="454"/>
      <c r="H1" s="454"/>
      <c r="I1" s="454"/>
      <c r="J1" s="454"/>
      <c r="K1" s="454"/>
      <c r="L1" s="454"/>
      <c r="M1" s="454"/>
      <c r="N1" s="454"/>
      <c r="O1" s="454"/>
    </row>
    <row r="2" spans="1:15" s="27" customFormat="1" x14ac:dyDescent="0.25">
      <c r="A2" s="454"/>
      <c r="B2" s="454"/>
      <c r="C2" s="454"/>
      <c r="D2" s="454"/>
      <c r="E2" s="454"/>
      <c r="F2" s="454"/>
      <c r="G2" s="454"/>
      <c r="H2" s="454"/>
      <c r="I2" s="454"/>
      <c r="J2" s="454"/>
      <c r="K2" s="454"/>
      <c r="L2" s="454"/>
      <c r="M2" s="454"/>
      <c r="N2" s="454"/>
      <c r="O2" s="454"/>
    </row>
    <row r="3" spans="1:15" s="27" customFormat="1" x14ac:dyDescent="0.25">
      <c r="A3" s="454"/>
      <c r="B3" s="454"/>
      <c r="C3" s="454"/>
      <c r="D3" s="454"/>
      <c r="E3" s="454"/>
      <c r="F3" s="454"/>
      <c r="G3" s="454"/>
      <c r="H3" s="454"/>
      <c r="I3" s="454"/>
      <c r="J3" s="454"/>
      <c r="K3" s="454"/>
      <c r="L3" s="454"/>
      <c r="M3" s="454"/>
      <c r="N3" s="454"/>
      <c r="O3" s="454"/>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1" t="s">
        <v>88</v>
      </c>
      <c r="B9" s="371"/>
      <c r="C9" s="371"/>
      <c r="D9" s="371"/>
      <c r="E9" s="371"/>
      <c r="F9" s="371"/>
      <c r="G9" s="371"/>
      <c r="H9" s="371"/>
      <c r="I9" s="371"/>
      <c r="J9" s="371"/>
      <c r="K9" s="371"/>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0" t="s">
        <v>292</v>
      </c>
      <c r="B11" s="145" cm="1">
        <f t="array" ref="B11">Valeurs_Brutes_Dover_2[Date/Heure]</f>
        <v>0</v>
      </c>
      <c r="C11" s="132" t="e" cm="1">
        <f t="array" ref="C11:K11">Valeurs_Brutes_Dover_2[[Connecteur 1]:[Connecteur 9]] + C5:K5 +C6:K6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21" t="s">
        <v>89</v>
      </c>
      <c r="B12" s="179"/>
      <c r="C12" s="189"/>
      <c r="D12" s="189"/>
      <c r="E12" s="189"/>
      <c r="F12" s="189"/>
      <c r="G12" s="189"/>
      <c r="H12" s="189"/>
      <c r="I12" s="189"/>
      <c r="J12" s="189"/>
      <c r="K12" s="189"/>
      <c r="L12" s="33"/>
    </row>
    <row r="13" spans="1:15" s="455"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MAX(C11:C12)</f>
        <v>#N/A</v>
      </c>
      <c r="D15" s="43" t="e">
        <f>MAX(D11:D12)</f>
        <v>#N/A</v>
      </c>
      <c r="E15" s="43" t="e">
        <f>MAX(E11:E12)</f>
        <v>#N/A</v>
      </c>
      <c r="F15" s="43" t="e">
        <f>MAX(F11:F12)</f>
        <v>#N/A</v>
      </c>
      <c r="G15" s="43" t="e">
        <f>MAX(G11:G12)</f>
        <v>#N/A</v>
      </c>
      <c r="H15" s="43" t="e">
        <f>MAX(H11:H12)</f>
        <v>#N/A</v>
      </c>
      <c r="I15" s="43" t="e">
        <f>MAX(I11:I12)</f>
        <v>#N/A</v>
      </c>
      <c r="J15" s="43" t="e">
        <f>MAX(J11:J12)</f>
        <v>#N/A</v>
      </c>
      <c r="K15" s="43" t="e">
        <f>MAX(K11:K12)</f>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Mesures_Dover!C19+Mesures_Dover!B20</f>
        <v>0</v>
      </c>
      <c r="M16" s="27"/>
      <c r="N16" s="36" t="s">
        <v>7</v>
      </c>
      <c r="O16" s="48">
        <f>Mesures_Dover!C19</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Mesures_Dover!C19-Mesures_Dover!B20</f>
        <v>0</v>
      </c>
      <c r="M17" s="27"/>
      <c r="N17" s="36" t="s">
        <v>92</v>
      </c>
      <c r="O17" s="35" t="str">
        <f>"+" &amp; Mesures_Dover!B20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94</v>
      </c>
      <c r="O18" s="35" t="str">
        <f>"-" &amp; Mesures_Dover!B20 &amp; "°C"</f>
        <v>-°C</v>
      </c>
    </row>
    <row r="19" spans="1:18" x14ac:dyDescent="0.25">
      <c r="A19" s="27"/>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33"/>
      <c r="M19" s="27"/>
      <c r="N19" s="27"/>
      <c r="O19" s="27"/>
    </row>
    <row r="20" spans="1:18" x14ac:dyDescent="0.25">
      <c r="A20" s="27"/>
      <c r="B20" s="42" t="s">
        <v>97</v>
      </c>
      <c r="C20" s="489" t="e">
        <f ca="1">ABS(MAX(C16:K16)-MIN(C17:K17))</f>
        <v>#REF!</v>
      </c>
      <c r="D20" s="490"/>
      <c r="E20" s="490"/>
      <c r="F20" s="490"/>
      <c r="G20" s="490"/>
      <c r="H20" s="490"/>
      <c r="I20" s="490"/>
      <c r="J20" s="490"/>
      <c r="K20" s="491"/>
    </row>
    <row r="21" spans="1:18" x14ac:dyDescent="0.25">
      <c r="A21" s="27"/>
      <c r="B21" s="42" t="s">
        <v>98</v>
      </c>
      <c r="C21" s="489" t="e">
        <f ca="1">AVERAGE(C18:K18)</f>
        <v>#REF!</v>
      </c>
      <c r="D21" s="490"/>
      <c r="E21" s="490"/>
      <c r="F21" s="490"/>
      <c r="G21" s="490"/>
      <c r="H21" s="490"/>
      <c r="I21" s="490"/>
      <c r="J21" s="490"/>
      <c r="K21" s="491"/>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t5JApG8VFJe/8xo1k+Ru20QtT4eFHuSRYdX+w3wqMaQ6IzZ66zFwDDaQy7s/9V5AS81SJX3hA49TFyLsEfFFQ==" saltValue="t4ADE0O3kvpBgrZr1poo1Q==" spinCount="100000" sheet="1" objects="1" scenarios="1"/>
  <dataConsolidate/>
  <mergeCells count="5">
    <mergeCell ref="C21:K21"/>
    <mergeCell ref="C20:K20"/>
    <mergeCell ref="A1:O3"/>
    <mergeCell ref="A9:K9"/>
    <mergeCell ref="A13:XFD13"/>
  </mergeCells>
  <conditionalFormatting sqref="C16:K16">
    <cfRule type="cellIs" dxfId="15" priority="2" operator="greaterThan">
      <formula>$L$16</formula>
    </cfRule>
  </conditionalFormatting>
  <conditionalFormatting sqref="C17:K17">
    <cfRule type="cellIs" dxfId="14" priority="3" operator="lessThan">
      <formula>$L$17</formula>
    </cfRule>
  </conditionalFormatting>
  <conditionalFormatting sqref="C15:K15">
    <cfRule type="cellIs" dxfId="13"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79" workbookViewId="0">
      <selection activeCell="K114" sqref="K114"/>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4" t="str">
        <f>Mesures_Dover!D19 &amp; "°C"</f>
        <v>°C</v>
      </c>
      <c r="B1" s="454"/>
      <c r="C1" s="454"/>
      <c r="D1" s="454"/>
      <c r="E1" s="454"/>
      <c r="F1" s="454"/>
      <c r="G1" s="454"/>
      <c r="H1" s="454"/>
      <c r="I1" s="454"/>
      <c r="J1" s="454"/>
      <c r="K1" s="454"/>
      <c r="L1" s="454"/>
      <c r="M1" s="454"/>
      <c r="N1" s="454"/>
      <c r="O1" s="454"/>
    </row>
    <row r="2" spans="1:15" s="27" customFormat="1" x14ac:dyDescent="0.25">
      <c r="A2" s="454"/>
      <c r="B2" s="454"/>
      <c r="C2" s="454"/>
      <c r="D2" s="454"/>
      <c r="E2" s="454"/>
      <c r="F2" s="454"/>
      <c r="G2" s="454"/>
      <c r="H2" s="454"/>
      <c r="I2" s="454"/>
      <c r="J2" s="454"/>
      <c r="K2" s="454"/>
      <c r="L2" s="454"/>
      <c r="M2" s="454"/>
      <c r="N2" s="454"/>
      <c r="O2" s="454"/>
    </row>
    <row r="3" spans="1:15" s="27" customFormat="1" x14ac:dyDescent="0.25">
      <c r="A3" s="454"/>
      <c r="B3" s="454"/>
      <c r="C3" s="454"/>
      <c r="D3" s="454"/>
      <c r="E3" s="454"/>
      <c r="F3" s="454"/>
      <c r="G3" s="454"/>
      <c r="H3" s="454"/>
      <c r="I3" s="454"/>
      <c r="J3" s="454"/>
      <c r="K3" s="454"/>
      <c r="L3" s="454"/>
      <c r="M3" s="454"/>
      <c r="N3" s="454"/>
      <c r="O3" s="454"/>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0" t="s">
        <v>292</v>
      </c>
      <c r="B11" s="145" cm="1">
        <f t="array" ref="B11">Valeurs_Brutes_Dover_3[Date/Heure]</f>
        <v>0</v>
      </c>
      <c r="C11" s="130" t="e" cm="1">
        <f t="array" ref="C11:K11">Valeurs_Brutes_Dover_3[[Connecteur 1]:[Connecteur 9]] + C5:K5 +C6:K6</f>
        <v>#N/A</v>
      </c>
      <c r="D11" s="130" t="e">
        <v>#N/A</v>
      </c>
      <c r="E11" s="130" t="e">
        <v>#N/A</v>
      </c>
      <c r="F11" s="130" t="e">
        <v>#N/A</v>
      </c>
      <c r="G11" s="130" t="e">
        <v>#N/A</v>
      </c>
      <c r="H11" s="130" t="e">
        <v>#N/A</v>
      </c>
      <c r="I11" s="130" t="e">
        <v>#N/A</v>
      </c>
      <c r="J11" s="130" t="e">
        <v>#N/A</v>
      </c>
      <c r="K11" s="130" t="e">
        <v>#N/A</v>
      </c>
      <c r="L11" s="33"/>
    </row>
    <row r="12" spans="1:15" s="27" customFormat="1" ht="13.5" customHeight="1" x14ac:dyDescent="0.25">
      <c r="A12" s="321" t="s">
        <v>89</v>
      </c>
      <c r="B12" s="179"/>
      <c r="C12" s="191"/>
      <c r="D12" s="191"/>
      <c r="E12" s="191"/>
      <c r="F12" s="191"/>
      <c r="G12" s="191"/>
      <c r="H12" s="191"/>
      <c r="I12" s="191"/>
      <c r="J12" s="191"/>
      <c r="K12" s="191"/>
      <c r="L12" s="33"/>
    </row>
    <row r="13" spans="1:15" s="455"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MAX(C11:C12)</f>
        <v>#N/A</v>
      </c>
      <c r="D15" s="43" t="e">
        <f>MAX(D11:D12)</f>
        <v>#N/A</v>
      </c>
      <c r="E15" s="43" t="e">
        <f>MAX(E11:E12)</f>
        <v>#N/A</v>
      </c>
      <c r="F15" s="43" t="e">
        <f>MAX(F11:F12)</f>
        <v>#N/A</v>
      </c>
      <c r="G15" s="43" t="e">
        <f>MAX(G11:G12)</f>
        <v>#N/A</v>
      </c>
      <c r="H15" s="43" t="e">
        <f>MAX(H11:H12)</f>
        <v>#N/A</v>
      </c>
      <c r="I15" s="43" t="e">
        <f>MAX(I11:I12)</f>
        <v>#N/A</v>
      </c>
      <c r="J15" s="43" t="e">
        <f>MAX(J11:J12)</f>
        <v>#N/A</v>
      </c>
      <c r="K15" s="43" t="e">
        <f>MAX(K11:K12)</f>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Mesures_Dover!D19+Mesures_Dover!B20</f>
        <v>0</v>
      </c>
      <c r="N16" s="36" t="s">
        <v>7</v>
      </c>
      <c r="O16" s="48">
        <f>Mesures_Dover!D19</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Mesures_Dover!D19-Mesures_Dover!B20</f>
        <v>0</v>
      </c>
      <c r="N17" s="36" t="s">
        <v>92</v>
      </c>
      <c r="O17" s="35" t="str">
        <f>"+" &amp; Mesures_Dover!B20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94</v>
      </c>
      <c r="O18" s="35" t="str">
        <f>"-" &amp; Mesures_Dover!B20 &amp; "°C"</f>
        <v>-°C</v>
      </c>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33"/>
    </row>
    <row r="20" spans="2:15" s="27" customFormat="1" x14ac:dyDescent="0.25">
      <c r="B20" s="42" t="s">
        <v>97</v>
      </c>
      <c r="C20" s="489" t="e">
        <f ca="1">ABS(MAX(C16:K16)-MIN(C17:K17))</f>
        <v>#REF!</v>
      </c>
      <c r="D20" s="490"/>
      <c r="E20" s="490"/>
      <c r="F20" s="490"/>
      <c r="G20" s="490"/>
      <c r="H20" s="490"/>
      <c r="I20" s="490"/>
      <c r="J20" s="490"/>
      <c r="K20" s="491"/>
      <c r="L20" s="33"/>
    </row>
    <row r="21" spans="2:15" s="27" customFormat="1" x14ac:dyDescent="0.25">
      <c r="B21" s="42" t="s">
        <v>98</v>
      </c>
      <c r="C21" s="489" t="e">
        <f ca="1">AVERAGE(C18:K18)</f>
        <v>#REF!</v>
      </c>
      <c r="D21" s="490"/>
      <c r="E21" s="490"/>
      <c r="F21" s="490"/>
      <c r="G21" s="490"/>
      <c r="H21" s="490"/>
      <c r="I21" s="490"/>
      <c r="J21" s="490"/>
      <c r="K21" s="491"/>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OWRUFBCZ3kU7DZU53i9GtEpMLYgR+QQCPOzuKtdx2yTcZvsctfc5tLtbSrfiVxifGcg2Y6vARkuMtrd5BD7JlQ==" saltValue="MSq9qnGrdhw19w3dt1O2Bg==" spinCount="100000" sheet="1" objects="1" scenarios="1"/>
  <mergeCells count="4">
    <mergeCell ref="C21:K21"/>
    <mergeCell ref="C20:K20"/>
    <mergeCell ref="A1:O3"/>
    <mergeCell ref="A13:XFD13"/>
  </mergeCells>
  <conditionalFormatting sqref="C16:K16">
    <cfRule type="cellIs" dxfId="12" priority="3" operator="greaterThan">
      <formula>$L$16</formula>
    </cfRule>
  </conditionalFormatting>
  <conditionalFormatting sqref="C17:K17">
    <cfRule type="cellIs" dxfId="11" priority="4" operator="lessThan">
      <formula>$L$17</formula>
    </cfRule>
  </conditionalFormatting>
  <conditionalFormatting sqref="C15:K15">
    <cfRule type="cellIs" dxfId="10"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84" zoomScale="70" zoomScaleNormal="100" zoomScaleSheetLayoutView="70" zoomScalePageLayoutView="60" workbookViewId="0">
      <selection activeCell="C448" sqref="C44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6" t="s">
        <v>251</v>
      </c>
      <c r="C4" s="497"/>
      <c r="D4" s="497"/>
      <c r="E4" s="497"/>
      <c r="F4" s="497"/>
    </row>
    <row r="5" spans="2:9" ht="26.25" x14ac:dyDescent="0.25">
      <c r="B5" s="497"/>
      <c r="C5" s="497"/>
      <c r="D5" s="497"/>
      <c r="E5" s="497"/>
      <c r="F5" s="497"/>
      <c r="G5" s="88"/>
      <c r="H5" s="88"/>
      <c r="I5" s="89"/>
    </row>
    <row r="6" spans="2:9" ht="58.5" customHeight="1" x14ac:dyDescent="0.25">
      <c r="B6" s="497"/>
      <c r="C6" s="497"/>
      <c r="D6" s="497"/>
      <c r="E6" s="497"/>
      <c r="F6" s="497"/>
    </row>
    <row r="10" spans="2:9" ht="21" x14ac:dyDescent="0.25">
      <c r="C10" s="379" t="s">
        <v>138</v>
      </c>
      <c r="D10" s="379"/>
      <c r="E10" s="472">
        <f>Mesures_Dover!D5</f>
        <v>0</v>
      </c>
      <c r="F10" s="472"/>
    </row>
    <row r="11" spans="2:9" ht="21" x14ac:dyDescent="0.25">
      <c r="C11" s="90"/>
      <c r="D11" s="90"/>
      <c r="E11" s="91"/>
      <c r="F11" s="91"/>
    </row>
    <row r="12" spans="2:9" x14ac:dyDescent="0.25">
      <c r="C12" s="92" t="s">
        <v>1</v>
      </c>
      <c r="D12" s="147">
        <f>Mesures_Dover!C7</f>
        <v>0</v>
      </c>
      <c r="F12" s="92" t="s">
        <v>18</v>
      </c>
      <c r="G12" s="147">
        <f>Mesures_Dover!G7</f>
        <v>0</v>
      </c>
    </row>
    <row r="13" spans="2:9" ht="15.75" x14ac:dyDescent="0.25">
      <c r="C13" s="94" t="s">
        <v>2</v>
      </c>
      <c r="D13" s="148">
        <f>Mesures_Dover!C8</f>
        <v>0</v>
      </c>
      <c r="F13" s="96" t="s">
        <v>19</v>
      </c>
      <c r="G13" s="148">
        <f>Mesures_Dover!G8</f>
        <v>0</v>
      </c>
    </row>
    <row r="14" spans="2:9" ht="15.75" x14ac:dyDescent="0.25">
      <c r="C14" s="97"/>
      <c r="D14" s="98"/>
      <c r="G14" s="99"/>
    </row>
    <row r="15" spans="2:9" ht="15.75" x14ac:dyDescent="0.25">
      <c r="C15" s="100" t="s">
        <v>139</v>
      </c>
      <c r="D15" s="101">
        <f>Mesures_Dover!C14</f>
        <v>0</v>
      </c>
      <c r="F15" s="92" t="s">
        <v>140</v>
      </c>
      <c r="G15" s="9">
        <f>Mesures_Dover!C15</f>
        <v>0</v>
      </c>
    </row>
    <row r="16" spans="2:9" ht="15.75" x14ac:dyDescent="0.25">
      <c r="C16" s="100" t="s">
        <v>141</v>
      </c>
      <c r="D16" s="103">
        <f>Mesures_Dover!G11</f>
        <v>15</v>
      </c>
      <c r="F16" s="92" t="s">
        <v>142</v>
      </c>
      <c r="G16" s="9">
        <f>Mesures_Dover!G12</f>
        <v>0</v>
      </c>
    </row>
    <row r="17" spans="1:9" ht="15.75" x14ac:dyDescent="0.25">
      <c r="C17" s="97"/>
      <c r="D17" s="98"/>
      <c r="F17" s="97"/>
      <c r="G17" s="1"/>
    </row>
    <row r="18" spans="1:9" ht="15.75" x14ac:dyDescent="0.25">
      <c r="C18" s="100" t="s">
        <v>143</v>
      </c>
      <c r="D18" s="149">
        <f>Mesures_Dover!C11</f>
        <v>0</v>
      </c>
      <c r="F18" s="92" t="s">
        <v>144</v>
      </c>
      <c r="G18" s="156">
        <f>Mesures_Dover!G10</f>
        <v>0</v>
      </c>
    </row>
    <row r="19" spans="1:9" ht="15.75" x14ac:dyDescent="0.25">
      <c r="C19" s="94" t="s">
        <v>145</v>
      </c>
      <c r="D19" s="149">
        <f>Mesures_Dover!C11</f>
        <v>0</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252</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6" ht="36" x14ac:dyDescent="0.25">
      <c r="C51" s="462" t="s">
        <v>148</v>
      </c>
      <c r="D51" s="462"/>
      <c r="E51" s="462"/>
      <c r="F51" s="462"/>
    </row>
    <row r="52" spans="2:6" ht="17.25" x14ac:dyDescent="0.25">
      <c r="B52" s="105"/>
    </row>
    <row r="53" spans="2:6" ht="18.75" x14ac:dyDescent="0.25">
      <c r="B53" s="164" t="s">
        <v>253</v>
      </c>
      <c r="C53" s="165"/>
      <c r="E53" s="166"/>
      <c r="F53" s="166"/>
    </row>
    <row r="54" spans="2:6" ht="15.75" x14ac:dyDescent="0.25">
      <c r="C54" s="166"/>
      <c r="D54" s="166"/>
      <c r="E54" s="166"/>
      <c r="F54" s="166"/>
    </row>
    <row r="55" spans="2:6" ht="18.75" x14ac:dyDescent="0.25">
      <c r="B55" s="382" t="s">
        <v>254</v>
      </c>
      <c r="C55" s="382"/>
      <c r="D55" s="166"/>
      <c r="E55" s="166"/>
      <c r="F55" s="167" t="s">
        <v>255</v>
      </c>
    </row>
    <row r="56" spans="2:6" ht="15.75" x14ac:dyDescent="0.25">
      <c r="B56" s="158" t="s">
        <v>256</v>
      </c>
      <c r="C56" s="158" t="s">
        <v>257</v>
      </c>
      <c r="E56" s="166"/>
      <c r="F56" s="166" t="s">
        <v>258</v>
      </c>
    </row>
    <row r="57" spans="2:6" ht="15.75" x14ac:dyDescent="0.25">
      <c r="B57" s="158" t="s">
        <v>259</v>
      </c>
      <c r="C57" s="158" t="s">
        <v>260</v>
      </c>
      <c r="E57" s="166"/>
      <c r="F57" s="166" t="s">
        <v>261</v>
      </c>
    </row>
    <row r="58" spans="2:6" ht="15.75" x14ac:dyDescent="0.25">
      <c r="B58" s="158" t="s">
        <v>262</v>
      </c>
      <c r="C58" t="s">
        <v>263</v>
      </c>
      <c r="E58" s="166"/>
      <c r="F58" s="166" t="s">
        <v>264</v>
      </c>
    </row>
    <row r="59" spans="2:6" ht="15.75" x14ac:dyDescent="0.25">
      <c r="B59" s="158" t="s">
        <v>265</v>
      </c>
      <c r="C59" s="158">
        <v>250</v>
      </c>
      <c r="E59" s="166"/>
      <c r="F59" s="166"/>
    </row>
    <row r="60" spans="2:6" ht="15.75" x14ac:dyDescent="0.25">
      <c r="B60" s="158" t="s">
        <v>266</v>
      </c>
      <c r="C60" s="168">
        <v>44158</v>
      </c>
      <c r="E60" s="166"/>
      <c r="F60" s="166"/>
    </row>
    <row r="61" spans="2:6" ht="15.75" x14ac:dyDescent="0.25">
      <c r="B61" s="158" t="s">
        <v>267</v>
      </c>
      <c r="C61" s="158" t="s">
        <v>268</v>
      </c>
      <c r="E61" s="166"/>
      <c r="F61" s="166"/>
    </row>
    <row r="62" spans="2:6" ht="15.75" x14ac:dyDescent="0.25">
      <c r="B62" s="158" t="s">
        <v>269</v>
      </c>
      <c r="C62" s="158" t="s">
        <v>270</v>
      </c>
      <c r="E62" s="166"/>
      <c r="F62" s="166"/>
    </row>
    <row r="63" spans="2:6" ht="15.75" x14ac:dyDescent="0.25">
      <c r="B63" s="158" t="s">
        <v>271</v>
      </c>
      <c r="C63" s="158"/>
    </row>
    <row r="65" spans="2:9" ht="15.75" x14ac:dyDescent="0.25">
      <c r="B65" s="158" t="s">
        <v>272</v>
      </c>
    </row>
    <row r="67" spans="2:9" x14ac:dyDescent="0.25">
      <c r="B67" s="169" t="s">
        <v>273</v>
      </c>
      <c r="C67" s="170" t="s">
        <v>274</v>
      </c>
      <c r="D67" s="171" t="s">
        <v>274</v>
      </c>
    </row>
    <row r="69" spans="2:9" ht="21" x14ac:dyDescent="0.25">
      <c r="B69" s="172" t="s">
        <v>275</v>
      </c>
      <c r="D69" s="107"/>
      <c r="E69" s="107"/>
      <c r="F69" s="107"/>
      <c r="G69" s="107"/>
      <c r="H69" s="107"/>
      <c r="I69" s="108"/>
    </row>
    <row r="70" spans="2:9" x14ac:dyDescent="0.25">
      <c r="B70" s="173" t="s">
        <v>276</v>
      </c>
      <c r="C70" s="173">
        <v>117</v>
      </c>
    </row>
    <row r="71" spans="2:9" x14ac:dyDescent="0.25">
      <c r="B71" s="173" t="s">
        <v>277</v>
      </c>
      <c r="C71" s="174">
        <v>64</v>
      </c>
    </row>
    <row r="72" spans="2:9" x14ac:dyDescent="0.25">
      <c r="B72" s="173" t="s">
        <v>278</v>
      </c>
      <c r="C72" s="173">
        <v>93</v>
      </c>
    </row>
    <row r="73" spans="2:9" x14ac:dyDescent="0.25">
      <c r="B73" s="174" t="s">
        <v>279</v>
      </c>
      <c r="C73" s="173">
        <f>+C70*C71*C72*10^-6</f>
        <v>0.696384</v>
      </c>
    </row>
    <row r="74" spans="2:9" x14ac:dyDescent="0.25">
      <c r="B74" s="89"/>
    </row>
    <row r="75" spans="2:9" x14ac:dyDescent="0.25">
      <c r="B75" s="172" t="s">
        <v>280</v>
      </c>
    </row>
    <row r="76" spans="2:9" x14ac:dyDescent="0.25">
      <c r="B76" s="173" t="s">
        <v>276</v>
      </c>
      <c r="C76" s="173">
        <v>100</v>
      </c>
    </row>
    <row r="77" spans="2:9" x14ac:dyDescent="0.25">
      <c r="B77" s="173" t="s">
        <v>277</v>
      </c>
      <c r="C77" s="174">
        <v>45</v>
      </c>
    </row>
    <row r="78" spans="2:9" x14ac:dyDescent="0.25">
      <c r="B78" s="173" t="s">
        <v>278</v>
      </c>
      <c r="C78" s="173">
        <v>60</v>
      </c>
    </row>
    <row r="79" spans="2:9" x14ac:dyDescent="0.25">
      <c r="B79" s="174" t="s">
        <v>279</v>
      </c>
      <c r="C79" s="173">
        <f>+C76*C77*C78*10^-6</f>
        <v>0.26999999999999996</v>
      </c>
    </row>
    <row r="85" spans="1:9" ht="36" x14ac:dyDescent="0.25">
      <c r="C85" s="462" t="s">
        <v>170</v>
      </c>
      <c r="D85" s="462"/>
      <c r="E85" s="462"/>
      <c r="F85" s="462"/>
      <c r="G85" s="462"/>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1" t="s">
        <v>10</v>
      </c>
      <c r="D94" s="451"/>
      <c r="E94" s="451"/>
      <c r="F94" s="451"/>
      <c r="G94" s="451"/>
      <c r="H94" s="442"/>
      <c r="I94" s="111"/>
    </row>
    <row r="95" spans="1:9" ht="30" x14ac:dyDescent="0.25">
      <c r="A95" s="111"/>
      <c r="B95" s="111"/>
      <c r="C95" s="445"/>
      <c r="D95" s="445"/>
      <c r="E95" s="3" t="s">
        <v>15</v>
      </c>
      <c r="F95" s="20" t="s">
        <v>17</v>
      </c>
      <c r="G95" s="20" t="s">
        <v>24</v>
      </c>
      <c r="H95" s="20" t="s">
        <v>25</v>
      </c>
      <c r="I95" s="114"/>
    </row>
    <row r="96" spans="1:9" ht="17.25" x14ac:dyDescent="0.25">
      <c r="A96" s="111"/>
      <c r="B96" s="111"/>
      <c r="C96" s="441" t="str">
        <f>Mesures_Dover!A40</f>
        <v xml:space="preserve">Sonde </v>
      </c>
      <c r="D96" s="442"/>
      <c r="E96" s="10" cm="1">
        <f t="array" ref="E96:H104">Mesures_Dover!C40:F48</f>
        <v>0</v>
      </c>
      <c r="F96" s="10">
        <v>0</v>
      </c>
      <c r="G96" s="10">
        <v>0</v>
      </c>
      <c r="H96" s="10">
        <v>0</v>
      </c>
      <c r="I96" s="111"/>
    </row>
    <row r="97" spans="1:9" ht="17.25" x14ac:dyDescent="0.25">
      <c r="A97" s="111"/>
      <c r="B97" s="111"/>
      <c r="C97" s="441" t="str">
        <f>Mesures_Dover!A41</f>
        <v xml:space="preserve">Sonde </v>
      </c>
      <c r="D97" s="442"/>
      <c r="E97" s="10">
        <v>0</v>
      </c>
      <c r="F97" s="10">
        <v>0</v>
      </c>
      <c r="G97" s="10">
        <v>0</v>
      </c>
      <c r="H97" s="10">
        <v>0</v>
      </c>
      <c r="I97" s="111"/>
    </row>
    <row r="98" spans="1:9" ht="17.25" x14ac:dyDescent="0.25">
      <c r="A98" s="111"/>
      <c r="B98" s="111"/>
      <c r="C98" s="441" t="str">
        <f>Mesures_Dover!A42</f>
        <v xml:space="preserve">Sonde </v>
      </c>
      <c r="D98" s="442"/>
      <c r="E98" s="10">
        <v>0</v>
      </c>
      <c r="F98" s="10">
        <v>0</v>
      </c>
      <c r="G98" s="10">
        <v>0</v>
      </c>
      <c r="H98" s="10">
        <v>0</v>
      </c>
      <c r="I98" s="111"/>
    </row>
    <row r="99" spans="1:9" ht="17.25" x14ac:dyDescent="0.25">
      <c r="A99" s="111"/>
      <c r="B99" s="111"/>
      <c r="C99" s="441" t="str">
        <f>Mesures_Dover!A43</f>
        <v xml:space="preserve">Sonde </v>
      </c>
      <c r="D99" s="442"/>
      <c r="E99" s="10">
        <v>0</v>
      </c>
      <c r="F99" s="10">
        <v>0</v>
      </c>
      <c r="G99" s="10">
        <v>0</v>
      </c>
      <c r="H99" s="10">
        <v>0</v>
      </c>
      <c r="I99" s="111"/>
    </row>
    <row r="100" spans="1:9" ht="17.25" x14ac:dyDescent="0.25">
      <c r="A100" s="111"/>
      <c r="B100" s="111"/>
      <c r="C100" s="441" t="str">
        <f>Mesures_Dover!A44</f>
        <v xml:space="preserve">Sonde </v>
      </c>
      <c r="D100" s="442"/>
      <c r="E100" s="10">
        <v>0</v>
      </c>
      <c r="F100" s="10">
        <v>0</v>
      </c>
      <c r="G100" s="10">
        <v>0</v>
      </c>
      <c r="H100" s="10">
        <v>0</v>
      </c>
      <c r="I100" s="111"/>
    </row>
    <row r="101" spans="1:9" ht="17.25" x14ac:dyDescent="0.25">
      <c r="A101" s="111"/>
      <c r="B101" s="111"/>
      <c r="C101" s="441" t="str">
        <f>Mesures_Dover!A45</f>
        <v xml:space="preserve">Sonde </v>
      </c>
      <c r="D101" s="442"/>
      <c r="E101" s="10">
        <v>0</v>
      </c>
      <c r="F101" s="10">
        <v>0</v>
      </c>
      <c r="G101" s="10">
        <v>0</v>
      </c>
      <c r="H101" s="10">
        <v>0</v>
      </c>
      <c r="I101" s="111"/>
    </row>
    <row r="102" spans="1:9" ht="17.25" x14ac:dyDescent="0.25">
      <c r="A102" s="111"/>
      <c r="B102" s="111"/>
      <c r="C102" s="441" t="str">
        <f>Mesures_Dover!A46</f>
        <v xml:space="preserve">Sonde </v>
      </c>
      <c r="D102" s="442"/>
      <c r="E102" s="10">
        <v>0</v>
      </c>
      <c r="F102" s="10">
        <v>0</v>
      </c>
      <c r="G102" s="10">
        <v>0</v>
      </c>
      <c r="H102" s="10">
        <v>0</v>
      </c>
      <c r="I102" s="111"/>
    </row>
    <row r="103" spans="1:9" ht="17.25" x14ac:dyDescent="0.25">
      <c r="A103" s="111"/>
      <c r="B103" s="111"/>
      <c r="C103" s="441" t="str">
        <f>Mesures_Dover!A47</f>
        <v xml:space="preserve">Sonde </v>
      </c>
      <c r="D103" s="442"/>
      <c r="E103" s="10">
        <v>0</v>
      </c>
      <c r="F103" s="10">
        <v>0</v>
      </c>
      <c r="G103" s="10">
        <v>0</v>
      </c>
      <c r="H103" s="10">
        <v>0</v>
      </c>
      <c r="I103" s="111"/>
    </row>
    <row r="104" spans="1:9" ht="17.25" x14ac:dyDescent="0.25">
      <c r="A104" s="111"/>
      <c r="B104" s="111"/>
      <c r="C104" s="441" t="str">
        <f>Mesures_Dover!A48</f>
        <v xml:space="preserve">Sonde </v>
      </c>
      <c r="D104" s="442"/>
      <c r="E104" s="10">
        <v>0</v>
      </c>
      <c r="F104" s="10">
        <v>0</v>
      </c>
      <c r="G104" s="10">
        <v>0</v>
      </c>
      <c r="H104" s="10">
        <v>0</v>
      </c>
      <c r="I104" s="111"/>
    </row>
    <row r="105" spans="1:9" ht="17.25" x14ac:dyDescent="0.25">
      <c r="A105" s="111"/>
      <c r="B105" s="111"/>
      <c r="C105" s="111"/>
      <c r="D105" s="111"/>
      <c r="E105" s="111"/>
      <c r="F105" s="111"/>
      <c r="G105" s="111"/>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21" x14ac:dyDescent="0.25">
      <c r="B112" s="465" t="s">
        <v>176</v>
      </c>
      <c r="C112" s="465"/>
      <c r="D112" s="465"/>
      <c r="E112" s="465"/>
      <c r="F112" s="465"/>
    </row>
    <row r="114" spans="2:9" ht="26.25" x14ac:dyDescent="0.25">
      <c r="B114" s="109" t="s">
        <v>177</v>
      </c>
    </row>
    <row r="115" spans="2:9" ht="21" x14ac:dyDescent="0.3">
      <c r="E115" s="107" t="s">
        <v>178</v>
      </c>
      <c r="F115" s="107"/>
      <c r="G115" s="116">
        <f>Mesures_Dover!K44</f>
        <v>0</v>
      </c>
    </row>
    <row r="116" spans="2:9" ht="21" x14ac:dyDescent="0.3">
      <c r="B116" s="117" t="s">
        <v>179</v>
      </c>
      <c r="C116" s="107" t="s">
        <v>180</v>
      </c>
      <c r="E116" s="107" t="s">
        <v>181</v>
      </c>
      <c r="F116" s="107"/>
      <c r="G116" s="116">
        <f>Mesures_Dover!L44</f>
        <v>0</v>
      </c>
    </row>
    <row r="117" spans="2:9" ht="21" x14ac:dyDescent="0.25">
      <c r="B117" s="117" t="s">
        <v>182</v>
      </c>
      <c r="C117" s="110" t="s">
        <v>183</v>
      </c>
      <c r="E117" s="107" t="s">
        <v>184</v>
      </c>
      <c r="F117" s="107"/>
      <c r="G117" s="118">
        <f>Mesures_Dover!M44</f>
        <v>0</v>
      </c>
    </row>
    <row r="118" spans="2:9" ht="21" x14ac:dyDescent="0.35">
      <c r="B118" s="119" t="s">
        <v>185</v>
      </c>
      <c r="C118" s="120" t="s">
        <v>186</v>
      </c>
      <c r="E118" s="107" t="s">
        <v>187</v>
      </c>
      <c r="F118" s="107"/>
      <c r="G118" s="121" t="e">
        <f>"±" &amp;  SUBSTITUTE(ROUND(AVERAGE(Mesures_Dover!D23:F31),2),"-"," ") &amp; "°C"</f>
        <v>#DIV/0!</v>
      </c>
    </row>
    <row r="123" spans="2:9" ht="36" x14ac:dyDescent="0.25">
      <c r="C123" s="462" t="s">
        <v>188</v>
      </c>
      <c r="D123" s="462"/>
      <c r="E123" s="462"/>
      <c r="F123" s="462"/>
    </row>
    <row r="124" spans="2:9" ht="36" x14ac:dyDescent="0.25">
      <c r="B124" s="104"/>
      <c r="C124" s="104"/>
      <c r="D124" s="104"/>
    </row>
    <row r="125" spans="2:9" x14ac:dyDescent="0.25">
      <c r="B125" s="338"/>
      <c r="C125" s="338"/>
      <c r="D125" s="338"/>
      <c r="E125" s="338"/>
      <c r="F125" s="338"/>
      <c r="G125" s="338"/>
      <c r="H125" s="338"/>
      <c r="I125" s="338"/>
    </row>
    <row r="126" spans="2:9" x14ac:dyDescent="0.25">
      <c r="B126" s="338"/>
      <c r="C126" s="338"/>
      <c r="D126" s="338"/>
      <c r="E126" s="338"/>
      <c r="F126" s="338"/>
      <c r="G126" s="338"/>
      <c r="H126" s="338"/>
      <c r="I126" s="338"/>
    </row>
    <row r="127" spans="2:9" x14ac:dyDescent="0.25">
      <c r="B127" s="338"/>
      <c r="C127" s="338"/>
      <c r="D127" s="338"/>
      <c r="E127" s="338"/>
      <c r="F127" s="338"/>
      <c r="G127" s="338"/>
      <c r="H127" s="338"/>
      <c r="I127" s="338"/>
    </row>
    <row r="128" spans="2:9" x14ac:dyDescent="0.25">
      <c r="B128" s="338"/>
      <c r="C128" s="338"/>
      <c r="D128" s="338"/>
      <c r="E128" s="338"/>
      <c r="F128" s="338"/>
      <c r="G128" s="338"/>
      <c r="H128" s="338"/>
      <c r="I128" s="338"/>
    </row>
    <row r="129" spans="2:9" x14ac:dyDescent="0.25">
      <c r="B129" s="338"/>
      <c r="C129" s="338"/>
      <c r="D129" s="338"/>
      <c r="E129" s="338"/>
      <c r="F129" s="338"/>
      <c r="G129" s="338"/>
      <c r="H129" s="338"/>
      <c r="I129" s="338"/>
    </row>
    <row r="130" spans="2:9" x14ac:dyDescent="0.25">
      <c r="B130" s="338"/>
      <c r="C130" s="338"/>
      <c r="D130" s="338"/>
      <c r="E130" s="338"/>
      <c r="F130" s="338"/>
      <c r="G130" s="338"/>
      <c r="H130" s="338"/>
      <c r="I130" s="338"/>
    </row>
    <row r="131" spans="2:9" x14ac:dyDescent="0.25">
      <c r="B131" s="338"/>
      <c r="C131" s="338"/>
      <c r="D131" s="338"/>
      <c r="E131" s="338"/>
      <c r="F131" s="338"/>
      <c r="G131" s="338"/>
      <c r="H131" s="338"/>
      <c r="I131" s="338"/>
    </row>
    <row r="132" spans="2:9" x14ac:dyDescent="0.25">
      <c r="B132" s="338"/>
      <c r="C132" s="338"/>
      <c r="D132" s="338"/>
      <c r="E132" s="338"/>
      <c r="F132" s="338"/>
      <c r="G132" s="338"/>
      <c r="H132" s="338"/>
      <c r="I132" s="338"/>
    </row>
    <row r="133" spans="2:9" x14ac:dyDescent="0.25">
      <c r="B133" s="338"/>
      <c r="C133" s="338"/>
      <c r="D133" s="338"/>
      <c r="E133" s="338"/>
      <c r="F133" s="338"/>
      <c r="G133" s="338"/>
      <c r="H133" s="338"/>
      <c r="I133" s="338"/>
    </row>
    <row r="134" spans="2:9" x14ac:dyDescent="0.25">
      <c r="B134" s="338"/>
      <c r="C134" s="338"/>
      <c r="D134" s="338"/>
      <c r="E134" s="338"/>
      <c r="F134" s="338"/>
      <c r="G134" s="338"/>
      <c r="H134" s="338"/>
      <c r="I134" s="338"/>
    </row>
    <row r="135" spans="2:9" x14ac:dyDescent="0.25">
      <c r="B135" s="338"/>
      <c r="C135" s="338"/>
      <c r="D135" s="338"/>
      <c r="E135" s="338"/>
      <c r="F135" s="338"/>
      <c r="G135" s="338"/>
      <c r="H135" s="338"/>
      <c r="I135" s="338"/>
    </row>
    <row r="136" spans="2:9" x14ac:dyDescent="0.25">
      <c r="B136" s="338"/>
      <c r="C136" s="338"/>
      <c r="D136" s="338"/>
      <c r="E136" s="338"/>
      <c r="F136" s="338"/>
      <c r="G136" s="338"/>
      <c r="H136" s="338"/>
      <c r="I136" s="338"/>
    </row>
    <row r="137" spans="2:9" x14ac:dyDescent="0.25">
      <c r="B137" s="338"/>
      <c r="C137" s="338"/>
      <c r="D137" s="338"/>
      <c r="E137" s="338"/>
      <c r="F137" s="338"/>
      <c r="G137" s="338"/>
      <c r="H137" s="338"/>
      <c r="I137" s="338"/>
    </row>
    <row r="138" spans="2:9" x14ac:dyDescent="0.25">
      <c r="B138" s="338"/>
      <c r="C138" s="338"/>
      <c r="D138" s="338"/>
      <c r="E138" s="338"/>
      <c r="F138" s="338"/>
      <c r="G138" s="338"/>
      <c r="H138" s="338"/>
      <c r="I138" s="338"/>
    </row>
    <row r="139" spans="2:9" x14ac:dyDescent="0.25">
      <c r="B139" s="338"/>
      <c r="C139" s="338"/>
      <c r="D139" s="338"/>
      <c r="E139" s="338"/>
      <c r="F139" s="338"/>
      <c r="G139" s="338"/>
      <c r="H139" s="338"/>
      <c r="I139" s="338"/>
    </row>
    <row r="140" spans="2:9" x14ac:dyDescent="0.25">
      <c r="B140" s="338"/>
      <c r="C140" s="338"/>
      <c r="D140" s="338"/>
      <c r="E140" s="338"/>
      <c r="F140" s="338"/>
      <c r="G140" s="338"/>
      <c r="H140" s="338"/>
      <c r="I140" s="338"/>
    </row>
    <row r="141" spans="2:9" x14ac:dyDescent="0.25">
      <c r="B141" s="338"/>
      <c r="C141" s="338"/>
      <c r="D141" s="338"/>
      <c r="E141" s="338"/>
      <c r="F141" s="338"/>
      <c r="G141" s="338"/>
      <c r="H141" s="338"/>
      <c r="I141" s="338"/>
    </row>
    <row r="142" spans="2:9" x14ac:dyDescent="0.25">
      <c r="B142" s="338"/>
      <c r="C142" s="338"/>
      <c r="D142" s="338"/>
      <c r="E142" s="338"/>
      <c r="F142" s="338"/>
      <c r="G142" s="338"/>
      <c r="H142" s="338"/>
      <c r="I142" s="338"/>
    </row>
    <row r="143" spans="2:9" x14ac:dyDescent="0.25">
      <c r="B143" s="338"/>
      <c r="C143" s="338"/>
      <c r="D143" s="338"/>
      <c r="E143" s="338"/>
      <c r="F143" s="338"/>
      <c r="G143" s="338"/>
      <c r="H143" s="338"/>
      <c r="I143" s="338"/>
    </row>
    <row r="144" spans="2:9" x14ac:dyDescent="0.25">
      <c r="B144" s="338"/>
      <c r="C144" s="338"/>
      <c r="D144" s="338"/>
      <c r="E144" s="338"/>
      <c r="F144" s="338"/>
      <c r="G144" s="338"/>
      <c r="H144" s="338"/>
      <c r="I144" s="338"/>
    </row>
    <row r="145" spans="2:9" x14ac:dyDescent="0.25">
      <c r="B145" s="338"/>
      <c r="C145" s="338"/>
      <c r="D145" s="338"/>
      <c r="E145" s="338"/>
      <c r="F145" s="338"/>
      <c r="G145" s="338"/>
      <c r="H145" s="338"/>
      <c r="I145" s="338"/>
    </row>
    <row r="146" spans="2:9" x14ac:dyDescent="0.25">
      <c r="B146" s="338"/>
      <c r="C146" s="338"/>
      <c r="D146" s="338"/>
      <c r="E146" s="338"/>
      <c r="F146" s="338"/>
      <c r="G146" s="338"/>
      <c r="H146" s="338"/>
      <c r="I146" s="338"/>
    </row>
    <row r="147" spans="2:9" x14ac:dyDescent="0.25">
      <c r="B147" s="338"/>
      <c r="C147" s="338"/>
      <c r="D147" s="338"/>
      <c r="E147" s="338"/>
      <c r="F147" s="338"/>
      <c r="G147" s="338"/>
      <c r="H147" s="338"/>
      <c r="I147" s="338"/>
    </row>
    <row r="148" spans="2:9" x14ac:dyDescent="0.25">
      <c r="B148" s="338"/>
      <c r="C148" s="338"/>
      <c r="D148" s="338"/>
      <c r="E148" s="338"/>
      <c r="F148" s="338"/>
      <c r="G148" s="338"/>
      <c r="H148" s="338"/>
      <c r="I148" s="338"/>
    </row>
    <row r="149" spans="2:9" x14ac:dyDescent="0.25">
      <c r="B149" s="338"/>
      <c r="C149" s="338"/>
      <c r="D149" s="338"/>
      <c r="E149" s="338"/>
      <c r="F149" s="338"/>
      <c r="G149" s="338"/>
      <c r="H149" s="338"/>
      <c r="I149" s="338"/>
    </row>
    <row r="150" spans="2:9" x14ac:dyDescent="0.25">
      <c r="B150" s="338"/>
      <c r="C150" s="338"/>
      <c r="D150" s="338"/>
      <c r="E150" s="338"/>
      <c r="F150" s="338"/>
      <c r="G150" s="338"/>
      <c r="H150" s="338"/>
      <c r="I150" s="338"/>
    </row>
    <row r="151" spans="2:9" x14ac:dyDescent="0.25">
      <c r="B151" s="338"/>
      <c r="C151" s="338"/>
      <c r="D151" s="338"/>
      <c r="E151" s="338"/>
      <c r="F151" s="338"/>
      <c r="G151" s="338"/>
      <c r="H151" s="338"/>
      <c r="I151" s="338"/>
    </row>
    <row r="152" spans="2:9" x14ac:dyDescent="0.25">
      <c r="B152" s="338"/>
      <c r="C152" s="338"/>
      <c r="D152" s="338"/>
      <c r="E152" s="338"/>
      <c r="F152" s="338"/>
      <c r="G152" s="338"/>
      <c r="H152" s="338"/>
      <c r="I152" s="338"/>
    </row>
    <row r="153" spans="2:9" x14ac:dyDescent="0.25">
      <c r="B153" s="338"/>
      <c r="C153" s="338"/>
      <c r="D153" s="338"/>
      <c r="E153" s="338"/>
      <c r="F153" s="338"/>
      <c r="G153" s="338"/>
      <c r="H153" s="338"/>
      <c r="I153" s="338"/>
    </row>
    <row r="154" spans="2:9" x14ac:dyDescent="0.25">
      <c r="B154" s="338"/>
      <c r="C154" s="338"/>
      <c r="D154" s="338"/>
      <c r="E154" s="338"/>
      <c r="F154" s="338"/>
      <c r="G154" s="338"/>
      <c r="H154" s="338"/>
      <c r="I154" s="338"/>
    </row>
    <row r="155" spans="2:9" x14ac:dyDescent="0.25">
      <c r="B155" s="338"/>
      <c r="C155" s="338"/>
      <c r="D155" s="338"/>
      <c r="E155" s="338"/>
      <c r="F155" s="338"/>
      <c r="G155" s="338"/>
      <c r="H155" s="338"/>
      <c r="I155" s="338"/>
    </row>
    <row r="156" spans="2:9" x14ac:dyDescent="0.25">
      <c r="B156" s="338"/>
      <c r="C156" s="338"/>
      <c r="D156" s="338"/>
      <c r="E156" s="338"/>
      <c r="F156" s="338"/>
      <c r="G156" s="338"/>
      <c r="H156" s="338"/>
      <c r="I156" s="338"/>
    </row>
    <row r="159" spans="2:9" ht="36" x14ac:dyDescent="0.25">
      <c r="C159" s="462" t="s">
        <v>240</v>
      </c>
      <c r="D159" s="462"/>
      <c r="E159" s="462"/>
      <c r="F159" s="462"/>
      <c r="G159" s="462"/>
      <c r="H159" s="462"/>
    </row>
    <row r="162" spans="1:3" ht="15.75" thickBot="1" x14ac:dyDescent="0.3"/>
    <row r="163" spans="1:3" ht="15.75" thickBot="1" x14ac:dyDescent="0.3">
      <c r="A163" s="12" t="s">
        <v>9</v>
      </c>
      <c r="B163" s="13" t="s">
        <v>12</v>
      </c>
      <c r="C163" s="13" t="s">
        <v>14</v>
      </c>
    </row>
    <row r="164" spans="1:3" x14ac:dyDescent="0.25">
      <c r="A164" s="15" cm="1">
        <f t="array" ref="A164:C172">Mesures_Dover!A23:C31</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2" t="str">
        <f>"6. Résultats et exploitation des résultats à " &amp; Mesures_Dover!B19 &amp; "°C"</f>
        <v>6. Résultats et exploitation des résultats à °C</v>
      </c>
      <c r="D188" s="462"/>
      <c r="E188" s="462"/>
      <c r="F188" s="462"/>
      <c r="G188" s="462"/>
      <c r="H188" s="462"/>
    </row>
    <row r="192" spans="1:9" x14ac:dyDescent="0.25">
      <c r="A192" s="122" t="str" cm="1">
        <f t="array" ref="A192:A193">Mesures_Dover!A19:A20</f>
        <v>Consigne</v>
      </c>
      <c r="B192" s="151" cm="1">
        <f t="array" ref="B192:B193">Mesures_Dover!B19:B20</f>
        <v>0</v>
      </c>
      <c r="G192" s="466" t="s">
        <v>191</v>
      </c>
      <c r="H192" s="467"/>
      <c r="I192" s="468"/>
    </row>
    <row r="193" spans="1:9" x14ac:dyDescent="0.25">
      <c r="A193" s="122" t="str">
        <v>Tolérances +/-</v>
      </c>
      <c r="B193" s="151">
        <v>0</v>
      </c>
      <c r="G193" s="22" t="s">
        <v>192</v>
      </c>
      <c r="H193" s="22" t="s">
        <v>193</v>
      </c>
      <c r="I193" s="22" t="s">
        <v>194</v>
      </c>
    </row>
    <row r="194" spans="1:9" x14ac:dyDescent="0.25">
      <c r="G194" s="125">
        <f>INDEX(Valeurs_Brutes_Dover_1[Date/Heure],1)</f>
        <v>0</v>
      </c>
      <c r="H194" s="125" cm="1">
        <f t="array" ref="H194">INDEX(Valeurs_Brutes_Dover_1[Date/Heure],COUNTA(Valeurs_Brutes_Dover_1[Date/Heure]))</f>
        <v>0</v>
      </c>
      <c r="I194" s="125">
        <f>H194-G194</f>
        <v>0</v>
      </c>
    </row>
    <row r="197" spans="1:9" ht="23.25" x14ac:dyDescent="0.25">
      <c r="B197" s="469" t="s">
        <v>195</v>
      </c>
      <c r="C197" s="469"/>
    </row>
    <row r="200" spans="1:9" ht="30" x14ac:dyDescent="0.25">
      <c r="B200" s="126" t="s">
        <v>196</v>
      </c>
      <c r="C200" s="127" t="s">
        <v>197</v>
      </c>
      <c r="D200" s="127" t="s">
        <v>112</v>
      </c>
      <c r="E200" s="128" t="s">
        <v>198</v>
      </c>
      <c r="F200" s="127" t="s">
        <v>199</v>
      </c>
    </row>
    <row r="201" spans="1:9" x14ac:dyDescent="0.25">
      <c r="B201" s="129" t="s">
        <v>200</v>
      </c>
      <c r="C201" s="130" t="str">
        <f>Mesures_Dover!B19 &amp; "°C"</f>
        <v>°C</v>
      </c>
      <c r="D201" s="130" t="s">
        <v>201</v>
      </c>
      <c r="E201" s="130" t="s">
        <v>201</v>
      </c>
      <c r="F201" s="131" t="s">
        <v>201</v>
      </c>
    </row>
    <row r="202" spans="1:9" x14ac:dyDescent="0.25">
      <c r="B202" s="129" t="s">
        <v>202</v>
      </c>
      <c r="C202" s="130" t="str">
        <f>Mesures_Dover!B19 &amp; "°C"</f>
        <v>°C</v>
      </c>
      <c r="D202" s="130" t="s">
        <v>201</v>
      </c>
      <c r="E202" s="130" t="s">
        <v>201</v>
      </c>
      <c r="F202" s="131" t="s">
        <v>201</v>
      </c>
    </row>
    <row r="203" spans="1:9" x14ac:dyDescent="0.25">
      <c r="A203" s="470" t="s">
        <v>203</v>
      </c>
      <c r="B203" s="129" t="s">
        <v>204</v>
      </c>
      <c r="C203" s="132" t="e">
        <f ca="1">MAX(Dover_1!C16:K16)</f>
        <v>#REF!</v>
      </c>
      <c r="D203" s="130" t="e">
        <f ca="1">_xlfn.XLOOKUP(INT(SUBSTITUTE(E203,"Connecteur ","")),Mesures_Dover!C23:C31,Mesures_Dover!A23:A31)</f>
        <v>#REF!</v>
      </c>
      <c r="E203" s="130" t="e" cm="1">
        <f t="array" aca="1" ref="E203" ca="1">_xlfn.XLOOKUP(MAX(Dover_1!C16:K16),Dover_1!C16:K16,_xlfn.ANCHORARRAY(Dover_1!C14))</f>
        <v>#REF!</v>
      </c>
      <c r="F203" s="130" t="e">
        <f ca="1">_xlfn.XLOOKUP(INT(SUBSTITUTE(E203,"Connecteur ","")),Mesures_Dover!C23:C31,Mesures_Dover!B23:B31)</f>
        <v>#REF!</v>
      </c>
    </row>
    <row r="204" spans="1:9" x14ac:dyDescent="0.25">
      <c r="A204" s="470"/>
      <c r="B204" s="129" t="s">
        <v>205</v>
      </c>
      <c r="C204" s="132" t="e">
        <f ca="1">MIN(Dover_1!C16:K16)</f>
        <v>#REF!</v>
      </c>
      <c r="D204" s="130" t="e">
        <f ca="1">_xlfn.XLOOKUP(INT(SUBSTITUTE(E204,"Connecteur ","")),Mesures_Dover!C23:C31,Mesures_Dover!A23:A31)</f>
        <v>#REF!</v>
      </c>
      <c r="E204" s="130" t="e" cm="1">
        <f t="array" aca="1" ref="E204" ca="1">_xlfn.XLOOKUP(MIN(Dover_1!C16:K16),Dover_1!C16:K16,_xlfn.ANCHORARRAY(Dover_1!C14))</f>
        <v>#REF!</v>
      </c>
      <c r="F204" s="131" t="e">
        <f ca="1">_xlfn.XLOOKUP(INT(SUBSTITUTE(E204,"Connecteur ","")),Mesures_Dover!C23:C31,Mesures_Dover!B23:B31)</f>
        <v>#REF!</v>
      </c>
    </row>
    <row r="205" spans="1:9" x14ac:dyDescent="0.25">
      <c r="A205" s="470"/>
      <c r="B205" s="129" t="s">
        <v>206</v>
      </c>
      <c r="C205" s="132" t="e">
        <f ca="1">MIN(Dover_1!C17:K17)</f>
        <v>#REF!</v>
      </c>
      <c r="D205" s="130" t="e">
        <f ca="1">_xlfn.XLOOKUP(INT(SUBSTITUTE(E205,"Connecteur ","")),Mesures_Dover!C23:C31,Mesures_Dover!A23:A31)</f>
        <v>#REF!</v>
      </c>
      <c r="E205" s="130" t="e">
        <f ca="1">_xlfn.XLOOKUP(MIN(Dover_1!C17:K17),Dover_1!C17:K17,Dover_1!C10:K10)</f>
        <v>#REF!</v>
      </c>
      <c r="F205" s="131" t="e">
        <f ca="1">_xlfn.XLOOKUP(INT(SUBSTITUTE(E205,"Connecteur ","")),Mesures_Dover!C23:C31,Mesures_Dover!B23:B31)</f>
        <v>#REF!</v>
      </c>
    </row>
    <row r="206" spans="1:9" x14ac:dyDescent="0.25">
      <c r="A206" s="470"/>
      <c r="B206" s="129" t="s">
        <v>207</v>
      </c>
      <c r="C206" s="132" t="e">
        <f ca="1">Dover_1!C21</f>
        <v>#REF!</v>
      </c>
      <c r="D206" s="130" t="s">
        <v>201</v>
      </c>
      <c r="E206" s="130" t="s">
        <v>201</v>
      </c>
      <c r="F206" s="131" t="s">
        <v>201</v>
      </c>
    </row>
    <row r="207" spans="1:9" x14ac:dyDescent="0.25">
      <c r="C207" s="89"/>
      <c r="D207" s="89"/>
      <c r="E207" s="89"/>
      <c r="F207" s="89"/>
    </row>
    <row r="218" spans="2:6" ht="36" x14ac:dyDescent="0.25">
      <c r="B218" s="462" t="str">
        <f>"7. Résultats et exploitation des résultats à " &amp; Mesures_Dover!B19 &amp; "°C"</f>
        <v>7. Résultats et exploitation des résultats à °C</v>
      </c>
      <c r="C218" s="462"/>
      <c r="D218" s="462"/>
      <c r="E218" s="462"/>
      <c r="F218" s="462"/>
    </row>
    <row r="221" spans="2:6" x14ac:dyDescent="0.25">
      <c r="B221" s="338" t="s">
        <v>209</v>
      </c>
      <c r="C221" s="338"/>
    </row>
    <row r="225" spans="1:10" x14ac:dyDescent="0.25">
      <c r="A225" s="1"/>
      <c r="B225" s="152" t="str" cm="1">
        <f t="array" ref="B225:J225">Valeurs_Brutes_Dover_1[[#Headers],[Connecteur 1]:[Connecteur 9]]</f>
        <v>Connecteur 1</v>
      </c>
      <c r="C225" s="152" t="str">
        <v>Connecteur 2</v>
      </c>
      <c r="D225" s="152" t="str">
        <v>Connecteur 3</v>
      </c>
      <c r="E225" s="152" t="str">
        <v>Connecteur 4</v>
      </c>
      <c r="F225" s="152" t="str">
        <v>Connecteur 5</v>
      </c>
      <c r="G225" s="152" t="str">
        <v>Connecteur 6</v>
      </c>
      <c r="H225" s="152" t="str">
        <v>Connecteur 7</v>
      </c>
      <c r="I225" s="152" t="str">
        <v>Connecteur 8</v>
      </c>
      <c r="J225" s="152"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492" t="e">
        <f ca="1">Dover_1!C20</f>
        <v>#REF!</v>
      </c>
      <c r="C230" s="498"/>
      <c r="D230" s="498"/>
      <c r="E230" s="498"/>
      <c r="F230" s="498"/>
      <c r="G230" s="498"/>
      <c r="H230" s="498"/>
      <c r="I230" s="498"/>
      <c r="J230" s="498"/>
    </row>
    <row r="231" spans="1:10" x14ac:dyDescent="0.25">
      <c r="A231" s="42" t="s">
        <v>98</v>
      </c>
      <c r="B231" s="492" t="e">
        <f ca="1">Dover_1!C21</f>
        <v>#REF!</v>
      </c>
      <c r="C231" s="498"/>
      <c r="D231" s="498"/>
      <c r="E231" s="498"/>
      <c r="F231" s="498"/>
      <c r="G231" s="498"/>
      <c r="H231" s="498"/>
      <c r="I231" s="498"/>
      <c r="J231" s="498"/>
    </row>
    <row r="232" spans="1:10" x14ac:dyDescent="0.25">
      <c r="A232" s="36" t="s">
        <v>99</v>
      </c>
      <c r="B232" s="153" t="e" cm="1">
        <f t="array" aca="1" ref="B232:J232" ca="1">Dover_1!C22:K22</f>
        <v>#REF!</v>
      </c>
      <c r="C232" s="154" t="e">
        <f ca="1"/>
        <v>#REF!</v>
      </c>
      <c r="D232" s="154" t="e">
        <f ca="1"/>
        <v>#REF!</v>
      </c>
      <c r="E232" s="154" t="e">
        <f ca="1"/>
        <v>#REF!</v>
      </c>
      <c r="F232" s="154" t="e">
        <f ca="1"/>
        <v>#REF!</v>
      </c>
      <c r="G232" s="154" t="e">
        <f ca="1"/>
        <v>#REF!</v>
      </c>
      <c r="H232" s="154" t="e">
        <f ca="1"/>
        <v>#REF!</v>
      </c>
      <c r="I232" s="154" t="e">
        <f ca="1"/>
        <v>#REF!</v>
      </c>
      <c r="J232" s="154" t="e">
        <f ca="1"/>
        <v>#REF!</v>
      </c>
    </row>
    <row r="244" spans="2:6" x14ac:dyDescent="0.25">
      <c r="B244" s="135"/>
    </row>
    <row r="246" spans="2:6" ht="36" x14ac:dyDescent="0.3">
      <c r="C246" s="136" t="str">
        <f>"8. Résultats et exploitation des résultats à " &amp; Mesures_Dover!B19 &amp; "°C"</f>
        <v>8. Résultats et exploitation des résultats à °C</v>
      </c>
      <c r="D246" s="137"/>
      <c r="E246" s="137"/>
      <c r="F246" s="137"/>
    </row>
    <row r="249" spans="2:6" x14ac:dyDescent="0.25">
      <c r="B249" t="s">
        <v>216</v>
      </c>
    </row>
    <row r="284" spans="2:6" ht="36" x14ac:dyDescent="0.25">
      <c r="B284" s="462" t="str">
        <f>"9. Résultats et exploitation des résultats à " &amp; Mesures_Dover!C19 &amp; "°C"</f>
        <v>9. Résultats et exploitation des résultats à °C</v>
      </c>
      <c r="C284" s="462"/>
      <c r="D284" s="462"/>
      <c r="E284" s="462"/>
      <c r="F284" s="462"/>
    </row>
    <row r="291" spans="1:9" x14ac:dyDescent="0.25">
      <c r="A291" s="122" t="s">
        <v>241</v>
      </c>
      <c r="B291" s="151">
        <f>Mesures_Dover!C19</f>
        <v>0</v>
      </c>
      <c r="G291" s="466" t="s">
        <v>191</v>
      </c>
      <c r="H291" s="467"/>
      <c r="I291" s="468"/>
    </row>
    <row r="292" spans="1:9" x14ac:dyDescent="0.25">
      <c r="A292" s="122" t="s">
        <v>242</v>
      </c>
      <c r="B292" s="151">
        <f>Mesures_Dover!B20</f>
        <v>0</v>
      </c>
      <c r="G292" s="22" t="s">
        <v>192</v>
      </c>
      <c r="H292" s="22" t="s">
        <v>193</v>
      </c>
      <c r="I292" s="22" t="s">
        <v>194</v>
      </c>
    </row>
    <row r="293" spans="1:9" x14ac:dyDescent="0.25">
      <c r="G293" s="125">
        <f>INDEX(Valeurs_Brutes_Dover_2[Date/Heure],1)</f>
        <v>0</v>
      </c>
      <c r="H293" s="125" cm="1">
        <f t="array" ref="H293">INDEX(Valeurs_Brutes_Dover_2[Date/Heure],COUNTA(Valeurs_Brutes_Dover_2[Date/Heure]))</f>
        <v>0</v>
      </c>
      <c r="I293" s="125">
        <f>H293-G293</f>
        <v>0</v>
      </c>
    </row>
    <row r="296" spans="1:9" ht="23.25" x14ac:dyDescent="0.25">
      <c r="B296" s="469" t="s">
        <v>195</v>
      </c>
      <c r="C296" s="469"/>
    </row>
    <row r="299" spans="1:9" ht="30" x14ac:dyDescent="0.25">
      <c r="B299" s="126" t="s">
        <v>196</v>
      </c>
      <c r="C299" s="127" t="s">
        <v>197</v>
      </c>
      <c r="D299" s="127" t="s">
        <v>112</v>
      </c>
      <c r="E299" s="128" t="s">
        <v>198</v>
      </c>
      <c r="F299" s="127" t="s">
        <v>199</v>
      </c>
    </row>
    <row r="300" spans="1:9" x14ac:dyDescent="0.25">
      <c r="B300" s="129" t="s">
        <v>200</v>
      </c>
      <c r="C300" s="155" t="str">
        <f>Mesures_Dover!C19 &amp; "°C"</f>
        <v>°C</v>
      </c>
      <c r="D300" s="130" t="s">
        <v>201</v>
      </c>
      <c r="E300" s="130" t="s">
        <v>201</v>
      </c>
      <c r="F300" s="131" t="s">
        <v>201</v>
      </c>
    </row>
    <row r="301" spans="1:9" x14ac:dyDescent="0.25">
      <c r="B301" s="129" t="s">
        <v>202</v>
      </c>
      <c r="C301" s="155" t="str">
        <f>Mesures_Dover!C19 &amp; "°C"</f>
        <v>°C</v>
      </c>
      <c r="D301" s="130" t="s">
        <v>201</v>
      </c>
      <c r="E301" s="130" t="s">
        <v>201</v>
      </c>
      <c r="F301" s="131" t="s">
        <v>201</v>
      </c>
    </row>
    <row r="302" spans="1:9" x14ac:dyDescent="0.25">
      <c r="A302" s="470" t="s">
        <v>203</v>
      </c>
      <c r="B302" s="129" t="s">
        <v>204</v>
      </c>
      <c r="C302" s="132" t="e">
        <f ca="1">MAX(Dover_2!C16:K16)</f>
        <v>#REF!</v>
      </c>
      <c r="D302" s="130" t="e">
        <f ca="1">_xlfn.XLOOKUP(INT(SUBSTITUTE(E302,"Connecteur ","")),Mesures_Dover!C23:C31,Mesures_Dover!A23:A31)</f>
        <v>#REF!</v>
      </c>
      <c r="E302" s="130" t="e" cm="1">
        <f t="array" aca="1" ref="E302" ca="1">_xlfn.XLOOKUP(MAX(Dover_2!C16:K16),Dover_2!C16:K16,_xlfn.ANCHORARRAY(Dover_2!C14))</f>
        <v>#REF!</v>
      </c>
      <c r="F302" s="130" t="e">
        <f ca="1">_xlfn.XLOOKUP(INT(SUBSTITUTE(E302,"Connecteur ","")),Mesures_Dover!C23:C31,Mesures_Dover!B23:B31)</f>
        <v>#REF!</v>
      </c>
    </row>
    <row r="303" spans="1:9" x14ac:dyDescent="0.25">
      <c r="A303" s="470"/>
      <c r="B303" s="129" t="s">
        <v>205</v>
      </c>
      <c r="C303" s="132" t="e">
        <f ca="1">MIN(Dover_2!C16:K16)</f>
        <v>#REF!</v>
      </c>
      <c r="D303" s="130" t="e">
        <f ca="1">_xlfn.XLOOKUP(INT(SUBSTITUTE(E303,"Connecteur ","")),Mesures_Dover!C23:C31,Mesures_Dover!A23:A31)</f>
        <v>#REF!</v>
      </c>
      <c r="E303" s="130" t="e" cm="1">
        <f t="array" aca="1" ref="E303" ca="1">_xlfn.XLOOKUP(MIN(Dover_2!C16:K16),Dover_2!C16:K16,_xlfn.ANCHORARRAY(Dover_2!C14))</f>
        <v>#REF!</v>
      </c>
      <c r="F303" s="131" t="e">
        <f ca="1">_xlfn.XLOOKUP(INT(SUBSTITUTE(E303,"Connecteur ","")),Mesures_Dover!C23:C31,Mesures_Dover!B23:B31)</f>
        <v>#REF!</v>
      </c>
    </row>
    <row r="304" spans="1:9" x14ac:dyDescent="0.25">
      <c r="A304" s="470"/>
      <c r="B304" s="129" t="s">
        <v>206</v>
      </c>
      <c r="C304" s="132" t="e">
        <f ca="1">MIN(Dover_2!C16:K16)</f>
        <v>#REF!</v>
      </c>
      <c r="D304" s="130" t="e">
        <f ca="1">_xlfn.XLOOKUP(INT(SUBSTITUTE(E304,"Connecteur ","")),Mesures_Dover!C23:C31,Mesures_Dover!A23:A31)</f>
        <v>#REF!</v>
      </c>
      <c r="E304" s="130" t="e">
        <f ca="1">_xlfn.XLOOKUP(MIN(Dover_2!C17:K17),Dover_2!C17:K17,Dover_2!C10:K10)</f>
        <v>#REF!</v>
      </c>
      <c r="F304" s="131" t="e">
        <f ca="1">_xlfn.XLOOKUP(INT(SUBSTITUTE(E304,"Connecteur ","")),Mesures_Dover!C23:C31,Mesures_Dover!B23:B31)</f>
        <v>#REF!</v>
      </c>
    </row>
    <row r="305" spans="1:6" x14ac:dyDescent="0.25">
      <c r="A305" s="470"/>
      <c r="B305" s="129" t="s">
        <v>207</v>
      </c>
      <c r="C305" s="132" t="e">
        <f ca="1">AVERAGE(Dover_2!C16:K16)</f>
        <v>#REF!</v>
      </c>
      <c r="D305" s="130" t="s">
        <v>201</v>
      </c>
      <c r="E305" s="130" t="s">
        <v>201</v>
      </c>
      <c r="F305" s="131" t="s">
        <v>201</v>
      </c>
    </row>
    <row r="306" spans="1:6" x14ac:dyDescent="0.25">
      <c r="C306" s="89"/>
      <c r="D306" s="89"/>
      <c r="E306" s="89"/>
      <c r="F306" s="89"/>
    </row>
    <row r="316" spans="1:6" ht="36" x14ac:dyDescent="0.25">
      <c r="B316" s="462" t="str">
        <f>"10. Résultats et exploitation des résultats à " &amp; Mesures_Dover!C19 &amp; "°C"</f>
        <v>10. Résultats et exploitation des résultats à °C</v>
      </c>
      <c r="C316" s="462"/>
      <c r="D316" s="462"/>
      <c r="E316" s="462"/>
      <c r="F316" s="462"/>
    </row>
    <row r="319" spans="1:6" x14ac:dyDescent="0.25">
      <c r="B319" s="338" t="s">
        <v>209</v>
      </c>
      <c r="C319" s="338"/>
    </row>
    <row r="323" spans="1:10" x14ac:dyDescent="0.25">
      <c r="A323" s="1"/>
      <c r="B323" s="152" t="str" cm="1">
        <f t="array" ref="B323:J323">Valeurs_Brutes_Dover_2[[#Headers],[Connecteur 1]:[Connecteur 9]]</f>
        <v>Connecteur 1</v>
      </c>
      <c r="C323" s="152" t="str">
        <v>Connecteur 2</v>
      </c>
      <c r="D323" s="152" t="str">
        <v>Connecteur 3</v>
      </c>
      <c r="E323" s="152" t="str">
        <v>Connecteur 4</v>
      </c>
      <c r="F323" s="152" t="str">
        <v>Connecteur 5</v>
      </c>
      <c r="G323" s="152" t="str">
        <v>Connecteur 6</v>
      </c>
      <c r="H323" s="152" t="str">
        <v>Connecteur 7</v>
      </c>
      <c r="I323" s="152" t="str">
        <v>Connecteur 8</v>
      </c>
      <c r="J323" s="152"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492" t="e">
        <f ca="1">Dover_2!C20</f>
        <v>#REF!</v>
      </c>
      <c r="C328" s="498"/>
      <c r="D328" s="498"/>
      <c r="E328" s="498"/>
      <c r="F328" s="498"/>
      <c r="G328" s="498"/>
      <c r="H328" s="498"/>
      <c r="I328" s="498"/>
      <c r="J328" s="498"/>
    </row>
    <row r="329" spans="1:10" x14ac:dyDescent="0.25">
      <c r="A329" s="42" t="s">
        <v>98</v>
      </c>
      <c r="B329" s="492" t="e">
        <f ca="1">Dover_2!C21</f>
        <v>#REF!</v>
      </c>
      <c r="C329" s="498"/>
      <c r="D329" s="498"/>
      <c r="E329" s="498"/>
      <c r="F329" s="498"/>
      <c r="G329" s="498"/>
      <c r="H329" s="498"/>
      <c r="I329" s="498"/>
      <c r="J329" s="498"/>
    </row>
    <row r="330" spans="1:10" x14ac:dyDescent="0.25">
      <c r="A330" s="36" t="s">
        <v>99</v>
      </c>
      <c r="B330" s="153" t="e" cm="1">
        <f t="array" aca="1" ref="B330:J330" ca="1">Dover_2!C22:K22</f>
        <v>#REF!</v>
      </c>
      <c r="C330" s="154" t="e">
        <f ca="1"/>
        <v>#REF!</v>
      </c>
      <c r="D330" s="154" t="e">
        <f ca="1"/>
        <v>#REF!</v>
      </c>
      <c r="E330" s="154" t="e">
        <f ca="1"/>
        <v>#REF!</v>
      </c>
      <c r="F330" s="154" t="e">
        <f ca="1"/>
        <v>#REF!</v>
      </c>
      <c r="G330" s="154" t="e">
        <f ca="1"/>
        <v>#REF!</v>
      </c>
      <c r="H330" s="154" t="e">
        <f ca="1"/>
        <v>#REF!</v>
      </c>
      <c r="I330" s="154" t="e">
        <f ca="1"/>
        <v>#REF!</v>
      </c>
      <c r="J330" s="154" t="e">
        <f ca="1"/>
        <v>#REF!</v>
      </c>
    </row>
    <row r="340" spans="2:6" x14ac:dyDescent="0.25">
      <c r="B340" s="135"/>
    </row>
    <row r="342" spans="2:6" ht="36" x14ac:dyDescent="0.3">
      <c r="C342" s="136" t="str">
        <f>"11. Résultats et exploitation des résultats à " &amp; Mesures_Dover!C19 &amp; "°C"</f>
        <v>11. Résultats et exploitation des résultats à °C</v>
      </c>
      <c r="D342" s="137"/>
      <c r="E342" s="137"/>
      <c r="F342" s="137"/>
    </row>
    <row r="345" spans="2:6" x14ac:dyDescent="0.25">
      <c r="B345" t="s">
        <v>216</v>
      </c>
    </row>
    <row r="395" spans="3:3" ht="36" x14ac:dyDescent="0.25">
      <c r="C395" s="136" t="str">
        <f>"12. Résultats et exploitation des résultats à " &amp; Mesures_Dover!D19 &amp; "°C"</f>
        <v>12. Résultats et exploitation des résultats à °C</v>
      </c>
    </row>
    <row r="401" spans="1:9" x14ac:dyDescent="0.25">
      <c r="A401" s="122" t="s">
        <v>241</v>
      </c>
      <c r="B401" s="124">
        <v>150</v>
      </c>
      <c r="G401" s="466" t="s">
        <v>191</v>
      </c>
      <c r="H401" s="467"/>
      <c r="I401" s="468"/>
    </row>
    <row r="402" spans="1:9" x14ac:dyDescent="0.25">
      <c r="A402" s="122" t="s">
        <v>242</v>
      </c>
      <c r="B402" s="151">
        <f>Mesures_Dover!B20</f>
        <v>0</v>
      </c>
      <c r="G402" s="22" t="s">
        <v>192</v>
      </c>
      <c r="H402" s="22" t="s">
        <v>193</v>
      </c>
      <c r="I402" s="22" t="s">
        <v>194</v>
      </c>
    </row>
    <row r="403" spans="1:9" x14ac:dyDescent="0.25">
      <c r="G403" s="125">
        <f>Dover_3!B11</f>
        <v>0</v>
      </c>
      <c r="H403" s="125" cm="1">
        <f t="array" ref="H403">INDEX(Valeurs_Brutes_Dover_3[Date/Heure], COUNTA(Valeurs_Brutes_Dover_3[Connecteur 1]))</f>
        <v>0</v>
      </c>
      <c r="I403" s="125">
        <f>H403-G403</f>
        <v>0</v>
      </c>
    </row>
    <row r="406" spans="1:9" ht="23.25" x14ac:dyDescent="0.25">
      <c r="B406" s="469" t="s">
        <v>195</v>
      </c>
      <c r="C406" s="469"/>
    </row>
    <row r="409" spans="1:9" ht="30" x14ac:dyDescent="0.25">
      <c r="B409" s="126" t="s">
        <v>196</v>
      </c>
      <c r="C409" s="127" t="s">
        <v>197</v>
      </c>
      <c r="D409" s="127" t="s">
        <v>112</v>
      </c>
      <c r="E409" s="128" t="s">
        <v>198</v>
      </c>
      <c r="F409" s="127" t="s">
        <v>199</v>
      </c>
    </row>
    <row r="410" spans="1:9" x14ac:dyDescent="0.25">
      <c r="B410" s="129" t="s">
        <v>200</v>
      </c>
      <c r="C410" s="130" t="str">
        <f>"150°C"</f>
        <v>150°C</v>
      </c>
      <c r="D410" s="130" t="s">
        <v>201</v>
      </c>
      <c r="E410" s="130" t="s">
        <v>201</v>
      </c>
      <c r="F410" s="131" t="s">
        <v>201</v>
      </c>
    </row>
    <row r="411" spans="1:9" x14ac:dyDescent="0.25">
      <c r="B411" s="129" t="s">
        <v>202</v>
      </c>
      <c r="C411" s="130" t="str">
        <f>"150°C"</f>
        <v>150°C</v>
      </c>
      <c r="D411" s="130" t="s">
        <v>201</v>
      </c>
      <c r="E411" s="130" t="s">
        <v>201</v>
      </c>
      <c r="F411" s="131" t="s">
        <v>201</v>
      </c>
    </row>
    <row r="412" spans="1:9" x14ac:dyDescent="0.25">
      <c r="A412" s="470" t="s">
        <v>203</v>
      </c>
      <c r="B412" s="129" t="s">
        <v>204</v>
      </c>
      <c r="C412" s="132" t="e">
        <f ca="1">MAX(Dover_3!C16:K16)</f>
        <v>#REF!</v>
      </c>
      <c r="D412" s="130" t="e">
        <f ca="1">_xlfn.XLOOKUP(INT(SUBSTITUTE(E412,"Connecteur ","")),Mesures_Dover!C23:C31,Mesures_Dover!A23:A31)</f>
        <v>#REF!</v>
      </c>
      <c r="E412" s="130" t="e" cm="1">
        <f t="array" aca="1" ref="E412" ca="1">_xlfn.XLOOKUP(MAX(Dover_3!C16:K16),Dover_3!C16:K16,_xlfn.ANCHORARRAY(Dover_3!C14))</f>
        <v>#REF!</v>
      </c>
      <c r="F412" s="130" t="e">
        <f ca="1">_xlfn.XLOOKUP(INT(SUBSTITUTE(E412,"Connecteur ","")),Mesures_Dover!C23:C31,Mesures_Dover!B23:B31)</f>
        <v>#REF!</v>
      </c>
    </row>
    <row r="413" spans="1:9" x14ac:dyDescent="0.25">
      <c r="A413" s="470"/>
      <c r="B413" s="129" t="s">
        <v>205</v>
      </c>
      <c r="C413" s="132" t="e">
        <f ca="1">MIN(Dover_3!C16:K16)</f>
        <v>#REF!</v>
      </c>
      <c r="D413" s="130" t="e">
        <f ca="1">_xlfn.XLOOKUP(INT(SUBSTITUTE(E413,"Connecteur ","")),Mesures_Dover!C23:C31,Mesures_Dover!A23:A31)</f>
        <v>#REF!</v>
      </c>
      <c r="E413" s="130" t="e" cm="1">
        <f t="array" aca="1" ref="E413" ca="1">_xlfn.XLOOKUP(MIN(Dover_3!C16:K16),Dover_3!C16:K16,_xlfn.ANCHORARRAY(Dover_3!C14))</f>
        <v>#REF!</v>
      </c>
      <c r="F413" s="131" t="e">
        <f ca="1">_xlfn.XLOOKUP(INT(SUBSTITUTE(E413,"Connecteur ","")),Mesures_Dover!C23:C31,Mesures_Dover!B23:B31)</f>
        <v>#REF!</v>
      </c>
    </row>
    <row r="414" spans="1:9" x14ac:dyDescent="0.25">
      <c r="A414" s="470"/>
      <c r="B414" s="129" t="s">
        <v>206</v>
      </c>
      <c r="C414" s="132" t="e">
        <f ca="1">MIN(Dover_3!C17:O17)</f>
        <v>#REF!</v>
      </c>
      <c r="D414" s="130" t="e">
        <f ca="1">_xlfn.XLOOKUP(INT(SUBSTITUTE(E414,"Connecteur ","")),Mesures_Dover!C23:C31,Mesures_Dover!A23:A31)</f>
        <v>#REF!</v>
      </c>
      <c r="E414" s="130" t="e" cm="1">
        <f t="array" aca="1" ref="E414" ca="1">_xlfn.XLOOKUP(MAX(Dover_3!C17:K17),Dover_3!C17:K17,_xlfn.ANCHORARRAY(Dover_3!C14))</f>
        <v>#REF!</v>
      </c>
      <c r="F414" s="131" t="e">
        <f ca="1">_xlfn.XLOOKUP(INT(SUBSTITUTE(E414,"Connecteur ","")),Mesures_Dover!C23:C31,Mesures_Dover!B23:B31)</f>
        <v>#REF!</v>
      </c>
    </row>
    <row r="415" spans="1:9" x14ac:dyDescent="0.25">
      <c r="A415" s="470"/>
      <c r="B415" s="129" t="s">
        <v>207</v>
      </c>
      <c r="C415" s="132" t="e">
        <f ca="1">AVERAGE(Dover_3!C18:O18)</f>
        <v>#REF!</v>
      </c>
      <c r="D415" s="130" t="s">
        <v>201</v>
      </c>
      <c r="E415" s="130" t="s">
        <v>201</v>
      </c>
      <c r="F415" s="131" t="s">
        <v>201</v>
      </c>
    </row>
    <row r="416" spans="1:9" x14ac:dyDescent="0.25">
      <c r="C416" s="89"/>
      <c r="D416" s="89"/>
      <c r="E416" s="89"/>
      <c r="F416" s="89"/>
    </row>
    <row r="425" spans="1:10" ht="36" x14ac:dyDescent="0.25">
      <c r="B425" s="462" t="str">
        <f>"13. Résultats et exploitation des résultats à " &amp; Mesures_Dover!D19 &amp; "°C"</f>
        <v>13. Résultats et exploitation des résultats à °C</v>
      </c>
      <c r="C425" s="462"/>
      <c r="D425" s="462"/>
      <c r="E425" s="462"/>
      <c r="F425" s="462"/>
    </row>
    <row r="428" spans="1:10" x14ac:dyDescent="0.25">
      <c r="B428" s="338" t="s">
        <v>209</v>
      </c>
      <c r="C428" s="338"/>
    </row>
    <row r="432" spans="1:10" x14ac:dyDescent="0.25">
      <c r="A432" s="1"/>
      <c r="B432" s="152" t="str" cm="1">
        <f t="array" ref="B432:J432">Valeurs_Brutes_Dover_3[[#Headers],[Connecteur 1]:[Connecteur 9]]</f>
        <v>Connecteur 1</v>
      </c>
      <c r="C432" s="152" t="str">
        <v>Connecteur 2</v>
      </c>
      <c r="D432" s="152" t="str">
        <v>Connecteur 3</v>
      </c>
      <c r="E432" s="152" t="str">
        <v>Connecteur 4</v>
      </c>
      <c r="F432" s="152" t="str">
        <v>Connecteur 5</v>
      </c>
      <c r="G432" s="152" t="str">
        <v>Connecteur 6</v>
      </c>
      <c r="H432" s="152" t="str">
        <v>Connecteur 7</v>
      </c>
      <c r="I432" s="152" t="str">
        <v>Connecteur 8</v>
      </c>
      <c r="J432" s="152"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492" t="e">
        <f ca="1">Dover_3!C20</f>
        <v>#REF!</v>
      </c>
      <c r="C437" s="498"/>
      <c r="D437" s="498"/>
      <c r="E437" s="498"/>
      <c r="F437" s="498"/>
      <c r="G437" s="498"/>
      <c r="H437" s="498"/>
      <c r="I437" s="498"/>
      <c r="J437" s="498"/>
    </row>
    <row r="438" spans="1:10" x14ac:dyDescent="0.25">
      <c r="A438" s="42" t="s">
        <v>98</v>
      </c>
      <c r="B438" s="492" t="e">
        <f ca="1">Dover_3!C21</f>
        <v>#REF!</v>
      </c>
      <c r="C438" s="498"/>
      <c r="D438" s="498"/>
      <c r="E438" s="498"/>
      <c r="F438" s="498"/>
      <c r="G438" s="498"/>
      <c r="H438" s="498"/>
      <c r="I438" s="498"/>
      <c r="J438" s="498"/>
    </row>
    <row r="439" spans="1:10" x14ac:dyDescent="0.25">
      <c r="A439" s="36" t="s">
        <v>99</v>
      </c>
      <c r="B439" s="153" t="e" cm="1">
        <f t="array" aca="1" ref="B439:J439" ca="1">Dover_3!C22:K22</f>
        <v>#REF!</v>
      </c>
      <c r="C439" s="154" t="e">
        <f ca="1"/>
        <v>#REF!</v>
      </c>
      <c r="D439" s="154" t="e">
        <f ca="1"/>
        <v>#REF!</v>
      </c>
      <c r="E439" s="154" t="e">
        <f ca="1"/>
        <v>#REF!</v>
      </c>
      <c r="F439" s="154" t="e">
        <f ca="1"/>
        <v>#REF!</v>
      </c>
      <c r="G439" s="154" t="e">
        <f ca="1"/>
        <v>#REF!</v>
      </c>
      <c r="H439" s="154" t="e">
        <f ca="1"/>
        <v>#REF!</v>
      </c>
      <c r="I439" s="154" t="e">
        <f ca="1"/>
        <v>#REF!</v>
      </c>
      <c r="J439" s="154" t="e">
        <f ca="1"/>
        <v>#REF!</v>
      </c>
    </row>
    <row r="445" spans="1:10" x14ac:dyDescent="0.25">
      <c r="B445" s="135"/>
    </row>
    <row r="447" spans="1:10" ht="36" x14ac:dyDescent="0.3">
      <c r="C447" s="136" t="str">
        <f>"14. Résultats et exploitation des résultats à " &amp; Mesures_Dover!D19 &amp; "°C"</f>
        <v>14. Résultats et exploitation des résultats à °C</v>
      </c>
      <c r="D447" s="137"/>
      <c r="E447" s="137"/>
      <c r="F447" s="137"/>
    </row>
    <row r="450" spans="2:2" x14ac:dyDescent="0.25">
      <c r="B450" t="s">
        <v>216</v>
      </c>
    </row>
    <row r="489" spans="3:3" x14ac:dyDescent="0.25">
      <c r="C489" t="s">
        <v>335</v>
      </c>
    </row>
    <row r="497" spans="3:7" x14ac:dyDescent="0.25">
      <c r="C497" s="129" t="s">
        <v>219</v>
      </c>
      <c r="D497" s="129"/>
      <c r="E497" s="190" t="str">
        <f>Dover_1!O16 &amp; "°C"</f>
        <v>0°C</v>
      </c>
      <c r="F497" s="22" t="str">
        <f>Dover_2!O16 &amp; "°C"</f>
        <v>0°C</v>
      </c>
      <c r="G497" s="22" t="str">
        <f>Dover_3!O16 &amp; "°C"</f>
        <v>0°C</v>
      </c>
    </row>
    <row r="498" spans="3:7" x14ac:dyDescent="0.25">
      <c r="C498" s="457" t="s">
        <v>220</v>
      </c>
      <c r="D498" s="458"/>
      <c r="E498" s="155">
        <f>Dover_1!O16</f>
        <v>0</v>
      </c>
      <c r="F498" s="155">
        <f>Dover_2!O16</f>
        <v>0</v>
      </c>
      <c r="G498" s="155">
        <f>Dover_3!O16</f>
        <v>0</v>
      </c>
    </row>
    <row r="499" spans="3:7" x14ac:dyDescent="0.25">
      <c r="C499" s="457" t="s">
        <v>221</v>
      </c>
      <c r="D499" s="458"/>
      <c r="E499" s="132" t="e">
        <f ca="1">Dover_1!C20</f>
        <v>#REF!</v>
      </c>
      <c r="F499" s="132" t="e">
        <f ca="1">Dover_2!C20</f>
        <v>#REF!</v>
      </c>
      <c r="G499" s="132" t="e">
        <f ca="1">Dover_3!C20</f>
        <v>#REF!</v>
      </c>
    </row>
    <row r="500" spans="3:7" x14ac:dyDescent="0.25">
      <c r="C500" s="457" t="s">
        <v>222</v>
      </c>
      <c r="D500" s="458"/>
      <c r="E500" s="155">
        <f>Mesures_Dover!B20</f>
        <v>0</v>
      </c>
      <c r="F500" s="155">
        <f>Mesures_Dover!B20</f>
        <v>0</v>
      </c>
      <c r="G500" s="155">
        <f>Mesures_Dover!B20</f>
        <v>0</v>
      </c>
    </row>
    <row r="501" spans="3:7" x14ac:dyDescent="0.25">
      <c r="C501" s="457" t="s">
        <v>243</v>
      </c>
      <c r="D501" s="458"/>
      <c r="E501" s="130" t="e">
        <f ca="1">IF(MIN(Dover_1!C17:K17)&lt;Dover_1!L17,"NON CONFORME","CONFORME")</f>
        <v>#REF!</v>
      </c>
      <c r="F501" s="130" t="e">
        <f ca="1">IF(MIN(Dover_2!C17:K17)&lt;Dover_2!L17,"NON CONFORME","CONFORME")</f>
        <v>#REF!</v>
      </c>
      <c r="G501" s="130" t="e">
        <f ca="1">IF(MIN(Dover_3!C17:K17)&lt;Dover_3!L17,"NON CONFORME","CONFORME")</f>
        <v>#REF!</v>
      </c>
    </row>
    <row r="502" spans="3:7" x14ac:dyDescent="0.25">
      <c r="C502" s="457" t="s">
        <v>244</v>
      </c>
      <c r="D502" s="458"/>
      <c r="E502" s="130" t="e">
        <f ca="1">IF(MAX(Dover_1!C16:K16)&gt;Dover_1!L16,"NON CONFORME","CONFORME")</f>
        <v>#REF!</v>
      </c>
      <c r="F502" s="130" t="e">
        <f ca="1">IF(MAX(Dover_2!C16:K16)&gt;Dover_2!L16,"NON CONFORME","CONFORME")</f>
        <v>#REF!</v>
      </c>
      <c r="G502" s="130" t="e">
        <f ca="1">IF(MAX(Dover_3!C16:K16)&gt;Dover_3!L16,"NON CONFORME","CONFORME")</f>
        <v>#REF!</v>
      </c>
    </row>
    <row r="503" spans="3:7" x14ac:dyDescent="0.25">
      <c r="C503" s="457" t="s">
        <v>245</v>
      </c>
      <c r="D503" s="458"/>
      <c r="E503" s="130" t="e">
        <f ca="1">IF(OR(Dover_1!C21&lt;Dover_1!L17,Dover_1!C21&gt;Dover_1!L16),"NON CONFORME","CONFORME")</f>
        <v>#REF!</v>
      </c>
      <c r="F503" s="130" t="e">
        <f ca="1">IF(OR(Dover_2!C21&lt;Dover_2!L17,Dover_2!C21&gt;Dover_2!L16),"NON CONFORME","CONFORME")</f>
        <v>#REF!</v>
      </c>
      <c r="G503" s="130" t="e">
        <f ca="1">IF(OR(Dover_3!C21&lt;Dover_3!L17,Dover_3!C21&gt;Dover_3!L16),"NON CONFORME","CONFORME")</f>
        <v>#REF!</v>
      </c>
    </row>
    <row r="504" spans="3:7" x14ac:dyDescent="0.25">
      <c r="C504" s="457" t="s">
        <v>224</v>
      </c>
      <c r="D504" s="458"/>
      <c r="E504" s="130" t="e">
        <f ca="1">(MAX(Dover_1!C16:K16)- MIN(Dover_1!C17:K17))/2</f>
        <v>#REF!</v>
      </c>
      <c r="F504" s="130" t="e">
        <f ca="1">(MAX(Dover_2!C16:K16)- MIN(Dover_2!C17:K17))/2</f>
        <v>#REF!</v>
      </c>
      <c r="G504" s="130" t="e">
        <f ca="1">(MAX(Dover_3!C16:K16)- MIN(Dover_3!C17:K17))/2</f>
        <v>#REF!</v>
      </c>
    </row>
  </sheetData>
  <sheetProtection algorithmName="SHA-512" hashValue="30/UrfRpx0wFpSNbI2j/uVnEC3iJVCJGC6HI2L6m/YkE5F+v7KPEyyoaqdk7lHckYM2pxycl76N4+31rvgt3Ow==" saltValue="5CzDhF38pb1VAw2Cbc6a1A==" spinCount="100000" sheet="1" objects="1" scenarios="1"/>
  <dataConsolidate/>
  <mergeCells count="54">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 ref="A412:A415"/>
    <mergeCell ref="B425:F425"/>
    <mergeCell ref="B428:C428"/>
    <mergeCell ref="A302:A305"/>
    <mergeCell ref="B316:F316"/>
    <mergeCell ref="B319:C319"/>
    <mergeCell ref="B328:J328"/>
    <mergeCell ref="B329:J329"/>
    <mergeCell ref="B221:C221"/>
    <mergeCell ref="G291:I291"/>
    <mergeCell ref="B296:C296"/>
    <mergeCell ref="B125:I140"/>
    <mergeCell ref="C159:H159"/>
    <mergeCell ref="C188:H188"/>
    <mergeCell ref="G192:I192"/>
    <mergeCell ref="B197:C197"/>
    <mergeCell ref="B284:F284"/>
    <mergeCell ref="A203:A206"/>
    <mergeCell ref="B112:F112"/>
    <mergeCell ref="C123:F123"/>
    <mergeCell ref="C99:D99"/>
    <mergeCell ref="C100:D100"/>
    <mergeCell ref="C101:D101"/>
    <mergeCell ref="C102:D102"/>
    <mergeCell ref="C103:D103"/>
    <mergeCell ref="C104:D104"/>
    <mergeCell ref="C98:D98"/>
    <mergeCell ref="B4:F6"/>
    <mergeCell ref="C10:D10"/>
    <mergeCell ref="E10:F10"/>
    <mergeCell ref="A28:B28"/>
    <mergeCell ref="A30:I47"/>
    <mergeCell ref="C51:F51"/>
    <mergeCell ref="C85:G85"/>
    <mergeCell ref="C94:H94"/>
    <mergeCell ref="C95:D95"/>
    <mergeCell ref="C96:D96"/>
    <mergeCell ref="C97:D97"/>
  </mergeCells>
  <conditionalFormatting sqref="E501">
    <cfRule type="containsText" dxfId="9" priority="10" operator="containsText" text="NON CONFORME">
      <formula>NOT(ISERROR(SEARCH("NON CONFORME",E501)))</formula>
    </cfRule>
  </conditionalFormatting>
  <conditionalFormatting sqref="E502">
    <cfRule type="containsText" dxfId="8" priority="9" operator="containsText" text="NON CONFORME">
      <formula>NOT(ISERROR(SEARCH("NON CONFORME",E502)))</formula>
    </cfRule>
  </conditionalFormatting>
  <conditionalFormatting sqref="F501">
    <cfRule type="containsText" dxfId="7" priority="8" operator="containsText" text="NON CONFORME">
      <formula>NOT(ISERROR(SEARCH("NON CONFORME",F501)))</formula>
    </cfRule>
  </conditionalFormatting>
  <conditionalFormatting sqref="F502">
    <cfRule type="containsText" dxfId="6" priority="7" operator="containsText" text="NON CONFORME">
      <formula>NOT(ISERROR(SEARCH("NON CONFORME",F502)))</formula>
    </cfRule>
  </conditionalFormatting>
  <conditionalFormatting sqref="G501">
    <cfRule type="containsText" dxfId="5" priority="6" operator="containsText" text="NON CONFORME">
      <formula>NOT(ISERROR(SEARCH("NON CONFORME",G501)))</formula>
    </cfRule>
  </conditionalFormatting>
  <conditionalFormatting sqref="G502">
    <cfRule type="containsText" dxfId="4" priority="5" operator="containsText" text="NON CONFORME">
      <formula>NOT(ISERROR(SEARCH("NON CONFORME",G502)))</formula>
    </cfRule>
  </conditionalFormatting>
  <conditionalFormatting sqref="C67:D67">
    <cfRule type="containsBlanks" dxfId="3" priority="4">
      <formula>LEN(TRIM(C67))=0</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53</vt:i4>
      </vt:variant>
    </vt:vector>
  </HeadingPairs>
  <TitlesOfParts>
    <vt:vector size="100"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Entete_Congel</vt:lpstr>
      <vt:lpstr>Entete_DOVER</vt:lpstr>
      <vt:lpstr>Entete_Etuve_Sechoir</vt:lpstr>
      <vt:lpstr>Entete_OMIA</vt:lpstr>
      <vt:lpstr>Entete_Ressuage_BCH</vt:lpstr>
      <vt:lpstr>Entêtes_Four</vt:lpstr>
      <vt:lpstr>Entêtes_Transfert</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2024-02-14T10:09:14Z</cp:lastPrinted>
  <dcterms:created xsi:type="dcterms:W3CDTF">2015-06-05T18:19:34Z</dcterms:created>
  <dcterms:modified xsi:type="dcterms:W3CDTF">2024-02-14T13:41:20Z</dcterms:modified>
</cp:coreProperties>
</file>