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Q:\SMQ EN 9100\Certificats étalonnage\Certificats d'étalonnage 2024\Four\tus 20022024\"/>
    </mc:Choice>
  </mc:AlternateContent>
  <xr:revisionPtr revIDLastSave="0" documentId="13_ncr:1_{D4CD0B66-A82C-4328-AC86-545943DC238C}" xr6:coauthVersionLast="47" xr6:coauthVersionMax="47" xr10:uidLastSave="{00000000-0000-0000-0000-000000000000}"/>
  <workbookProtection workbookAlgorithmName="SHA-512" workbookHashValue="YI4ENALV2VZfKmC0XMoa4OgbTnwfu8sSfijnAXdXjF4oNkLD5Xc8DT53VcVE7G/08nvUfKOUE4uQ9LJ/Vk6sBg==" workbookSaltValue="GHehj+LXe+gWRsjqFufOeQ==" workbookSpinCount="100000" lockStructure="1"/>
  <bookViews>
    <workbookView xWindow="-120" yWindow="-120" windowWidth="29040" windowHeight="15840" tabRatio="771" firstSheet="2" activeTab="16" xr2:uid="{00000000-000D-0000-FFFF-FFFF00000000}"/>
  </bookViews>
  <sheets>
    <sheet name="Group-1" sheetId="17" state="hidden" r:id="rId1"/>
    <sheet name="Entete" sheetId="18" state="hidden" r:id="rId2"/>
    <sheet name="Choose_TUS" sheetId="1" r:id="rId3"/>
    <sheet name="Mesures_Four" sheetId="45" r:id="rId4"/>
    <sheet name="transfert 80" sheetId="46" r:id="rId5"/>
    <sheet name="transfert 200" sheetId="50" r:id="rId6"/>
    <sheet name="transfert 385" sheetId="47" r:id="rId7"/>
    <sheet name="transfert 535" sheetId="48" r:id="rId8"/>
    <sheet name="Four 80" sheetId="49" r:id="rId9"/>
    <sheet name="Four 200" sheetId="51" r:id="rId10"/>
    <sheet name="Four 385" sheetId="52" r:id="rId11"/>
    <sheet name="Four 535" sheetId="53" r:id="rId12"/>
    <sheet name="80°C" sheetId="41" r:id="rId13"/>
    <sheet name="200°C" sheetId="42" r:id="rId14"/>
    <sheet name="385°C" sheetId="40" r:id="rId15"/>
    <sheet name="535°C" sheetId="43" r:id="rId16"/>
    <sheet name="Four_PV" sheetId="44"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'200°C'!$M$68</definedName>
    <definedName name="MT2_30" localSheetId="14">'385°C'!$M$30</definedName>
    <definedName name="MT2_30" localSheetId="15">'535°C'!$M$34</definedName>
    <definedName name="MT2_30" localSheetId="12">'80°C'!$M$151</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45" l="1"/>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7" i="20"/>
  <c r="E306" i="20"/>
  <c r="E305" i="20"/>
  <c r="E304" i="20"/>
  <c r="E303" i="20"/>
  <c r="F297" i="20"/>
  <c r="C254" i="20"/>
  <c r="C234" i="20" a="1"/>
  <c r="F244" i="20" s="1"/>
  <c r="B226" i="20"/>
  <c r="C214" i="20"/>
  <c r="C213" i="20"/>
  <c r="E213" i="20" s="1"/>
  <c r="F213" i="20" s="1"/>
  <c r="C212" i="20"/>
  <c r="E212" i="20" s="1"/>
  <c r="D212" i="20" s="1"/>
  <c r="C211" i="20"/>
  <c r="E211" i="20" s="1"/>
  <c r="F211" i="20" s="1"/>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B602" i="44"/>
  <c r="G587" i="44"/>
  <c r="F587" i="44"/>
  <c r="E587" i="44"/>
  <c r="D587" i="44"/>
  <c r="G585" i="44"/>
  <c r="F585" i="44"/>
  <c r="E585" i="44"/>
  <c r="D585" i="44"/>
  <c r="G584" i="44"/>
  <c r="F575" i="44"/>
  <c r="B575" i="44"/>
  <c r="E566" i="44"/>
  <c r="C559" i="44"/>
  <c r="D500" i="44"/>
  <c r="C488" i="44"/>
  <c r="B488" i="44"/>
  <c r="F487" i="44"/>
  <c r="F486" i="44"/>
  <c r="F485" i="44"/>
  <c r="C485" i="44"/>
  <c r="C560" i="44" s="1"/>
  <c r="B485" i="44"/>
  <c r="D501" i="44" s="1"/>
  <c r="B482" i="44"/>
  <c r="F474" i="44"/>
  <c r="E465" i="44"/>
  <c r="C459" i="44"/>
  <c r="C386" i="44"/>
  <c r="B386" i="44"/>
  <c r="F385" i="44"/>
  <c r="F384" i="44"/>
  <c r="F383" i="44"/>
  <c r="C383" i="44"/>
  <c r="B383" i="44"/>
  <c r="F584" i="44" s="1"/>
  <c r="F372" i="44"/>
  <c r="E363" i="44"/>
  <c r="C356" i="44"/>
  <c r="D296" i="44"/>
  <c r="C284" i="44"/>
  <c r="B284" i="44"/>
  <c r="F283" i="44"/>
  <c r="F282" i="44"/>
  <c r="F281" i="44"/>
  <c r="C281" i="44"/>
  <c r="C357" i="44" s="1"/>
  <c r="B281" i="44"/>
  <c r="E584" i="44" s="1"/>
  <c r="B278" i="44"/>
  <c r="F270" i="44"/>
  <c r="E261" i="44"/>
  <c r="C255" i="44"/>
  <c r="C184" i="44"/>
  <c r="B184" i="44"/>
  <c r="F183" i="44"/>
  <c r="F182" i="44"/>
  <c r="F181" i="44"/>
  <c r="C181" i="44"/>
  <c r="B181" i="44"/>
  <c r="B270" i="44" s="1"/>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2" i="44"/>
  <c r="E111" i="44"/>
  <c r="E110" i="44"/>
  <c r="D110" i="44"/>
  <c r="D112" i="44" s="1"/>
  <c r="E109" i="44"/>
  <c r="D109" i="44"/>
  <c r="E108" i="44"/>
  <c r="D108" i="44"/>
  <c r="E107" i="44"/>
  <c r="D107" i="44"/>
  <c r="G106" i="44"/>
  <c r="G108" i="44" s="1"/>
  <c r="E106" i="44"/>
  <c r="G105" i="44"/>
  <c r="G104" i="44"/>
  <c r="C90" i="44"/>
  <c r="C84" i="44"/>
  <c r="E75" i="44"/>
  <c r="D75" i="44"/>
  <c r="E74" i="44"/>
  <c r="D74" i="44"/>
  <c r="E73" i="44"/>
  <c r="D73" i="44"/>
  <c r="D18" i="44"/>
  <c r="D17" i="44"/>
  <c r="G15" i="44"/>
  <c r="D14" i="44"/>
  <c r="D13" i="44"/>
  <c r="G12" i="44"/>
  <c r="D12" i="44"/>
  <c r="D11" i="44"/>
  <c r="H614" i="44" s="1"/>
  <c r="AC127" i="43"/>
  <c r="F494" i="44" s="1"/>
  <c r="AB127" i="43"/>
  <c r="F493" i="44" s="1"/>
  <c r="AA127" i="43"/>
  <c r="F495" i="44" s="1"/>
  <c r="AC126" i="43"/>
  <c r="E494" i="44" s="1"/>
  <c r="AB126" i="43"/>
  <c r="E493" i="44" s="1"/>
  <c r="AA126" i="43"/>
  <c r="AC125" i="43"/>
  <c r="D494" i="44" s="1"/>
  <c r="AB125" i="43"/>
  <c r="D493" i="44" s="1"/>
  <c r="AA125" i="43"/>
  <c r="D495" i="44" s="1"/>
  <c r="AC124" i="43"/>
  <c r="AB124" i="43"/>
  <c r="AA124" i="43"/>
  <c r="V75" i="43"/>
  <c r="U75" i="43"/>
  <c r="T75" i="43"/>
  <c r="S75" i="43"/>
  <c r="R75" i="43"/>
  <c r="Q75" i="43"/>
  <c r="P75" i="43"/>
  <c r="O75" i="43"/>
  <c r="N75" i="43"/>
  <c r="N74" i="43" a="1"/>
  <c r="N74" i="43" s="1"/>
  <c r="Z6" i="43" a="1"/>
  <c r="AA123" i="43" s="1" a="1"/>
  <c r="AA123" i="43" s="1"/>
  <c r="W6" i="43" a="1"/>
  <c r="W6" i="43" s="1"/>
  <c r="N6" i="43" a="1"/>
  <c r="N6" i="43" s="1"/>
  <c r="N3" i="43" s="1" a="1"/>
  <c r="N3" i="43" s="1"/>
  <c r="A6" i="43" a="1"/>
  <c r="A6" i="43" s="1"/>
  <c r="A1" i="43"/>
  <c r="AC120" i="40"/>
  <c r="F392" i="44" s="1"/>
  <c r="AB120" i="40"/>
  <c r="F391" i="44" s="1"/>
  <c r="AA120" i="40"/>
  <c r="F393" i="44" s="1"/>
  <c r="AC119" i="40"/>
  <c r="E392" i="44" s="1"/>
  <c r="AB119" i="40"/>
  <c r="E391" i="44" s="1"/>
  <c r="AA119" i="40"/>
  <c r="AC118" i="40"/>
  <c r="D392" i="44" s="1"/>
  <c r="AB118" i="40"/>
  <c r="D391" i="44" s="1"/>
  <c r="AA118" i="40"/>
  <c r="D393" i="44" s="1"/>
  <c r="AC117" i="40"/>
  <c r="AB117" i="40"/>
  <c r="AA117" i="40"/>
  <c r="V71" i="40"/>
  <c r="U71" i="40"/>
  <c r="T71" i="40"/>
  <c r="S71" i="40"/>
  <c r="R71" i="40"/>
  <c r="Q71" i="40"/>
  <c r="P71" i="40"/>
  <c r="O71" i="40"/>
  <c r="N71" i="40"/>
  <c r="N70" i="40" a="1"/>
  <c r="N70" i="40" s="1"/>
  <c r="Z6" i="40" a="1"/>
  <c r="AA116" i="40" s="1" a="1"/>
  <c r="AA116" i="40" s="1"/>
  <c r="W6" i="40" a="1"/>
  <c r="W6" i="40" s="1"/>
  <c r="N6" i="40" a="1"/>
  <c r="N6" i="40" s="1"/>
  <c r="N3" i="40" s="1" a="1"/>
  <c r="N3" i="40" s="1"/>
  <c r="A6" i="40" a="1"/>
  <c r="A6" i="40" s="1"/>
  <c r="A1" i="40"/>
  <c r="AC195" i="42"/>
  <c r="F290" i="44" s="1"/>
  <c r="AB195" i="42"/>
  <c r="F289" i="44" s="1"/>
  <c r="AA195" i="42"/>
  <c r="F291" i="44" s="1"/>
  <c r="AC194" i="42"/>
  <c r="E290" i="44" s="1"/>
  <c r="AB194" i="42"/>
  <c r="E289" i="44" s="1"/>
  <c r="AA194" i="42"/>
  <c r="E291" i="44" s="1"/>
  <c r="AC193" i="42"/>
  <c r="AB193" i="42"/>
  <c r="D289" i="44" s="1"/>
  <c r="AA193" i="42"/>
  <c r="D291" i="44" s="1"/>
  <c r="AC192" i="42"/>
  <c r="AB192" i="42"/>
  <c r="AA192" i="42"/>
  <c r="V109" i="42"/>
  <c r="U109" i="42"/>
  <c r="T109" i="42"/>
  <c r="S109" i="42"/>
  <c r="R109" i="42"/>
  <c r="Q109" i="42"/>
  <c r="P109" i="42"/>
  <c r="O109" i="42"/>
  <c r="N109" i="42"/>
  <c r="N108" i="42" a="1"/>
  <c r="N108" i="42" s="1"/>
  <c r="Z6" i="42" a="1"/>
  <c r="Z6" i="42" s="1"/>
  <c r="W6" i="42" a="1"/>
  <c r="W6" i="42" s="1"/>
  <c r="N6" i="42" a="1"/>
  <c r="N6" i="42" s="1"/>
  <c r="N3" i="42" s="1" a="1"/>
  <c r="N3" i="42" s="1"/>
  <c r="A6" i="42" a="1"/>
  <c r="A6" i="42" s="1"/>
  <c r="A1" i="42"/>
  <c r="AC358" i="41"/>
  <c r="F190" i="44" s="1"/>
  <c r="AB358" i="41"/>
  <c r="F189" i="44" s="1"/>
  <c r="AA358" i="41"/>
  <c r="F191" i="44" s="1"/>
  <c r="AC357" i="41"/>
  <c r="E190" i="44" s="1"/>
  <c r="AB357" i="41"/>
  <c r="E189" i="44" s="1"/>
  <c r="AA357" i="41"/>
  <c r="E191" i="44" s="1"/>
  <c r="AC356" i="41"/>
  <c r="AB356" i="41"/>
  <c r="D189" i="44" s="1"/>
  <c r="AA356" i="41"/>
  <c r="D191" i="44" s="1"/>
  <c r="AC355" i="41"/>
  <c r="AB355" i="41"/>
  <c r="AA355" i="41"/>
  <c r="V191" i="41"/>
  <c r="U191" i="41"/>
  <c r="T191" i="41"/>
  <c r="S191" i="41"/>
  <c r="R191" i="41"/>
  <c r="Q191" i="41"/>
  <c r="P191" i="41"/>
  <c r="O191" i="41"/>
  <c r="N191" i="41"/>
  <c r="N190" i="41" a="1"/>
  <c r="N190" i="41" s="1"/>
  <c r="Z6" i="41" a="1"/>
  <c r="AA354" i="41" s="1" a="1"/>
  <c r="AA354" i="41" s="1"/>
  <c r="W6" i="41" a="1"/>
  <c r="W6" i="41" s="1"/>
  <c r="N6" i="41" a="1"/>
  <c r="N6" i="41" s="1"/>
  <c r="N3" i="41" s="1" a="1"/>
  <c r="N3" i="41" s="1"/>
  <c r="A6" i="41" a="1"/>
  <c r="A6" i="41" s="1"/>
  <c r="A1" i="41"/>
  <c r="G39" i="45"/>
  <c r="F39" i="45"/>
  <c r="E39" i="45"/>
  <c r="D39" i="45"/>
  <c r="G38" i="45"/>
  <c r="G27" i="45"/>
  <c r="F27" i="45"/>
  <c r="E27" i="45"/>
  <c r="D27" i="45"/>
  <c r="A120" i="18"/>
  <c r="A103" i="18"/>
  <c r="D34" i="19"/>
  <c r="D31" i="19"/>
  <c r="O3" i="43" l="1" a="1"/>
  <c r="O3" i="43" s="1"/>
  <c r="P3" i="43" a="1"/>
  <c r="P3" i="43" s="1"/>
  <c r="Q3" i="43" a="1"/>
  <c r="Q3" i="43" s="1"/>
  <c r="R3" i="43" a="1"/>
  <c r="R3" i="43" s="1"/>
  <c r="S3" i="43" a="1"/>
  <c r="S3" i="43" s="1"/>
  <c r="T3" i="43" a="1"/>
  <c r="T3" i="43" s="1"/>
  <c r="U3" i="43" a="1"/>
  <c r="U3" i="43" s="1"/>
  <c r="V3" i="43" a="1"/>
  <c r="V3" i="43" s="1"/>
  <c r="P3" i="40" a="1"/>
  <c r="P3" i="40" s="1"/>
  <c r="Q3" i="40" a="1"/>
  <c r="Q3" i="40" s="1"/>
  <c r="S3" i="40" a="1"/>
  <c r="S3" i="40" s="1"/>
  <c r="T3" i="40" a="1"/>
  <c r="T3" i="40" s="1"/>
  <c r="R3" i="40" a="1"/>
  <c r="R3" i="40" s="1"/>
  <c r="U3" i="40" a="1"/>
  <c r="U3" i="40" s="1"/>
  <c r="V3" i="40" a="1"/>
  <c r="V3" i="40" s="1"/>
  <c r="O3" i="40" a="1"/>
  <c r="O3" i="40" s="1"/>
  <c r="Q3" i="42" a="1"/>
  <c r="Q3" i="42" s="1"/>
  <c r="R3" i="42" a="1"/>
  <c r="R3" i="42" s="1"/>
  <c r="S3" i="42" a="1"/>
  <c r="S3" i="42" s="1"/>
  <c r="T3" i="42" a="1"/>
  <c r="T3" i="42" s="1"/>
  <c r="U3" i="42" a="1"/>
  <c r="U3" i="42" s="1"/>
  <c r="V3" i="42" a="1"/>
  <c r="V3" i="42" s="1"/>
  <c r="O3" i="42" a="1"/>
  <c r="O3" i="42" s="1"/>
  <c r="P3" i="42" a="1"/>
  <c r="P3" i="42" s="1"/>
  <c r="S3" i="41" a="1"/>
  <c r="S3" i="41" s="1"/>
  <c r="T3" i="41" a="1"/>
  <c r="T3" i="41" s="1"/>
  <c r="U3" i="41" a="1"/>
  <c r="U3" i="41" s="1"/>
  <c r="V3" i="41" a="1"/>
  <c r="V3" i="41" s="1"/>
  <c r="O3" i="41" a="1"/>
  <c r="O3" i="41" s="1"/>
  <c r="P3" i="41" a="1"/>
  <c r="P3" i="41" s="1"/>
  <c r="Q3" i="41" a="1"/>
  <c r="Q3" i="41" s="1"/>
  <c r="R3" i="41" a="1"/>
  <c r="R3" i="41" s="1"/>
  <c r="E8" i="44"/>
  <c r="H612" i="44"/>
  <c r="D399" i="44"/>
  <c r="B178" i="44"/>
  <c r="D196" i="44"/>
  <c r="D297" i="44"/>
  <c r="C458" i="44"/>
  <c r="C254" i="44"/>
  <c r="B474" i="44"/>
  <c r="B372" i="44"/>
  <c r="D584" i="44"/>
  <c r="D197" i="44"/>
  <c r="B380" i="44"/>
  <c r="D398" i="44"/>
  <c r="R2" i="40"/>
  <c r="Q2" i="43"/>
  <c r="R2" i="43"/>
  <c r="S2" i="43"/>
  <c r="T2" i="43"/>
  <c r="U2" i="43"/>
  <c r="N2" i="43"/>
  <c r="N70" i="43" s="1"/>
  <c r="F516" i="44" s="1"/>
  <c r="V2" i="43"/>
  <c r="O2" i="43"/>
  <c r="P2" i="43"/>
  <c r="S2" i="40"/>
  <c r="T2" i="40"/>
  <c r="U2" i="40"/>
  <c r="N2" i="40"/>
  <c r="N64" i="40" s="1"/>
  <c r="D414" i="44" s="1"/>
  <c r="V2" i="40"/>
  <c r="O2" i="40"/>
  <c r="P2" i="40"/>
  <c r="Q2" i="40"/>
  <c r="T2" i="42"/>
  <c r="U2" i="42"/>
  <c r="N2" i="42"/>
  <c r="N103" i="42" s="1"/>
  <c r="E312" i="44" s="1"/>
  <c r="V2" i="42"/>
  <c r="O2" i="42"/>
  <c r="P2" i="42"/>
  <c r="Q2" i="42"/>
  <c r="R2" i="42"/>
  <c r="S2" i="42"/>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W75" i="43"/>
  <c r="W71" i="40"/>
  <c r="W109" i="42"/>
  <c r="W191" i="41"/>
  <c r="I202" i="38"/>
  <c r="E5" i="31"/>
  <c r="G34" i="19"/>
  <c r="G28" i="19"/>
  <c r="Z6" i="43"/>
  <c r="Z6" i="40"/>
  <c r="AA191" i="42" a="1"/>
  <c r="AA191" i="42" s="1"/>
  <c r="Z6" i="41"/>
  <c r="L6" i="37"/>
  <c r="D6" i="37"/>
  <c r="F5" i="37"/>
  <c r="K6" i="37"/>
  <c r="E5" i="37"/>
  <c r="C14" i="37"/>
  <c r="H236" i="38" s="1" a="1"/>
  <c r="H236" i="38" s="1"/>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H239" i="32" a="1"/>
  <c r="H239"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G235" i="32" a="1"/>
  <c r="G235" i="32" s="1"/>
  <c r="F19" i="10"/>
  <c r="I19" i="11"/>
  <c r="H19" i="10"/>
  <c r="G504" i="28"/>
  <c r="K19" i="11"/>
  <c r="G226" i="28"/>
  <c r="D190" i="44"/>
  <c r="E393" i="44"/>
  <c r="F236" i="32" a="1"/>
  <c r="F236" i="32" s="1"/>
  <c r="H234" i="32" a="1"/>
  <c r="H234" i="32" s="1"/>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T68" i="43" l="1"/>
  <c r="D522" i="44" s="1"/>
  <c r="R66" i="40"/>
  <c r="F418" i="44" s="1"/>
  <c r="P64" i="40"/>
  <c r="D416" i="44" s="1"/>
  <c r="U103" i="42"/>
  <c r="E319" i="44" s="1"/>
  <c r="T101" i="42"/>
  <c r="H318" i="44" s="1"/>
  <c r="R104" i="42"/>
  <c r="F316" i="44" s="1"/>
  <c r="R102" i="42"/>
  <c r="D316" i="44" s="1"/>
  <c r="S67" i="43"/>
  <c r="H521" i="44" s="1"/>
  <c r="T64" i="40"/>
  <c r="D420" i="44" s="1"/>
  <c r="V104" i="42"/>
  <c r="F320" i="44" s="1"/>
  <c r="R101" i="42"/>
  <c r="H316" i="44" s="1"/>
  <c r="R68" i="43"/>
  <c r="D520" i="44" s="1"/>
  <c r="T70" i="43"/>
  <c r="F522" i="44" s="1"/>
  <c r="O66" i="40"/>
  <c r="F415" i="44" s="1"/>
  <c r="U102" i="42"/>
  <c r="D319" i="44" s="1"/>
  <c r="N102" i="42"/>
  <c r="N101" i="42"/>
  <c r="H312" i="44" s="1"/>
  <c r="N69" i="43"/>
  <c r="E516" i="44" s="1"/>
  <c r="N68" i="43"/>
  <c r="D516" i="44" s="1"/>
  <c r="N67" i="43"/>
  <c r="H516" i="44" s="1"/>
  <c r="T102" i="42"/>
  <c r="D318" i="44" s="1"/>
  <c r="T103" i="42"/>
  <c r="E318" i="44" s="1"/>
  <c r="N104" i="42"/>
  <c r="F312" i="44" s="1"/>
  <c r="T104" i="42"/>
  <c r="F318" i="44" s="1"/>
  <c r="N65" i="40"/>
  <c r="E414" i="44" s="1"/>
  <c r="G414" i="44" s="1"/>
  <c r="S102" i="42"/>
  <c r="D317" i="44" s="1"/>
  <c r="O104" i="42"/>
  <c r="F313" i="44" s="1"/>
  <c r="U101" i="42"/>
  <c r="H319" i="44" s="1"/>
  <c r="P103" i="42"/>
  <c r="E314" i="44" s="1"/>
  <c r="U70" i="43"/>
  <c r="F523" i="44" s="1"/>
  <c r="Q68" i="43"/>
  <c r="D519" i="44" s="1"/>
  <c r="Q65" i="40"/>
  <c r="E417" i="44" s="1"/>
  <c r="S63" i="40"/>
  <c r="H419" i="44" s="1"/>
  <c r="V101" i="42"/>
  <c r="H320" i="44" s="1"/>
  <c r="P65" i="40"/>
  <c r="E416" i="44" s="1"/>
  <c r="R103" i="42"/>
  <c r="E316" i="44" s="1"/>
  <c r="U65" i="40"/>
  <c r="E421" i="44" s="1"/>
  <c r="T63" i="40"/>
  <c r="H420" i="44" s="1"/>
  <c r="V68" i="43"/>
  <c r="D524" i="44" s="1"/>
  <c r="O65" i="40"/>
  <c r="E415" i="44" s="1"/>
  <c r="U67" i="43"/>
  <c r="H523" i="44" s="1"/>
  <c r="T67" i="43"/>
  <c r="H522" i="44" s="1"/>
  <c r="O67" i="43"/>
  <c r="H517" i="44" s="1"/>
  <c r="V67" i="43"/>
  <c r="H524" i="44" s="1"/>
  <c r="S70" i="43"/>
  <c r="F521" i="44" s="1"/>
  <c r="T69" i="43"/>
  <c r="E522" i="44" s="1"/>
  <c r="V70" i="43"/>
  <c r="F524" i="44" s="1"/>
  <c r="P70" i="43"/>
  <c r="F518" i="44" s="1"/>
  <c r="R67" i="43"/>
  <c r="H520" i="44" s="1"/>
  <c r="U63" i="40"/>
  <c r="H421" i="44" s="1"/>
  <c r="R64" i="40"/>
  <c r="D418" i="44" s="1"/>
  <c r="P63" i="40"/>
  <c r="H416" i="44" s="1"/>
  <c r="Q66" i="40"/>
  <c r="F417" i="44" s="1"/>
  <c r="T65" i="40"/>
  <c r="E420" i="44" s="1"/>
  <c r="P66" i="40"/>
  <c r="F416" i="44" s="1"/>
  <c r="S101" i="42"/>
  <c r="H317" i="44" s="1"/>
  <c r="V102" i="42"/>
  <c r="U104" i="42"/>
  <c r="F319" i="44" s="1"/>
  <c r="V103" i="42"/>
  <c r="E320" i="44" s="1"/>
  <c r="P101" i="42"/>
  <c r="H314" i="44" s="1"/>
  <c r="Q102" i="42"/>
  <c r="D315" i="44" s="1"/>
  <c r="S69" i="43"/>
  <c r="E521" i="44" s="1"/>
  <c r="Q67" i="43"/>
  <c r="H519" i="44" s="1"/>
  <c r="U69" i="43"/>
  <c r="E523" i="44" s="1"/>
  <c r="Q70" i="43"/>
  <c r="F519" i="44" s="1"/>
  <c r="S68" i="43"/>
  <c r="D521" i="44" s="1"/>
  <c r="Q63" i="40"/>
  <c r="H417" i="44" s="1"/>
  <c r="S65" i="40"/>
  <c r="E419" i="44" s="1"/>
  <c r="R65" i="40"/>
  <c r="E418" i="44" s="1"/>
  <c r="U66" i="40"/>
  <c r="F421" i="44" s="1"/>
  <c r="N63" i="40"/>
  <c r="H414" i="44" s="1"/>
  <c r="N66" i="40"/>
  <c r="F414" i="44" s="1"/>
  <c r="S64" i="40"/>
  <c r="D419" i="44" s="1"/>
  <c r="O64" i="40"/>
  <c r="D415" i="44" s="1"/>
  <c r="Q64" i="40"/>
  <c r="D417" i="44" s="1"/>
  <c r="T66" i="40"/>
  <c r="F420" i="44" s="1"/>
  <c r="R63" i="40"/>
  <c r="H418" i="44" s="1"/>
  <c r="S66" i="40"/>
  <c r="F419" i="44" s="1"/>
  <c r="V64" i="40"/>
  <c r="D422" i="44" s="1"/>
  <c r="P102" i="42"/>
  <c r="D314" i="44" s="1"/>
  <c r="Q104" i="42"/>
  <c r="F315" i="44" s="1"/>
  <c r="Q103" i="42"/>
  <c r="E315" i="44" s="1"/>
  <c r="Q101" i="42"/>
  <c r="H315" i="44" s="1"/>
  <c r="P104" i="42"/>
  <c r="F314" i="44" s="1"/>
  <c r="S103" i="42"/>
  <c r="E317" i="44" s="1"/>
  <c r="N7" i="43" a="1"/>
  <c r="N7" i="43" s="1"/>
  <c r="V69" i="43"/>
  <c r="E524" i="44" s="1"/>
  <c r="U68" i="43"/>
  <c r="D523" i="44" s="1"/>
  <c r="R69" i="43"/>
  <c r="E520" i="44" s="1"/>
  <c r="O69" i="43"/>
  <c r="E517" i="44" s="1"/>
  <c r="R70" i="43"/>
  <c r="F520" i="44" s="1"/>
  <c r="P69" i="43"/>
  <c r="E518" i="44" s="1"/>
  <c r="P68" i="43"/>
  <c r="D518" i="44" s="1"/>
  <c r="O68" i="43"/>
  <c r="D517" i="44" s="1"/>
  <c r="O70" i="43"/>
  <c r="F517" i="44" s="1"/>
  <c r="P67" i="43"/>
  <c r="H518" i="44" s="1"/>
  <c r="Q69" i="43"/>
  <c r="E519" i="44" s="1"/>
  <c r="O63" i="40"/>
  <c r="H415" i="44" s="1"/>
  <c r="N7" i="40" a="1"/>
  <c r="N7" i="40" s="1"/>
  <c r="V65" i="40"/>
  <c r="E422" i="44" s="1"/>
  <c r="U64" i="40"/>
  <c r="D421" i="44" s="1"/>
  <c r="V66" i="40"/>
  <c r="F422" i="44" s="1"/>
  <c r="V63" i="40"/>
  <c r="H422" i="44" s="1"/>
  <c r="O101" i="42"/>
  <c r="H313" i="44" s="1"/>
  <c r="N7" i="42" a="1"/>
  <c r="N7" i="42" s="1"/>
  <c r="O102" i="42"/>
  <c r="D313" i="44" s="1"/>
  <c r="S104" i="42"/>
  <c r="F317" i="44" s="1"/>
  <c r="O103" i="42"/>
  <c r="E313" i="44" s="1"/>
  <c r="G22" i="8"/>
  <c r="H16" i="37"/>
  <c r="G22" i="37"/>
  <c r="K17" i="37"/>
  <c r="H22" i="37"/>
  <c r="E22" i="37"/>
  <c r="D15" i="37" a="1"/>
  <c r="D15" i="37" s="1"/>
  <c r="J17" i="37"/>
  <c r="J16" i="37"/>
  <c r="I17" i="37"/>
  <c r="D16" i="37"/>
  <c r="K18" i="37"/>
  <c r="H242" i="38" s="1" a="1"/>
  <c r="H242" i="38" s="1"/>
  <c r="K15" i="37" a="1"/>
  <c r="K15" i="37" s="1"/>
  <c r="I16" i="37"/>
  <c r="G240" i="38" s="1" a="1"/>
  <c r="G240" i="38" s="1"/>
  <c r="E18" i="37"/>
  <c r="G15" i="37" a="1"/>
  <c r="G15" i="37" s="1"/>
  <c r="D15" i="6"/>
  <c r="H22" i="8"/>
  <c r="E17" i="31"/>
  <c r="G18" i="54"/>
  <c r="F240" i="38" a="1"/>
  <c r="F240" i="38" s="1"/>
  <c r="J15" i="37" a="1"/>
  <c r="J15" i="37" s="1"/>
  <c r="F18" i="37"/>
  <c r="H237" i="38" s="1" a="1"/>
  <c r="H237" i="38" s="1"/>
  <c r="J22" i="37"/>
  <c r="D17" i="37"/>
  <c r="G234" i="38" a="1"/>
  <c r="G234" i="38" s="1"/>
  <c r="K16" i="37"/>
  <c r="G242" i="38" s="1" a="1"/>
  <c r="G242" i="38" s="1"/>
  <c r="K22" i="37"/>
  <c r="J18" i="37"/>
  <c r="D18" i="37"/>
  <c r="G16" i="37"/>
  <c r="G238" i="38" s="1" a="1"/>
  <c r="G238" i="38" s="1"/>
  <c r="L18" i="37"/>
  <c r="D28" i="39" s="1" a="1"/>
  <c r="D28" i="39" s="1"/>
  <c r="E28" i="39" s="1"/>
  <c r="H28" i="39" s="1"/>
  <c r="I28" i="39" s="1"/>
  <c r="E15" i="37" a="1"/>
  <c r="E15" i="37" s="1"/>
  <c r="I22" i="37"/>
  <c r="I18" i="37"/>
  <c r="H15" i="37" a="1"/>
  <c r="H15" i="37" s="1"/>
  <c r="H18" i="37"/>
  <c r="H17" i="37"/>
  <c r="F239" i="38" s="1" a="1"/>
  <c r="F239" i="38" s="1"/>
  <c r="L17" i="37"/>
  <c r="D22" i="37"/>
  <c r="H234" i="38" a="1"/>
  <c r="H234" i="38" s="1"/>
  <c r="F235" i="38" a="1"/>
  <c r="F235" i="38" s="1"/>
  <c r="L16" i="37"/>
  <c r="G17" i="37"/>
  <c r="F238" i="38" s="1" a="1"/>
  <c r="F238" i="38" s="1"/>
  <c r="H240" i="38" a="1"/>
  <c r="H240" i="38" s="1"/>
  <c r="L15" i="37" a="1"/>
  <c r="L15" i="37" s="1"/>
  <c r="L22" i="37"/>
  <c r="G237" i="38" a="1"/>
  <c r="G237" i="38" s="1"/>
  <c r="G241" i="38" a="1"/>
  <c r="G241" i="38" s="1"/>
  <c r="E17" i="37"/>
  <c r="F236" i="38" s="1" a="1"/>
  <c r="F236" i="38" s="1"/>
  <c r="G18" i="37"/>
  <c r="H238" i="38" s="1" a="1"/>
  <c r="H238" i="38" s="1"/>
  <c r="G239" i="38" a="1"/>
  <c r="G239" i="38" s="1"/>
  <c r="F15" i="37" a="1"/>
  <c r="F15" i="37" s="1"/>
  <c r="G235" i="38" a="1"/>
  <c r="G235" i="38" s="1"/>
  <c r="F242" i="38" a="1"/>
  <c r="F242" i="38" s="1"/>
  <c r="H241" i="38" a="1"/>
  <c r="H241" i="38" s="1"/>
  <c r="F22" i="37"/>
  <c r="F16" i="37"/>
  <c r="H235" i="38" a="1"/>
  <c r="H235" i="38" s="1"/>
  <c r="F17" i="37"/>
  <c r="F237" i="38" s="1" a="1"/>
  <c r="F237" i="38" s="1"/>
  <c r="H239" i="38" a="1"/>
  <c r="H239" i="38" s="1"/>
  <c r="I15" i="37" a="1"/>
  <c r="I15" i="37" s="1"/>
  <c r="F243" i="38" a="1"/>
  <c r="F243" i="38" s="1"/>
  <c r="C6" i="37"/>
  <c r="C5" i="37"/>
  <c r="E16" i="37"/>
  <c r="G236" i="38" s="1" a="1"/>
  <c r="G236" i="38" s="1"/>
  <c r="F241" i="38" a="1"/>
  <c r="F241" i="38" s="1"/>
  <c r="G243" i="38" a="1"/>
  <c r="G243" i="38" s="1"/>
  <c r="H243" i="38" a="1"/>
  <c r="H243"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E213" i="24" s="1" a="1"/>
  <c r="E213" i="24" s="1"/>
  <c r="F213" i="24" s="1"/>
  <c r="O15" i="6"/>
  <c r="F17" i="6"/>
  <c r="E235" i="24" s="1"/>
  <c r="M17" i="6"/>
  <c r="L235" i="24" s="1"/>
  <c r="O18" i="6"/>
  <c r="N236" i="24" s="1"/>
  <c r="H15" i="6"/>
  <c r="K22" i="6"/>
  <c r="H18" i="6"/>
  <c r="G236" i="24" s="1"/>
  <c r="M16" i="6"/>
  <c r="L234" i="24" s="1"/>
  <c r="C16" i="6"/>
  <c r="C211" i="24" s="1"/>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21" i="31" s="1"/>
  <c r="C214" i="32" s="1"/>
  <c r="C15" i="31"/>
  <c r="H22" i="31"/>
  <c r="F22" i="31"/>
  <c r="I16" i="31"/>
  <c r="G240" i="32" s="1" a="1"/>
  <c r="G240" i="32" s="1"/>
  <c r="H17" i="31"/>
  <c r="F239" i="32" s="1" a="1"/>
  <c r="F239" i="32" s="1"/>
  <c r="H16" i="31"/>
  <c r="G239" i="32" s="1" a="1"/>
  <c r="G239" i="32" s="1"/>
  <c r="H18" i="3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G522" i="44" l="1"/>
  <c r="G319" i="44"/>
  <c r="G316" i="44"/>
  <c r="N106" i="42"/>
  <c r="E362" i="44" s="1"/>
  <c r="E592" i="44" s="1"/>
  <c r="W103" i="42"/>
  <c r="N112" i="42" s="1"/>
  <c r="E360" i="44" s="1"/>
  <c r="E590" i="44" s="1"/>
  <c r="G420" i="44"/>
  <c r="G524" i="44"/>
  <c r="G421" i="44"/>
  <c r="N105" i="42"/>
  <c r="G520" i="44"/>
  <c r="D312" i="44"/>
  <c r="G312" i="44" s="1"/>
  <c r="G516" i="44"/>
  <c r="W102" i="42"/>
  <c r="D299" i="44" s="1"/>
  <c r="E299" i="44" s="1"/>
  <c r="U105" i="42"/>
  <c r="N71" i="43"/>
  <c r="T105" i="42"/>
  <c r="N72" i="43"/>
  <c r="E565" i="44" s="1"/>
  <c r="G592" i="44" s="1"/>
  <c r="W69" i="43"/>
  <c r="N78" i="43" s="1"/>
  <c r="E563" i="44" s="1"/>
  <c r="G590" i="44" s="1"/>
  <c r="N73" i="43"/>
  <c r="W73" i="43" s="1"/>
  <c r="D505" i="44" s="1"/>
  <c r="W68" i="43"/>
  <c r="F572" i="44" s="1"/>
  <c r="W64" i="40"/>
  <c r="D401" i="44" s="1"/>
  <c r="E401" i="44" s="1"/>
  <c r="N107" i="42"/>
  <c r="W107" i="42" s="1"/>
  <c r="D301" i="44" s="1"/>
  <c r="G318" i="44"/>
  <c r="W101" i="42"/>
  <c r="D298" i="44" s="1"/>
  <c r="E298" i="44" s="1"/>
  <c r="W67" i="43"/>
  <c r="D502" i="44" s="1"/>
  <c r="E502" i="44" s="1"/>
  <c r="N68" i="40"/>
  <c r="W68" i="40" s="1"/>
  <c r="G317" i="44"/>
  <c r="N67" i="40"/>
  <c r="W65" i="40"/>
  <c r="D402" i="44" s="1"/>
  <c r="E402" i="44" s="1"/>
  <c r="G416" i="44"/>
  <c r="P67" i="40"/>
  <c r="G417" i="44"/>
  <c r="T71" i="43"/>
  <c r="G415" i="44"/>
  <c r="T67" i="40"/>
  <c r="W63" i="40"/>
  <c r="D400" i="44" s="1"/>
  <c r="E400" i="44" s="1"/>
  <c r="R105" i="42"/>
  <c r="G519" i="44"/>
  <c r="G314" i="44"/>
  <c r="V105" i="42"/>
  <c r="G418" i="44"/>
  <c r="D320" i="44"/>
  <c r="G320" i="44" s="1"/>
  <c r="G315" i="44"/>
  <c r="G523" i="44"/>
  <c r="G419" i="44"/>
  <c r="S67" i="40"/>
  <c r="S71" i="43"/>
  <c r="G521" i="44"/>
  <c r="G422" i="44"/>
  <c r="O67" i="40"/>
  <c r="Q67" i="40"/>
  <c r="R67" i="40"/>
  <c r="N69" i="40"/>
  <c r="W69" i="40" s="1"/>
  <c r="D403" i="44" s="1"/>
  <c r="S105" i="42"/>
  <c r="P105" i="42"/>
  <c r="Q105" i="42"/>
  <c r="Q71" i="43"/>
  <c r="R71" i="43"/>
  <c r="O71" i="43"/>
  <c r="G518" i="44"/>
  <c r="U71" i="43"/>
  <c r="V71" i="43"/>
  <c r="U67" i="40"/>
  <c r="G517" i="44"/>
  <c r="P71" i="43"/>
  <c r="V67" i="40"/>
  <c r="G313" i="44"/>
  <c r="O105" i="42"/>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C22" i="37"/>
  <c r="C15" i="37" a="1"/>
  <c r="C15" i="37" s="1"/>
  <c r="C18" i="37"/>
  <c r="C21" i="37" s="1"/>
  <c r="C214" i="38" s="1"/>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D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E367" i="44" l="1"/>
  <c r="E370" i="44" s="1"/>
  <c r="D597" i="44" s="1"/>
  <c r="W106" i="42"/>
  <c r="D300" i="44"/>
  <c r="E300" i="44" s="1"/>
  <c r="E368" i="44"/>
  <c r="F369" i="44"/>
  <c r="N111" i="42"/>
  <c r="E361" i="44" s="1"/>
  <c r="F367" i="44" s="1"/>
  <c r="N77" i="43"/>
  <c r="E564" i="44" s="1"/>
  <c r="F570" i="44" s="1"/>
  <c r="F573" i="44" s="1"/>
  <c r="F599" i="44" s="1"/>
  <c r="E356" i="44"/>
  <c r="E357" i="44" s="1"/>
  <c r="E588" i="44" s="1"/>
  <c r="D504" i="44"/>
  <c r="E504" i="44" s="1"/>
  <c r="F471" i="44"/>
  <c r="E571" i="44"/>
  <c r="W72" i="43"/>
  <c r="N73" i="40"/>
  <c r="E463" i="44" s="1"/>
  <c r="F591" i="44" s="1"/>
  <c r="D503" i="44"/>
  <c r="E503" i="44" s="1"/>
  <c r="E570" i="44"/>
  <c r="E573" i="44" s="1"/>
  <c r="D599" i="44" s="1"/>
  <c r="E559" i="44"/>
  <c r="E560" i="44" s="1"/>
  <c r="G588" i="44" s="1"/>
  <c r="E470" i="44"/>
  <c r="N74" i="40"/>
  <c r="E462" i="44" s="1"/>
  <c r="F590" i="44" s="1"/>
  <c r="E464" i="44"/>
  <c r="F592" i="44" s="1"/>
  <c r="E458" i="44"/>
  <c r="F586"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F370" i="44" l="1"/>
  <c r="F597" i="44" s="1"/>
  <c r="E364" i="44"/>
  <c r="E593" i="44" s="1"/>
  <c r="E591" i="44"/>
  <c r="G591" i="44"/>
  <c r="E567" i="44"/>
  <c r="G593" i="44" s="1"/>
  <c r="E586" i="44"/>
  <c r="F469" i="44"/>
  <c r="F472" i="44" s="1"/>
  <c r="F598" i="44" s="1"/>
  <c r="G586" i="44"/>
  <c r="E466" i="44"/>
  <c r="F593" i="44" s="1"/>
  <c r="E469" i="44"/>
  <c r="E472" i="44" s="1"/>
  <c r="D598" i="44" s="1"/>
  <c r="E459" i="44"/>
  <c r="F588" i="44" s="1"/>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83" i="41"/>
  <c r="H213" i="44" s="1"/>
  <c r="O184" i="41"/>
  <c r="O185" i="41"/>
  <c r="E214" i="44" s="1"/>
  <c r="O186" i="41"/>
  <c r="F214" i="44" s="1"/>
  <c r="O183" i="41"/>
  <c r="H214" i="44" s="1"/>
  <c r="N185" i="41"/>
  <c r="V184" i="41"/>
  <c r="D221" i="44" s="1"/>
  <c r="U184" i="41"/>
  <c r="D220" i="44" s="1"/>
  <c r="T184" i="41"/>
  <c r="D219" i="44" s="1"/>
  <c r="Q184" i="41"/>
  <c r="D216" i="44" s="1"/>
  <c r="N184" i="41"/>
  <c r="P184" i="41"/>
  <c r="S184" i="41"/>
  <c r="N186" i="41"/>
  <c r="F213" i="44" s="1"/>
  <c r="R184" i="41"/>
  <c r="D217" i="44" s="1"/>
  <c r="S186" i="41"/>
  <c r="F218" i="44" s="1"/>
  <c r="S183" i="41"/>
  <c r="H218" i="44" s="1"/>
  <c r="S185" i="41"/>
  <c r="E218" i="44" s="1"/>
  <c r="T185" i="41"/>
  <c r="E219" i="44" s="1"/>
  <c r="T183" i="41"/>
  <c r="H219" i="44" s="1"/>
  <c r="T186" i="41"/>
  <c r="F219" i="44" s="1"/>
  <c r="Q183" i="41"/>
  <c r="H216" i="44" s="1"/>
  <c r="Q185" i="41"/>
  <c r="Q186" i="41"/>
  <c r="F216" i="44" s="1"/>
  <c r="P185" i="41"/>
  <c r="E215" i="44" s="1"/>
  <c r="P183" i="41"/>
  <c r="H215" i="44" s="1"/>
  <c r="P186" i="41"/>
  <c r="F215" i="44" s="1"/>
  <c r="V185" i="41"/>
  <c r="E221" i="44" s="1"/>
  <c r="V183" i="41"/>
  <c r="H221" i="44" s="1"/>
  <c r="V186" i="41"/>
  <c r="F221" i="44" s="1"/>
  <c r="R186" i="41"/>
  <c r="F217" i="44" s="1"/>
  <c r="R185" i="41"/>
  <c r="R183" i="41"/>
  <c r="H217" i="44" s="1"/>
  <c r="U186" i="41"/>
  <c r="F220" i="44" s="1"/>
  <c r="U185" i="41"/>
  <c r="E220" i="44" s="1"/>
  <c r="N7" i="41" a="1"/>
  <c r="N7" i="41" s="1"/>
  <c r="U183" i="41"/>
  <c r="H220" i="44" s="1"/>
  <c r="W185" i="41" l="1"/>
  <c r="D200" i="44" s="1"/>
  <c r="E200" i="44" s="1"/>
  <c r="E372" i="44"/>
  <c r="E575" i="44"/>
  <c r="E474" i="44"/>
  <c r="N187" i="41"/>
  <c r="G220" i="44"/>
  <c r="S187" i="41"/>
  <c r="D213" i="44"/>
  <c r="N188" i="41"/>
  <c r="E260" i="44" s="1"/>
  <c r="D592" i="44" s="1"/>
  <c r="O187" i="41"/>
  <c r="W184" i="41"/>
  <c r="F267" i="44" s="1"/>
  <c r="P187" i="41"/>
  <c r="D214" i="44"/>
  <c r="G214" i="44" s="1"/>
  <c r="R187" i="41"/>
  <c r="Q187" i="41"/>
  <c r="V187" i="41"/>
  <c r="D218" i="44"/>
  <c r="G218" i="44" s="1"/>
  <c r="E213" i="44"/>
  <c r="G219" i="44"/>
  <c r="G221" i="44"/>
  <c r="U187" i="41"/>
  <c r="E217" i="44"/>
  <c r="G217" i="44" s="1"/>
  <c r="T187" i="41"/>
  <c r="W183" i="41"/>
  <c r="E216" i="44"/>
  <c r="G216" i="44" s="1"/>
  <c r="N189" i="41"/>
  <c r="W189" i="41" s="1"/>
  <c r="D201" i="44" s="1"/>
  <c r="D215" i="44"/>
  <c r="G215" i="44" s="1"/>
  <c r="E266" i="44" l="1"/>
  <c r="N194" i="41"/>
  <c r="E258" i="44" s="1"/>
  <c r="E265" i="44" s="1"/>
  <c r="E268" i="44" s="1"/>
  <c r="G213" i="44"/>
  <c r="D199" i="44"/>
  <c r="E199" i="44" s="1"/>
  <c r="N193" i="41"/>
  <c r="E259" i="44" s="1"/>
  <c r="W188" i="41"/>
  <c r="E254" i="44"/>
  <c r="D198" i="44"/>
  <c r="E198" i="44" s="1"/>
  <c r="D590" i="44" l="1"/>
  <c r="D591" i="44"/>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<sst xmlns="http://schemas.openxmlformats.org/spreadsheetml/2006/main" count="3228" uniqueCount="952">
  <si>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</si>
  <si>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</si>
  <si>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</si>
  <si>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</si>
  <si>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</si>
  <si>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</si>
  <si>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</si>
  <si>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</si>
  <si>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</si>
  <si>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</si>
  <si>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</si>
  <si>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</si>
  <si>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</si>
  <si>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</si>
  <si>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</si>
  <si>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</si>
  <si>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</si>
  <si>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</si>
  <si>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</si>
  <si>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</si>
  <si>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</si>
  <si>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</si>
  <si>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</si>
  <si>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</si>
  <si>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</si>
  <si>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</si>
  <si>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</si>
  <si>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</si>
  <si>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</si>
  <si>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</si>
  <si>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</si>
  <si>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</si>
  <si>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</si>
  <si>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</si>
  <si>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</si>
  <si>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</si>
  <si>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</si>
  <si>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</si>
  <si>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</si>
  <si>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</si>
  <si>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</si>
  <si>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</si>
  <si>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</si>
  <si>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</si>
  <si>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</si>
  <si>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</si>
  <si>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</si>
  <si>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</si>
  <si>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</si>
  <si>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</si>
  <si>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</si>
  <si>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</si>
  <si>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</si>
  <si>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</si>
  <si>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</si>
  <si>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</si>
  <si>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</si>
  <si>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</si>
  <si>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</si>
  <si>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</si>
  <si>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</si>
  <si>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</si>
  <si>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</si>
  <si>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</si>
  <si>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</si>
  <si>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</si>
  <si>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</si>
  <si>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</si>
  <si>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</si>
  <si>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</si>
  <si>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</si>
  <si>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</si>
  <si>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</si>
  <si>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</si>
  <si>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</si>
  <si>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</si>
  <si>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</si>
  <si>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</si>
  <si>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</si>
  <si>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</si>
  <si>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</si>
  <si>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</si>
  <si>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</si>
  <si>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</si>
  <si>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</si>
  <si>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</si>
  <si>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</si>
  <si>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</si>
  <si>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</si>
  <si>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</si>
  <si>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</si>
  <si>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</si>
  <si>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</si>
  <si>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</si>
  <si>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</si>
  <si>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</si>
  <si>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</si>
  <si>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</si>
  <si>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</si>
  <si>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</si>
  <si>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</si>
  <si>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</si>
  <si>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</si>
  <si>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</si>
  <si>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</si>
  <si>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</si>
  <si>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</si>
  <si>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</si>
  <si>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</si>
  <si>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</si>
  <si>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</si>
  <si>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</si>
  <si>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</si>
  <si>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</si>
  <si>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</si>
  <si>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</si>
  <si>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</si>
  <si>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</si>
  <si>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</si>
  <si>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</si>
  <si>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</si>
  <si>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</si>
  <si>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</si>
  <si>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</si>
  <si>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</si>
  <si>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</si>
  <si>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</si>
  <si>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</si>
  <si>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</si>
  <si>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</si>
  <si>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</si>
  <si>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</si>
  <si>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</si>
  <si>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</si>
  <si>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</si>
  <si>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</si>
  <si>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</si>
  <si>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</si>
  <si>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</si>
  <si>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</si>
  <si>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</si>
  <si>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</si>
  <si>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</si>
  <si>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</si>
  <si>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</si>
  <si>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</si>
  <si>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</si>
  <si>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</si>
  <si>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</si>
  <si>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</si>
  <si>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</si>
  <si>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</si>
  <si>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</si>
  <si>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</si>
  <si>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</si>
  <si>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</si>
  <si>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</si>
  <si>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</si>
  <si>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</si>
  <si>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</si>
  <si>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</si>
  <si>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</si>
  <si>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</si>
  <si>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</si>
  <si>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</si>
  <si>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</si>
  <si>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</si>
  <si>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</si>
  <si>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</si>
  <si>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</si>
  <si>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</si>
  <si>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</si>
  <si>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</si>
  <si>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</si>
  <si>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</si>
  <si>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</si>
  <si>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</si>
  <si>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</si>
  <si>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</si>
  <si>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</si>
  <si>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</si>
  <si>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</si>
  <si>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</si>
  <si>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</si>
  <si>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</si>
  <si>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</si>
  <si>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</si>
  <si>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</si>
  <si>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</si>
  <si>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</si>
  <si>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</si>
  <si>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</si>
  <si>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</si>
  <si>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</si>
  <si>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</si>
  <si>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</si>
  <si>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</si>
  <si>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</si>
  <si>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</si>
  <si>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</si>
  <si>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</si>
  <si>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</si>
  <si>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</si>
  <si>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</si>
  <si>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</si>
  <si>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</si>
  <si>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</si>
  <si>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</si>
  <si>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</si>
  <si>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</si>
  <si>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</si>
  <si>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</si>
  <si>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</si>
  <si>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</si>
  <si>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</si>
  <si>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</si>
  <si>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</si>
  <si>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</si>
  <si>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</si>
  <si>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</si>
  <si>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</si>
  <si>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</si>
  <si>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</si>
  <si>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</si>
  <si>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</si>
  <si>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</si>
  <si>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</si>
  <si>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</si>
  <si>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</si>
  <si>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</si>
  <si>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</si>
  <si>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</si>
  <si>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</si>
  <si>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</si>
  <si>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</si>
  <si>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</si>
  <si>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</si>
  <si>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</si>
  <si>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</si>
  <si>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</si>
  <si>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</si>
  <si>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</si>
  <si>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</si>
  <si>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</si>
  <si>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</si>
  <si>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</si>
  <si>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</si>
  <si>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</si>
  <si>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</si>
  <si>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</si>
  <si>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</si>
  <si>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</si>
  <si>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</si>
  <si>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</si>
  <si>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</si>
  <si>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</si>
  <si>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</si>
  <si>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</si>
  <si>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</si>
  <si>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</si>
  <si>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</si>
  <si>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</si>
  <si>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</si>
  <si>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</si>
  <si>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</si>
  <si>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</si>
  <si>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</si>
  <si>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</si>
  <si>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</si>
  <si>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</si>
  <si>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</si>
  <si>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</si>
  <si>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</si>
  <si>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</si>
  <si>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</si>
  <si>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</si>
  <si>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</si>
  <si>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</si>
  <si>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</si>
  <si>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</si>
  <si>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</si>
  <si>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</si>
  <si>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</si>
  <si>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</si>
  <si>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</si>
  <si>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</si>
  <si>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</si>
  <si>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</si>
  <si>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</si>
  <si>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</si>
  <si>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</si>
  <si>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</si>
  <si>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</si>
  <si>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</si>
  <si>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</si>
  <si>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</si>
  <si>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</si>
  <si>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</si>
  <si>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</si>
  <si>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</si>
  <si>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</si>
  <si>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</si>
  <si>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</si>
  <si>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</si>
  <si>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</si>
  <si>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</si>
  <si>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</si>
  <si>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</si>
  <si>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</si>
  <si>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</si>
  <si>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</si>
  <si>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</si>
  <si>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</si>
  <si>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</si>
  <si>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</si>
  <si>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</si>
  <si>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</si>
  <si>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</si>
  <si>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</si>
  <si>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</si>
  <si>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</si>
  <si>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</si>
  <si>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</si>
  <si>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</si>
  <si>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</si>
  <si>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</si>
  <si>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</si>
  <si>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</si>
  <si>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</si>
  <si>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</si>
  <si>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</si>
  <si>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</si>
  <si>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</si>
  <si>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</si>
  <si>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</si>
  <si>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</si>
  <si>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</si>
  <si>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</si>
  <si>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</si>
  <si>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</si>
  <si>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</si>
  <si>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</si>
  <si>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</si>
  <si>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</si>
  <si>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</si>
  <si>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</si>
  <si>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</si>
  <si>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</si>
  <si>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</si>
  <si>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</si>
  <si>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</si>
  <si>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</si>
  <si>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</si>
  <si>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</si>
  <si>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</si>
  <si>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</si>
  <si>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</si>
  <si>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</si>
  <si>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</si>
  <si>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</si>
  <si>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</si>
  <si>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</si>
  <si>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</si>
  <si>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</si>
  <si>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</si>
  <si>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</si>
  <si>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</si>
  <si>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</si>
  <si>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</si>
  <si>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</si>
  <si>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</si>
  <si>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</si>
  <si>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</si>
  <si>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</si>
  <si>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</si>
  <si>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</si>
  <si>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</si>
  <si>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</si>
  <si>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</si>
  <si>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</si>
  <si>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</si>
  <si>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</si>
  <si>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</si>
  <si>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</si>
  <si>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</si>
  <si>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</si>
  <si>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</si>
  <si>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</si>
  <si>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</si>
  <si>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</si>
  <si>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</si>
  <si>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</si>
  <si>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</si>
  <si>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</si>
  <si>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</si>
  <si>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</si>
  <si>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</si>
  <si>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</si>
  <si>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</si>
  <si>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</si>
  <si>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</si>
  <si>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</si>
  <si>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</si>
  <si>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</si>
  <si>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</si>
  <si>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</si>
  <si>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</si>
  <si>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</si>
  <si>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</si>
  <si>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</si>
  <si>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</si>
  <si>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</si>
  <si>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</si>
  <si>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</si>
  <si>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</si>
  <si>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</si>
  <si>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</si>
  <si>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</si>
  <si>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</si>
  <si>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</si>
  <si>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</si>
  <si>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</si>
  <si>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</si>
  <si>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</si>
  <si>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</si>
  <si>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</si>
  <si>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</si>
  <si>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</si>
  <si>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</si>
  <si>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</si>
  <si>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</si>
  <si>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</si>
  <si>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</si>
  <si>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</si>
  <si>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</si>
  <si>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</si>
  <si>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</si>
  <si>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</si>
  <si>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</si>
  <si>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</si>
  <si>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</si>
  <si>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</si>
  <si>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</si>
  <si>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</si>
  <si>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</si>
  <si>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</si>
  <si>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</si>
  <si>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</si>
  <si>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</si>
  <si>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</si>
  <si>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</si>
  <si>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</si>
  <si>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</si>
  <si>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</si>
  <si>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</si>
  <si>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</si>
  <si>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</si>
  <si>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</si>
  <si>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</si>
  <si>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</si>
  <si>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</si>
  <si>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</si>
  <si>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</si>
  <si>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</si>
  <si>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</si>
  <si>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</si>
  <si>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</si>
  <si>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</si>
  <si>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</si>
  <si>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</si>
  <si>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</si>
  <si>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</si>
  <si>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</si>
  <si>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</si>
  <si>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</si>
  <si>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</si>
  <si>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</si>
  <si>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</si>
  <si>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</si>
  <si>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</si>
  <si>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</si>
  <si>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</si>
  <si>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</si>
  <si>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</si>
  <si>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</si>
  <si>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</si>
  <si>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</si>
  <si>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</si>
  <si>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</si>
  <si>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</si>
  <si>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</si>
  <si>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</si>
  <si>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</si>
  <si>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</si>
  <si>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</si>
  <si>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</si>
  <si>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</si>
  <si>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</si>
  <si>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</si>
  <si>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</si>
  <si>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</si>
  <si>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</si>
  <si>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</si>
  <si>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</si>
  <si>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</si>
  <si>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</si>
  <si>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</si>
  <si>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</si>
  <si>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</si>
  <si>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</si>
  <si>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</si>
  <si>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</si>
  <si>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</si>
  <si>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</si>
  <si>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</si>
  <si>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</si>
  <si>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</si>
  <si>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</si>
  <si>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</si>
  <si>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</si>
  <si>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</si>
  <si>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</si>
  <si>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</si>
  <si>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</si>
  <si>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</si>
  <si>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</si>
  <si>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</si>
  <si>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</si>
  <si>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</si>
  <si>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</si>
  <si>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</si>
  <si>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</si>
  <si>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</si>
  <si>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</si>
  <si>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</si>
  <si>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</si>
  <si>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</si>
  <si>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</si>
  <si>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</si>
  <si>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</si>
  <si>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</si>
  <si>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</si>
  <si>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</si>
  <si>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</si>
  <si>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</si>
  <si>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</si>
  <si>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</si>
  <si>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</si>
  <si>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</si>
  <si>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</si>
  <si>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</si>
  <si>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</si>
  <si>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</si>
  <si>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</si>
  <si>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</si>
  <si>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</si>
  <si>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</si>
  <si>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</si>
  <si>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</si>
  <si>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</si>
  <si>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</si>
  <si>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</si>
  <si>
    <t xml:space="preserve">BCH </t>
  </si>
  <si>
    <t>EMILIE LAGASSY</t>
  </si>
  <si>
    <t xml:space="preserve">Periodique </t>
  </si>
  <si>
    <t>20232711</t>
  </si>
  <si>
    <t>27/11/2023</t>
  </si>
  <si>
    <t>23-1230-001</t>
  </si>
  <si>
    <t>29/09/2023</t>
  </si>
  <si>
    <t>CF31726-A-01 à 09</t>
  </si>
  <si>
    <t>06/02/2024</t>
  </si>
  <si>
    <t>17</t>
  </si>
  <si>
    <t>22-0762-002</t>
  </si>
  <si>
    <t>21/02/2024  03:16</t>
  </si>
  <si>
    <t>21/02/2024  03:17</t>
  </si>
  <si>
    <t>21/02/2024  03:18</t>
  </si>
  <si>
    <t>21/02/2024  03:19</t>
  </si>
  <si>
    <t>21/02/2024  03:20</t>
  </si>
  <si>
    <t>21/02/2024  03:21</t>
  </si>
  <si>
    <t>21/02/2024  03:22</t>
  </si>
  <si>
    <t>21/02/2024  03:23</t>
  </si>
  <si>
    <t>21/02/2024  03:24</t>
  </si>
  <si>
    <t>21/02/2024  03:25</t>
  </si>
  <si>
    <t>21/02/2024  03:26</t>
  </si>
  <si>
    <t>21/02/2024  03:27</t>
  </si>
  <si>
    <t>21/02/2024  03:28</t>
  </si>
  <si>
    <t>21/02/2024  03:29</t>
  </si>
  <si>
    <t>21/02/2024  03:30</t>
  </si>
  <si>
    <t>21/02/2024  03:31</t>
  </si>
  <si>
    <t>21/02/2024  03:32</t>
  </si>
  <si>
    <t>21/02/2024  03:33</t>
  </si>
  <si>
    <t>21/02/2024  03:34</t>
  </si>
  <si>
    <t>21/02/2024  03:35</t>
  </si>
  <si>
    <t>21/02/2024  03:36</t>
  </si>
  <si>
    <t>21/02/2024  03:37</t>
  </si>
  <si>
    <t>21/02/2024  03:38</t>
  </si>
  <si>
    <t>21/02/2024  03:39</t>
  </si>
  <si>
    <t>21/02/2024  03:40</t>
  </si>
  <si>
    <t>21/02/2024  03:41</t>
  </si>
  <si>
    <t>21/02/2024  03:42</t>
  </si>
  <si>
    <t>21/02/2024  03:43</t>
  </si>
  <si>
    <t>21/02/2024  03:44</t>
  </si>
  <si>
    <t>21/02/2024  03:45</t>
  </si>
  <si>
    <t>21/02/2024  03:46</t>
  </si>
  <si>
    <t>21/02/2024  03:47</t>
  </si>
  <si>
    <t>21/02/2024  03:48</t>
  </si>
  <si>
    <t>21/02/2024  03:49</t>
  </si>
  <si>
    <t>21/02/2024  03:50</t>
  </si>
  <si>
    <t>21/02/2024  03:51</t>
  </si>
  <si>
    <t>21/02/2024  03:52</t>
  </si>
  <si>
    <t>21/02/2024  03:53</t>
  </si>
  <si>
    <t>21/02/2024  03:54</t>
  </si>
  <si>
    <t>21/02/2024  03:55</t>
  </si>
  <si>
    <t>21/02/2024  03:56</t>
  </si>
  <si>
    <t>21/02/2024  03:57</t>
  </si>
  <si>
    <t>21/02/2024  03:58</t>
  </si>
  <si>
    <t>21/02/2024  03:59</t>
  </si>
  <si>
    <t>21/02/2024  04:00</t>
  </si>
  <si>
    <t>21/02/2024  04:01</t>
  </si>
  <si>
    <t>21/02/2024  04:02</t>
  </si>
  <si>
    <t>21/02/2024  04:03</t>
  </si>
  <si>
    <t>21/02/2024  04:04</t>
  </si>
  <si>
    <t>21/02/2024  04:05</t>
  </si>
  <si>
    <t>21/02/2024  04:06</t>
  </si>
  <si>
    <t>21/02/2024  04:07</t>
  </si>
  <si>
    <t>21/02/2024  04:08</t>
  </si>
  <si>
    <t>21/02/2024  04:09</t>
  </si>
  <si>
    <t>21/02/2024  04:49</t>
  </si>
  <si>
    <t>21/02/2024  04:50</t>
  </si>
  <si>
    <t>21/02/2024  04:51</t>
  </si>
  <si>
    <t>21/02/2024  04:52</t>
  </si>
  <si>
    <t>21/02/2024  04:53</t>
  </si>
  <si>
    <t>21/02/2024  04:54</t>
  </si>
  <si>
    <t>21/02/2024  04:55</t>
  </si>
  <si>
    <t>21/02/2024  04:56</t>
  </si>
  <si>
    <t>21/02/2024  04:57</t>
  </si>
  <si>
    <t>21/02/2024  04:58</t>
  </si>
  <si>
    <t>21/02/2024  04:59</t>
  </si>
  <si>
    <t>21/02/2024  05:00</t>
  </si>
  <si>
    <t>21/02/2024  05:01</t>
  </si>
  <si>
    <t>21/02/2024  05:02</t>
  </si>
  <si>
    <t>21/02/2024  05:03</t>
  </si>
  <si>
    <t>21/02/2024  05:04</t>
  </si>
  <si>
    <t>21/02/2024  05:05</t>
  </si>
  <si>
    <t>21/02/2024  05:06</t>
  </si>
  <si>
    <t>21/02/2024  05:07</t>
  </si>
  <si>
    <t>21/02/2024  05:08</t>
  </si>
  <si>
    <t>21/02/2024  05:09</t>
  </si>
  <si>
    <t>21/02/2024  05:10</t>
  </si>
  <si>
    <t>21/02/2024  05:11</t>
  </si>
  <si>
    <t>21/02/2024  05:12</t>
  </si>
  <si>
    <t>21/02/2024  05:13</t>
  </si>
  <si>
    <t>21/02/2024  05:14</t>
  </si>
  <si>
    <t>21/02/2024  05:15</t>
  </si>
  <si>
    <t>21/02/2024  05:16</t>
  </si>
  <si>
    <t>21/02/2024  05:17</t>
  </si>
  <si>
    <t>21/02/2024  05:18</t>
  </si>
  <si>
    <t>21/02/2024  05:19</t>
  </si>
  <si>
    <t>21/02/2024  05:20</t>
  </si>
  <si>
    <t>21/02/2024  05:21</t>
  </si>
  <si>
    <t>21/02/2024  05:22</t>
  </si>
  <si>
    <t>21/02/2024  05:23</t>
  </si>
  <si>
    <t>21/02/2024  05:24</t>
  </si>
  <si>
    <t>21/02/2024  05:25</t>
  </si>
  <si>
    <t>21/02/2024  05:26</t>
  </si>
  <si>
    <t>21/02/2024  05:27</t>
  </si>
  <si>
    <t>21/02/2024  05:28</t>
  </si>
  <si>
    <t>21/02/2024  05:29</t>
  </si>
  <si>
    <t>21/02/2024  05:30</t>
  </si>
  <si>
    <t>21/02/2024  05:31</t>
  </si>
  <si>
    <t>21/02/2024  05:32</t>
  </si>
  <si>
    <t>21/02/2024  05:33</t>
  </si>
  <si>
    <t>21/02/2024  05:34</t>
  </si>
  <si>
    <t>21/02/2024  05:35</t>
  </si>
  <si>
    <t>21/02/2024  05:36</t>
  </si>
  <si>
    <t>21/02/2024  05:37</t>
  </si>
  <si>
    <t>21/02/2024  05:38</t>
  </si>
  <si>
    <t>21/02/2024  05:39</t>
  </si>
  <si>
    <t>21/02/2024  05:40</t>
  </si>
  <si>
    <t>21/02/2024  05:41</t>
  </si>
  <si>
    <t>21/02/2024  05:42</t>
  </si>
  <si>
    <t>21/02/2024  05:43</t>
  </si>
  <si>
    <t>21/02/2024  05:44</t>
  </si>
  <si>
    <t>21/02/2024  05:45</t>
  </si>
  <si>
    <t>21/02/2024  05:46</t>
  </si>
  <si>
    <t>20/02/2024  21:53</t>
  </si>
  <si>
    <t>20/02/2024  21:54</t>
  </si>
  <si>
    <t>20/02/2024  21:55</t>
  </si>
  <si>
    <t>20/02/2024  21:56</t>
  </si>
  <si>
    <t>20/02/2024  21:57</t>
  </si>
  <si>
    <t>20/02/2024  21:58</t>
  </si>
  <si>
    <t>20/02/2024  21:59</t>
  </si>
  <si>
    <t>20/02/2024  22:00</t>
  </si>
  <si>
    <t>20/02/2024  22:01</t>
  </si>
  <si>
    <t>20/02/2024  22:02</t>
  </si>
  <si>
    <t>20/02/2024  22:03</t>
  </si>
  <si>
    <t>20/02/2024  22:04</t>
  </si>
  <si>
    <t>20/02/2024  22:05</t>
  </si>
  <si>
    <t>20/02/2024  22:06</t>
  </si>
  <si>
    <t>20/02/2024  22:07</t>
  </si>
  <si>
    <t>20/02/2024  22:08</t>
  </si>
  <si>
    <t>20/02/2024  22:09</t>
  </si>
  <si>
    <t>20/02/2024  22:10</t>
  </si>
  <si>
    <t>20/02/2024  22:11</t>
  </si>
  <si>
    <t>20/02/2024  22:12</t>
  </si>
  <si>
    <t>20/02/2024  22:13</t>
  </si>
  <si>
    <t>20/02/2024  22:14</t>
  </si>
  <si>
    <t>20/02/2024  22:15</t>
  </si>
  <si>
    <t>20/02/2024  22:16</t>
  </si>
  <si>
    <t>20/02/2024  22:17</t>
  </si>
  <si>
    <t>20/02/2024  22:18</t>
  </si>
  <si>
    <t>20/02/2024  22:19</t>
  </si>
  <si>
    <t>20/02/2024  22:20</t>
  </si>
  <si>
    <t>20/02/2024  22:21</t>
  </si>
  <si>
    <t>20/02/2024  22:22</t>
  </si>
  <si>
    <t>20/02/2024  22:23</t>
  </si>
  <si>
    <t>20/02/2024  22:24</t>
  </si>
  <si>
    <t>20/02/2024  22:25</t>
  </si>
  <si>
    <t>20/02/2024  22:26</t>
  </si>
  <si>
    <t>20/02/2024  22:27</t>
  </si>
  <si>
    <t>20/02/2024  22:28</t>
  </si>
  <si>
    <t>20/02/2024  22:29</t>
  </si>
  <si>
    <t>20/02/2024  22:30</t>
  </si>
  <si>
    <t>20/02/2024  22:31</t>
  </si>
  <si>
    <t>20/02/2024  22:32</t>
  </si>
  <si>
    <t>20/02/2024  22:33</t>
  </si>
  <si>
    <t>20/02/2024  22:34</t>
  </si>
  <si>
    <t>20/02/2024  22:35</t>
  </si>
  <si>
    <t>20/02/2024  22:36</t>
  </si>
  <si>
    <t>20/02/2024  22:37</t>
  </si>
  <si>
    <t>20/02/2024  22:38</t>
  </si>
  <si>
    <t>20/02/2024  22:39</t>
  </si>
  <si>
    <t>20/02/2024  22:40</t>
  </si>
  <si>
    <t>20/02/2024  22:41</t>
  </si>
  <si>
    <t>20/02/2024  22:42</t>
  </si>
  <si>
    <t>20/02/2024  22:43</t>
  </si>
  <si>
    <t>20/02/2024  22:44</t>
  </si>
  <si>
    <t>20/02/2024  22:45</t>
  </si>
  <si>
    <t>20/02/2024  22:46</t>
  </si>
  <si>
    <t>20/02/2024  22:47</t>
  </si>
  <si>
    <t>20/02/2024  22:48</t>
  </si>
  <si>
    <t>20/02/2024  22:49</t>
  </si>
  <si>
    <t>20/02/2024  22:50</t>
  </si>
  <si>
    <t>20/02/2024  22:51</t>
  </si>
  <si>
    <t>20/02/2024  22:52</t>
  </si>
  <si>
    <t>20/02/2024  22:53</t>
  </si>
  <si>
    <t>20/02/2024  22:54</t>
  </si>
  <si>
    <t>20/02/2024  22:55</t>
  </si>
  <si>
    <t>20/02/2024  22:56</t>
  </si>
  <si>
    <t>20/02/2024  22:57</t>
  </si>
  <si>
    <t>20/02/2024  22:58</t>
  </si>
  <si>
    <t>20/02/2024  22:59</t>
  </si>
  <si>
    <t>20/02/2024  23:00</t>
  </si>
  <si>
    <t>20/02/2024  23:01</t>
  </si>
  <si>
    <t>20/02/2024  23:02</t>
  </si>
  <si>
    <t>20/02/2024  23:03</t>
  </si>
  <si>
    <t>20/02/2024  23:04</t>
  </si>
  <si>
    <t>20/02/2024  23:05</t>
  </si>
  <si>
    <t>20/02/2024  23:06</t>
  </si>
  <si>
    <t>20/02/2024  23:07</t>
  </si>
  <si>
    <t>20/02/2024  23:08</t>
  </si>
  <si>
    <t>20/02/2024  23:09</t>
  </si>
  <si>
    <t>20/02/2024  23:10</t>
  </si>
  <si>
    <t>20/02/2024  23:11</t>
  </si>
  <si>
    <t>20/02/2024  23:12</t>
  </si>
  <si>
    <t>20/02/2024  23:13</t>
  </si>
  <si>
    <t>20/02/2024  23:14</t>
  </si>
  <si>
    <t>20/02/2024  23:15</t>
  </si>
  <si>
    <t>20/02/2024  23:16</t>
  </si>
  <si>
    <t>20/02/2024  23:17</t>
  </si>
  <si>
    <t>20/02/2024  23:18</t>
  </si>
  <si>
    <t>20/02/2024  23:19</t>
  </si>
  <si>
    <t>20/02/2024  23:20</t>
  </si>
  <si>
    <t>20/02/2024  23:21</t>
  </si>
  <si>
    <t>20/02/2024  23:22</t>
  </si>
  <si>
    <t>20/02/2024  23:23</t>
  </si>
  <si>
    <t>20/02/2024  23:24</t>
  </si>
  <si>
    <t>20/02/2024  23:25</t>
  </si>
  <si>
    <t>20/02/2024  23:26</t>
  </si>
  <si>
    <t>20/02/2024  23:27</t>
  </si>
  <si>
    <t>20/02/2024  23:28</t>
  </si>
  <si>
    <t>20/02/2024  23:29</t>
  </si>
  <si>
    <t>20/02/2024  23:30</t>
  </si>
  <si>
    <t>20/02/2024  23:31</t>
  </si>
  <si>
    <t>20/02/2024  23:32</t>
  </si>
  <si>
    <t>20/02/2024  23:33</t>
  </si>
  <si>
    <t>20/02/2024  23:34</t>
  </si>
  <si>
    <t>20/02/2024  23:35</t>
  </si>
  <si>
    <t>20/02/2024  23:36</t>
  </si>
  <si>
    <t>20/02/2024  23:37</t>
  </si>
  <si>
    <t>20/02/2024  23:38</t>
  </si>
  <si>
    <t>20/02/2024  23:39</t>
  </si>
  <si>
    <t>20/02/2024  23:40</t>
  </si>
  <si>
    <t>20/02/2024  23:41</t>
  </si>
  <si>
    <t>20/02/2024  23:42</t>
  </si>
  <si>
    <t>20/02/2024  23:43</t>
  </si>
  <si>
    <t>20/02/2024  23:44</t>
  </si>
  <si>
    <t>20/02/2024  23:45</t>
  </si>
  <si>
    <t>20/02/2024  23:46</t>
  </si>
  <si>
    <t>20/02/2024  23:47</t>
  </si>
  <si>
    <t>20/02/2024  23:48</t>
  </si>
  <si>
    <t>20/02/2024  23:49</t>
  </si>
  <si>
    <t>20/02/2024  23:50</t>
  </si>
  <si>
    <t>20/02/2024  23:51</t>
  </si>
  <si>
    <t>20/02/2024  23:52</t>
  </si>
  <si>
    <t>20/02/2024  23:53</t>
  </si>
  <si>
    <t>20/02/2024  23:54</t>
  </si>
  <si>
    <t>20/02/2024  23:55</t>
  </si>
  <si>
    <t>20/02/2024  23:56</t>
  </si>
  <si>
    <t>20/02/2024  23:57</t>
  </si>
  <si>
    <t>20/02/2024  23:58</t>
  </si>
  <si>
    <t>20/02/2024  23:59</t>
  </si>
  <si>
    <t>21/02/2024  00:00</t>
  </si>
  <si>
    <t>21/02/2024  00:01</t>
  </si>
  <si>
    <t>21/02/2024  00:02</t>
  </si>
  <si>
    <t>21/02/2024  00:03</t>
  </si>
  <si>
    <t>21/02/2024  00:04</t>
  </si>
  <si>
    <t>21/02/2024  00:05</t>
  </si>
  <si>
    <t>21/02/2024  00:06</t>
  </si>
  <si>
    <t>21/02/2024  00:07</t>
  </si>
  <si>
    <t>21/02/2024  00:08</t>
  </si>
  <si>
    <t>21/02/2024  00:09</t>
  </si>
  <si>
    <t>21/02/2024  00:10</t>
  </si>
  <si>
    <t>21/02/2024  00:11</t>
  </si>
  <si>
    <t>21/02/2024  00:12</t>
  </si>
  <si>
    <t>21/02/2024  00:13</t>
  </si>
  <si>
    <t>21/02/2024  00:14</t>
  </si>
  <si>
    <t>21/02/2024  00:15</t>
  </si>
  <si>
    <t>21/02/2024  00:16</t>
  </si>
  <si>
    <t>21/02/2024  00:17</t>
  </si>
  <si>
    <t>21/02/2024  00:18</t>
  </si>
  <si>
    <t>21/02/2024  00:19</t>
  </si>
  <si>
    <t>21/02/2024  00:20</t>
  </si>
  <si>
    <t>21/02/2024  00:21</t>
  </si>
  <si>
    <t>21/02/2024  00:22</t>
  </si>
  <si>
    <t>21/02/2024  00:23</t>
  </si>
  <si>
    <t>21/02/2024  00:24</t>
  </si>
  <si>
    <t>21/02/2024  00:25</t>
  </si>
  <si>
    <t>21/02/2024  00:26</t>
  </si>
  <si>
    <t>21/02/2024  00:27</t>
  </si>
  <si>
    <t>21/02/2024  00:28</t>
  </si>
  <si>
    <t>21/02/2024  00:29</t>
  </si>
  <si>
    <t>21/02/2024  00:30</t>
  </si>
  <si>
    <t>21/02/2024  00:31</t>
  </si>
  <si>
    <t>21/02/2024  00:32</t>
  </si>
  <si>
    <t>21/02/2024  00:33</t>
  </si>
  <si>
    <t>21/02/2024  00:34</t>
  </si>
  <si>
    <t>21/02/2024  00:35</t>
  </si>
  <si>
    <t>21/02/2024  00:36</t>
  </si>
  <si>
    <t>21/02/2024  00:37</t>
  </si>
  <si>
    <t>21/02/2024  00:38</t>
  </si>
  <si>
    <t>21/02/2024  00:39</t>
  </si>
  <si>
    <t>21/02/2024  00:40</t>
  </si>
  <si>
    <t>21/02/2024  00:41</t>
  </si>
  <si>
    <t>21/02/2024  00:42</t>
  </si>
  <si>
    <t>21/02/2024  00:43</t>
  </si>
  <si>
    <t>21/02/2024  00:44</t>
  </si>
  <si>
    <t>21/02/2024  00:45</t>
  </si>
  <si>
    <t>21/02/2024  00:46</t>
  </si>
  <si>
    <t>21/02/2024  00:47</t>
  </si>
  <si>
    <t>21/02/2024  01:06</t>
  </si>
  <si>
    <t>21/02/2024  01:07</t>
  </si>
  <si>
    <t>21/02/2024  01:08</t>
  </si>
  <si>
    <t>21/02/2024  01:09</t>
  </si>
  <si>
    <t>21/02/2024  01:10</t>
  </si>
  <si>
    <t>21/02/2024  01:11</t>
  </si>
  <si>
    <t>21/02/2024  01:12</t>
  </si>
  <si>
    <t>21/02/2024  01:13</t>
  </si>
  <si>
    <t>21/02/2024  01:14</t>
  </si>
  <si>
    <t>21/02/2024  01:15</t>
  </si>
  <si>
    <t>21/02/2024  01:16</t>
  </si>
  <si>
    <t>21/02/2024  01:17</t>
  </si>
  <si>
    <t>21/02/2024  01:18</t>
  </si>
  <si>
    <t>21/02/2024  01:19</t>
  </si>
  <si>
    <t>21/02/2024  01:20</t>
  </si>
  <si>
    <t>21/02/2024  01:21</t>
  </si>
  <si>
    <t>21/02/2024  01:22</t>
  </si>
  <si>
    <t>21/02/2024  01:23</t>
  </si>
  <si>
    <t>21/02/2024  01:24</t>
  </si>
  <si>
    <t>21/02/2024  01:25</t>
  </si>
  <si>
    <t>21/02/2024  01:26</t>
  </si>
  <si>
    <t>21/02/2024  01:27</t>
  </si>
  <si>
    <t>21/02/2024  01:28</t>
  </si>
  <si>
    <t>21/02/2024  01:29</t>
  </si>
  <si>
    <t>21/02/2024  01:30</t>
  </si>
  <si>
    <t>21/02/2024  01:31</t>
  </si>
  <si>
    <t>21/02/2024  01:32</t>
  </si>
  <si>
    <t>21/02/2024  01:33</t>
  </si>
  <si>
    <t>21/02/2024  01:34</t>
  </si>
  <si>
    <t>21/02/2024  01:35</t>
  </si>
  <si>
    <t>21/02/2024  01:36</t>
  </si>
  <si>
    <t>21/02/2024  01:37</t>
  </si>
  <si>
    <t>21/02/2024  01:38</t>
  </si>
  <si>
    <t>21/02/2024  01:39</t>
  </si>
  <si>
    <t>21/02/2024  01:40</t>
  </si>
  <si>
    <t>21/02/2024  01:41</t>
  </si>
  <si>
    <t>21/02/2024  01:42</t>
  </si>
  <si>
    <t>21/02/2024  01:43</t>
  </si>
  <si>
    <t>21/02/2024  01:44</t>
  </si>
  <si>
    <t>21/02/2024  01:45</t>
  </si>
  <si>
    <t>21/02/2024  01:46</t>
  </si>
  <si>
    <t>21/02/2024  01:47</t>
  </si>
  <si>
    <t>21/02/2024  01:48</t>
  </si>
  <si>
    <t>21/02/2024  01:49</t>
  </si>
  <si>
    <t>21/02/2024  01:50</t>
  </si>
  <si>
    <t>21/02/2024  01:51</t>
  </si>
  <si>
    <t>21/02/2024  01:52</t>
  </si>
  <si>
    <t>21/02/2024  01:53</t>
  </si>
  <si>
    <t>21/02/2024  01:54</t>
  </si>
  <si>
    <t>21/02/2024  01:55</t>
  </si>
  <si>
    <t>21/02/2024  01:56</t>
  </si>
  <si>
    <t>21/02/2024  01:57</t>
  </si>
  <si>
    <t>21/02/2024  01:58</t>
  </si>
  <si>
    <t>21/02/2024  01:59</t>
  </si>
  <si>
    <t>21/02/2024  02:00</t>
  </si>
  <si>
    <t>21/02/2024  02:01</t>
  </si>
  <si>
    <t>21/02/2024  02:02</t>
  </si>
  <si>
    <t>21/02/2024  02:03</t>
  </si>
  <si>
    <t>21/02/2024  02:04</t>
  </si>
  <si>
    <t>21/02/2024  02:05</t>
  </si>
  <si>
    <t>21/02/2024  02:06</t>
  </si>
  <si>
    <t>21/02/2024  02:07</t>
  </si>
  <si>
    <t>21/02/2024  02:08</t>
  </si>
  <si>
    <t>21/02/2024  02:09</t>
  </si>
  <si>
    <t>21/02/2024  02:10</t>
  </si>
  <si>
    <t>21/02/2024  02:11</t>
  </si>
  <si>
    <t>21/02/2024  02:12</t>
  </si>
  <si>
    <t>21/02/2024  02:13</t>
  </si>
  <si>
    <t>21/02/2024  02:14</t>
  </si>
  <si>
    <t>21/02/2024  02:15</t>
  </si>
  <si>
    <t>21/02/2024  02:16</t>
  </si>
  <si>
    <t>21/02/2024  02:17</t>
  </si>
  <si>
    <t>21/02/2024  02:18</t>
  </si>
  <si>
    <t>21/02/2024  02:19</t>
  </si>
  <si>
    <t>21/02/2024  02:20</t>
  </si>
  <si>
    <t>21/02/2024  02:21</t>
  </si>
  <si>
    <t>21/02/2024  02:22</t>
  </si>
  <si>
    <t>21/02/2024  02:23</t>
  </si>
  <si>
    <t>21/02/2024  02:24</t>
  </si>
  <si>
    <t>21/02/2024  02:25</t>
  </si>
  <si>
    <t>21/02/2024  02:26</t>
  </si>
  <si>
    <t>21/02/2024  02:27</t>
  </si>
  <si>
    <t>21/02/2024  02:28</t>
  </si>
  <si>
    <t>21/02/2024  02:29</t>
  </si>
  <si>
    <t>21/02/2024  02:30</t>
  </si>
  <si>
    <t>21/02/2024  02:31</t>
  </si>
  <si>
    <t>21/02/2024  02:32</t>
  </si>
  <si>
    <t>21/02/2024  02:33</t>
  </si>
  <si>
    <t>21/02/2024  02:34</t>
  </si>
  <si>
    <t>21/02/2024  02:35</t>
  </si>
  <si>
    <t>21/02/2024  02:36</t>
  </si>
  <si>
    <t>21/02/2024  02:37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</si>
</sst>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5">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5" borderId="1" xfId="0" applyFill="1" applyBorder="1" applyAlignment="1" applyProtection="1">
      <alignment horizontal="center" vertical="center"/>
      <protection locked="0"/>
    </xf>
    <xf numFmtId="0" fontId="0" fillId="0" borderId="0" xfId="0" applyAlignment="1">
      <alignment horizontal="center"/>
    </xf>
    <xf numFmtId="49" fontId="0" fillId="0" borderId="0" xfId="0" applyNumberFormat="1"/>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xf numFmtId="0" fontId="0" fillId="11" borderId="0" xfId="0" applyFill="1" applyAlignment="1">
      <alignment horizontal="center" vertical="center" textRotation="90"/>
    </xf>
    <xf numFmtId="0" fontId="0" fillId="16" borderId="0" xfId="0" applyFill="1" applyAlignment="1">
      <alignment horizontal="center" vertical="center" textRotation="90"/>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80'!$B$1</c:f>
              <c:strCache>
                <c:ptCount val="1"/>
                <c:pt idx="0">
                  <c:v>Connecteur 1</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80'!$B$2:$B$176</c:f>
              <c:numCache>
                <c:formatCode>General</c:formatCode>
                <c:ptCount val="175"/>
                <c:pt idx="0">
                  <c:v>41.4</c:v>
                </c:pt>
                <c:pt idx="1">
                  <c:v>41.68</c:v>
                </c:pt>
                <c:pt idx="2">
                  <c:v>41.78</c:v>
                </c:pt>
                <c:pt idx="3">
                  <c:v>42</c:v>
                </c:pt>
                <c:pt idx="4">
                  <c:v>42.2</c:v>
                </c:pt>
                <c:pt idx="5">
                  <c:v>42.22</c:v>
                </c:pt>
                <c:pt idx="6">
                  <c:v>42.4</c:v>
                </c:pt>
                <c:pt idx="7">
                  <c:v>42.53</c:v>
                </c:pt>
                <c:pt idx="8">
                  <c:v>42.62</c:v>
                </c:pt>
                <c:pt idx="9">
                  <c:v>42.82</c:v>
                </c:pt>
                <c:pt idx="10">
                  <c:v>42.84</c:v>
                </c:pt>
                <c:pt idx="11">
                  <c:v>42.93</c:v>
                </c:pt>
                <c:pt idx="12">
                  <c:v>43.09</c:v>
                </c:pt>
                <c:pt idx="13">
                  <c:v>43.18</c:v>
                </c:pt>
                <c:pt idx="14">
                  <c:v>43.29</c:v>
                </c:pt>
                <c:pt idx="15">
                  <c:v>43.45</c:v>
                </c:pt>
                <c:pt idx="16">
                  <c:v>43.5</c:v>
                </c:pt>
                <c:pt idx="17">
                  <c:v>43.6</c:v>
                </c:pt>
                <c:pt idx="18">
                  <c:v>43.72</c:v>
                </c:pt>
                <c:pt idx="19">
                  <c:v>43.81</c:v>
                </c:pt>
                <c:pt idx="20">
                  <c:v>43.89</c:v>
                </c:pt>
                <c:pt idx="21">
                  <c:v>43.97</c:v>
                </c:pt>
                <c:pt idx="22">
                  <c:v>44.12</c:v>
                </c:pt>
                <c:pt idx="23">
                  <c:v>44.14</c:v>
                </c:pt>
                <c:pt idx="24">
                  <c:v>44.23</c:v>
                </c:pt>
                <c:pt idx="25">
                  <c:v>44.32</c:v>
                </c:pt>
                <c:pt idx="26">
                  <c:v>44.48</c:v>
                </c:pt>
                <c:pt idx="27">
                  <c:v>44.57</c:v>
                </c:pt>
                <c:pt idx="28">
                  <c:v>44.63</c:v>
                </c:pt>
                <c:pt idx="29">
                  <c:v>44.73</c:v>
                </c:pt>
                <c:pt idx="30">
                  <c:v>44.76</c:v>
                </c:pt>
                <c:pt idx="31">
                  <c:v>44.84</c:v>
                </c:pt>
                <c:pt idx="32">
                  <c:v>44.93</c:v>
                </c:pt>
                <c:pt idx="33">
                  <c:v>44.97</c:v>
                </c:pt>
                <c:pt idx="34">
                  <c:v>45.07</c:v>
                </c:pt>
                <c:pt idx="35">
                  <c:v>45.14</c:v>
                </c:pt>
                <c:pt idx="36">
                  <c:v>45.21</c:v>
                </c:pt>
                <c:pt idx="37">
                  <c:v>45.3</c:v>
                </c:pt>
                <c:pt idx="38">
                  <c:v>45.33</c:v>
                </c:pt>
                <c:pt idx="39">
                  <c:v>45.46</c:v>
                </c:pt>
                <c:pt idx="40">
                  <c:v>45.53</c:v>
                </c:pt>
                <c:pt idx="41">
                  <c:v>45.62</c:v>
                </c:pt>
                <c:pt idx="42">
                  <c:v>45.65</c:v>
                </c:pt>
                <c:pt idx="43">
                  <c:v>45.78</c:v>
                </c:pt>
                <c:pt idx="44">
                  <c:v>45.76</c:v>
                </c:pt>
                <c:pt idx="45">
                  <c:v>45.91</c:v>
                </c:pt>
                <c:pt idx="46">
                  <c:v>45.86</c:v>
                </c:pt>
                <c:pt idx="47">
                  <c:v>46.01</c:v>
                </c:pt>
                <c:pt idx="48">
                  <c:v>46.03</c:v>
                </c:pt>
                <c:pt idx="49">
                  <c:v>46.1</c:v>
                </c:pt>
                <c:pt idx="50">
                  <c:v>46.24</c:v>
                </c:pt>
                <c:pt idx="51">
                  <c:v>46.24</c:v>
                </c:pt>
                <c:pt idx="52">
                  <c:v>46.55</c:v>
                </c:pt>
                <c:pt idx="53">
                  <c:v>47.33</c:v>
                </c:pt>
                <c:pt idx="54">
                  <c:v>48.52</c:v>
                </c:pt>
                <c:pt idx="55">
                  <c:v>49.88</c:v>
                </c:pt>
                <c:pt idx="56">
                  <c:v>51.08</c:v>
                </c:pt>
                <c:pt idx="57">
                  <c:v>52.45</c:v>
                </c:pt>
                <c:pt idx="58">
                  <c:v>53.53</c:v>
                </c:pt>
                <c:pt idx="59">
                  <c:v>54.5</c:v>
                </c:pt>
                <c:pt idx="60">
                  <c:v>55.37</c:v>
                </c:pt>
                <c:pt idx="61">
                  <c:v>56.02</c:v>
                </c:pt>
                <c:pt idx="62">
                  <c:v>56.6</c:v>
                </c:pt>
                <c:pt idx="63">
                  <c:v>57.19</c:v>
                </c:pt>
                <c:pt idx="64">
                  <c:v>57.67</c:v>
                </c:pt>
                <c:pt idx="65">
                  <c:v>58.11</c:v>
                </c:pt>
                <c:pt idx="66">
                  <c:v>58.49</c:v>
                </c:pt>
                <c:pt idx="67">
                  <c:v>58.83</c:v>
                </c:pt>
                <c:pt idx="68">
                  <c:v>59.31</c:v>
                </c:pt>
                <c:pt idx="69">
                  <c:v>59.47</c:v>
                </c:pt>
                <c:pt idx="70">
                  <c:v>59.74</c:v>
                </c:pt>
                <c:pt idx="71">
                  <c:v>60.07</c:v>
                </c:pt>
                <c:pt idx="72">
                  <c:v>60.35</c:v>
                </c:pt>
                <c:pt idx="73">
                  <c:v>60.73</c:v>
                </c:pt>
                <c:pt idx="74">
                  <c:v>61</c:v>
                </c:pt>
                <c:pt idx="75">
                  <c:v>61.32</c:v>
                </c:pt>
                <c:pt idx="76">
                  <c:v>61.68</c:v>
                </c:pt>
                <c:pt idx="77">
                  <c:v>62.03</c:v>
                </c:pt>
                <c:pt idx="78">
                  <c:v>62.34</c:v>
                </c:pt>
                <c:pt idx="79">
                  <c:v>62.6</c:v>
                </c:pt>
                <c:pt idx="80">
                  <c:v>62.89</c:v>
                </c:pt>
                <c:pt idx="81">
                  <c:v>63.33</c:v>
                </c:pt>
                <c:pt idx="82">
                  <c:v>63.57</c:v>
                </c:pt>
                <c:pt idx="83">
                  <c:v>63.92</c:v>
                </c:pt>
                <c:pt idx="84">
                  <c:v>64.23</c:v>
                </c:pt>
                <c:pt idx="85">
                  <c:v>64.48</c:v>
                </c:pt>
                <c:pt idx="86">
                  <c:v>64.819999999999993</c:v>
                </c:pt>
                <c:pt idx="87">
                  <c:v>65.09</c:v>
                </c:pt>
                <c:pt idx="88">
                  <c:v>65.5</c:v>
                </c:pt>
                <c:pt idx="89">
                  <c:v>65.8</c:v>
                </c:pt>
                <c:pt idx="90">
                  <c:v>66.150000000000006</c:v>
                </c:pt>
                <c:pt idx="91">
                  <c:v>66.42</c:v>
                </c:pt>
                <c:pt idx="92">
                  <c:v>66.87</c:v>
                </c:pt>
                <c:pt idx="93">
                  <c:v>67.11</c:v>
                </c:pt>
                <c:pt idx="94">
                  <c:v>67.5</c:v>
                </c:pt>
                <c:pt idx="95">
                  <c:v>67.760000000000005</c:v>
                </c:pt>
                <c:pt idx="96">
                  <c:v>68.099999999999994</c:v>
                </c:pt>
                <c:pt idx="97">
                  <c:v>68.45</c:v>
                </c:pt>
                <c:pt idx="98">
                  <c:v>68.77</c:v>
                </c:pt>
                <c:pt idx="99">
                  <c:v>69.22</c:v>
                </c:pt>
                <c:pt idx="100">
                  <c:v>69.45</c:v>
                </c:pt>
                <c:pt idx="101">
                  <c:v>69.75</c:v>
                </c:pt>
                <c:pt idx="102">
                  <c:v>70.14</c:v>
                </c:pt>
                <c:pt idx="103">
                  <c:v>70.400000000000006</c:v>
                </c:pt>
                <c:pt idx="104">
                  <c:v>70.73</c:v>
                </c:pt>
                <c:pt idx="105">
                  <c:v>71.08</c:v>
                </c:pt>
                <c:pt idx="106">
                  <c:v>71.430000000000007</c:v>
                </c:pt>
                <c:pt idx="107">
                  <c:v>71.7</c:v>
                </c:pt>
                <c:pt idx="108">
                  <c:v>72.209999999999994</c:v>
                </c:pt>
                <c:pt idx="109">
                  <c:v>72.47</c:v>
                </c:pt>
                <c:pt idx="110">
                  <c:v>72.81</c:v>
                </c:pt>
                <c:pt idx="111">
                  <c:v>73.16</c:v>
                </c:pt>
                <c:pt idx="112">
                  <c:v>73.52</c:v>
                </c:pt>
                <c:pt idx="113">
                  <c:v>73.86</c:v>
                </c:pt>
                <c:pt idx="114">
                  <c:v>74.13</c:v>
                </c:pt>
                <c:pt idx="115">
                  <c:v>74.5</c:v>
                </c:pt>
                <c:pt idx="116">
                  <c:v>74.790000000000006</c:v>
                </c:pt>
                <c:pt idx="117">
                  <c:v>75.13</c:v>
                </c:pt>
                <c:pt idx="118">
                  <c:v>75.400000000000006</c:v>
                </c:pt>
                <c:pt idx="119">
                  <c:v>75.84</c:v>
                </c:pt>
                <c:pt idx="120">
                  <c:v>76.209999999999994</c:v>
                </c:pt>
                <c:pt idx="121">
                  <c:v>76.489999999999995</c:v>
                </c:pt>
                <c:pt idx="122">
                  <c:v>76.790000000000006</c:v>
                </c:pt>
                <c:pt idx="123">
                  <c:v>77.08</c:v>
                </c:pt>
                <c:pt idx="124">
                  <c:v>77.45</c:v>
                </c:pt>
                <c:pt idx="125">
                  <c:v>77.790000000000006</c:v>
                </c:pt>
                <c:pt idx="126">
                  <c:v>78.14</c:v>
                </c:pt>
                <c:pt idx="127">
                  <c:v>78.42</c:v>
                </c:pt>
                <c:pt idx="128">
                  <c:v>78.739999999999995</c:v>
                </c:pt>
                <c:pt idx="129">
                  <c:v>79.09</c:v>
                </c:pt>
                <c:pt idx="130">
                  <c:v>79.48</c:v>
                </c:pt>
                <c:pt idx="131">
                  <c:v>79.83</c:v>
                </c:pt>
                <c:pt idx="132">
                  <c:v>80.180000000000007</c:v>
                </c:pt>
                <c:pt idx="133">
                  <c:v>80.459999999999994</c:v>
                </c:pt>
                <c:pt idx="134">
                  <c:v>80.83</c:v>
                </c:pt>
                <c:pt idx="135">
                  <c:v>81.09</c:v>
                </c:pt>
                <c:pt idx="136">
                  <c:v>81.42</c:v>
                </c:pt>
                <c:pt idx="137">
                  <c:v>81.37</c:v>
                </c:pt>
                <c:pt idx="138">
                  <c:v>81.400000000000006</c:v>
                </c:pt>
                <c:pt idx="139">
                  <c:v>81.37</c:v>
                </c:pt>
                <c:pt idx="140">
                  <c:v>81.260000000000005</c:v>
                </c:pt>
                <c:pt idx="141">
                  <c:v>81.14</c:v>
                </c:pt>
                <c:pt idx="142">
                  <c:v>81.099999999999994</c:v>
                </c:pt>
                <c:pt idx="143">
                  <c:v>81.03</c:v>
                </c:pt>
                <c:pt idx="144">
                  <c:v>80.959999999999994</c:v>
                </c:pt>
                <c:pt idx="145">
                  <c:v>80.92</c:v>
                </c:pt>
                <c:pt idx="146">
                  <c:v>80.819999999999993</c:v>
                </c:pt>
                <c:pt idx="147">
                  <c:v>80.78</c:v>
                </c:pt>
                <c:pt idx="148">
                  <c:v>80.77</c:v>
                </c:pt>
                <c:pt idx="149">
                  <c:v>80.739999999999995</c:v>
                </c:pt>
                <c:pt idx="150">
                  <c:v>80.73</c:v>
                </c:pt>
                <c:pt idx="151">
                  <c:v>80.72</c:v>
                </c:pt>
                <c:pt idx="152">
                  <c:v>80.77</c:v>
                </c:pt>
                <c:pt idx="153">
                  <c:v>80.72</c:v>
                </c:pt>
                <c:pt idx="154">
                  <c:v>80.709999999999994</c:v>
                </c:pt>
                <c:pt idx="155">
                  <c:v>80.760000000000005</c:v>
                </c:pt>
                <c:pt idx="156">
                  <c:v>80.69</c:v>
                </c:pt>
                <c:pt idx="157">
                  <c:v>80.66</c:v>
                </c:pt>
                <c:pt idx="158">
                  <c:v>80.67</c:v>
                </c:pt>
                <c:pt idx="159">
                  <c:v>80.69</c:v>
                </c:pt>
                <c:pt idx="160">
                  <c:v>80.680000000000007</c:v>
                </c:pt>
                <c:pt idx="161">
                  <c:v>80.760000000000005</c:v>
                </c:pt>
                <c:pt idx="162">
                  <c:v>80.77</c:v>
                </c:pt>
                <c:pt idx="163">
                  <c:v>80.73</c:v>
                </c:pt>
                <c:pt idx="164">
                  <c:v>80.7</c:v>
                </c:pt>
                <c:pt idx="165">
                  <c:v>80.59</c:v>
                </c:pt>
                <c:pt idx="166">
                  <c:v>80.64</c:v>
                </c:pt>
                <c:pt idx="167">
                  <c:v>80.67</c:v>
                </c:pt>
                <c:pt idx="168">
                  <c:v>80.67</c:v>
                </c:pt>
                <c:pt idx="169">
                  <c:v>80.62</c:v>
                </c:pt>
                <c:pt idx="170">
                  <c:v>80.709999999999994</c:v>
                </c:pt>
                <c:pt idx="171">
                  <c:v>80.75</c:v>
                </c:pt>
                <c:pt idx="172">
                  <c:v>80.760000000000005</c:v>
                </c:pt>
                <c:pt idx="173">
                  <c:v>80.739999999999995</c:v>
                </c:pt>
                <c:pt idx="174">
                  <c:v>80.78</c:v>
                </c:pt>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80'!$C$1</c:f>
              <c:strCache>
                <c:ptCount val="1"/>
                <c:pt idx="0">
                  <c:v>Connecteur 2</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80'!$C$2:$C$176</c:f>
              <c:numCache>
                <c:formatCode>General</c:formatCode>
                <c:ptCount val="175"/>
                <c:pt idx="0">
                  <c:v>41.28</c:v>
                </c:pt>
                <c:pt idx="1">
                  <c:v>41.6</c:v>
                </c:pt>
                <c:pt idx="2">
                  <c:v>41.75</c:v>
                </c:pt>
                <c:pt idx="3">
                  <c:v>41.87</c:v>
                </c:pt>
                <c:pt idx="4">
                  <c:v>42.01</c:v>
                </c:pt>
                <c:pt idx="5">
                  <c:v>42.16</c:v>
                </c:pt>
                <c:pt idx="6">
                  <c:v>42.29</c:v>
                </c:pt>
                <c:pt idx="7">
                  <c:v>42.42</c:v>
                </c:pt>
                <c:pt idx="8">
                  <c:v>42.49</c:v>
                </c:pt>
                <c:pt idx="9">
                  <c:v>42.67</c:v>
                </c:pt>
                <c:pt idx="10">
                  <c:v>42.72</c:v>
                </c:pt>
                <c:pt idx="11">
                  <c:v>42.86</c:v>
                </c:pt>
                <c:pt idx="12">
                  <c:v>42.99</c:v>
                </c:pt>
                <c:pt idx="13">
                  <c:v>43.1</c:v>
                </c:pt>
                <c:pt idx="14">
                  <c:v>43.18</c:v>
                </c:pt>
                <c:pt idx="15">
                  <c:v>43.35</c:v>
                </c:pt>
                <c:pt idx="16">
                  <c:v>43.4</c:v>
                </c:pt>
                <c:pt idx="17">
                  <c:v>43.51</c:v>
                </c:pt>
                <c:pt idx="18">
                  <c:v>43.61</c:v>
                </c:pt>
                <c:pt idx="19">
                  <c:v>43.74</c:v>
                </c:pt>
                <c:pt idx="20">
                  <c:v>43.81</c:v>
                </c:pt>
                <c:pt idx="21">
                  <c:v>43.92</c:v>
                </c:pt>
                <c:pt idx="22">
                  <c:v>44</c:v>
                </c:pt>
                <c:pt idx="23">
                  <c:v>44.07</c:v>
                </c:pt>
                <c:pt idx="24">
                  <c:v>44.17</c:v>
                </c:pt>
                <c:pt idx="25">
                  <c:v>44.27</c:v>
                </c:pt>
                <c:pt idx="26">
                  <c:v>44.35</c:v>
                </c:pt>
                <c:pt idx="27">
                  <c:v>44.44</c:v>
                </c:pt>
                <c:pt idx="28">
                  <c:v>44.52</c:v>
                </c:pt>
                <c:pt idx="29">
                  <c:v>44.59</c:v>
                </c:pt>
                <c:pt idx="30">
                  <c:v>44.7</c:v>
                </c:pt>
                <c:pt idx="31">
                  <c:v>44.77</c:v>
                </c:pt>
                <c:pt idx="32">
                  <c:v>44.86</c:v>
                </c:pt>
                <c:pt idx="33">
                  <c:v>44.93</c:v>
                </c:pt>
                <c:pt idx="34">
                  <c:v>45.01</c:v>
                </c:pt>
                <c:pt idx="35">
                  <c:v>45.06</c:v>
                </c:pt>
                <c:pt idx="36">
                  <c:v>45.16</c:v>
                </c:pt>
                <c:pt idx="37">
                  <c:v>45.24</c:v>
                </c:pt>
                <c:pt idx="38">
                  <c:v>45.3</c:v>
                </c:pt>
                <c:pt idx="39">
                  <c:v>45.36</c:v>
                </c:pt>
                <c:pt idx="40">
                  <c:v>45.46</c:v>
                </c:pt>
                <c:pt idx="41">
                  <c:v>45.52</c:v>
                </c:pt>
                <c:pt idx="42">
                  <c:v>45.59</c:v>
                </c:pt>
                <c:pt idx="43">
                  <c:v>45.66</c:v>
                </c:pt>
                <c:pt idx="44">
                  <c:v>45.7</c:v>
                </c:pt>
                <c:pt idx="45">
                  <c:v>45.77</c:v>
                </c:pt>
                <c:pt idx="46">
                  <c:v>45.85</c:v>
                </c:pt>
                <c:pt idx="47">
                  <c:v>45.91</c:v>
                </c:pt>
                <c:pt idx="48">
                  <c:v>45.96</c:v>
                </c:pt>
                <c:pt idx="49">
                  <c:v>46.04</c:v>
                </c:pt>
                <c:pt idx="50">
                  <c:v>46.13</c:v>
                </c:pt>
                <c:pt idx="51">
                  <c:v>46.15</c:v>
                </c:pt>
                <c:pt idx="52">
                  <c:v>46.39</c:v>
                </c:pt>
                <c:pt idx="53">
                  <c:v>47.11</c:v>
                </c:pt>
                <c:pt idx="54">
                  <c:v>48.24</c:v>
                </c:pt>
                <c:pt idx="55">
                  <c:v>49.53</c:v>
                </c:pt>
                <c:pt idx="56">
                  <c:v>50.78</c:v>
                </c:pt>
                <c:pt idx="57">
                  <c:v>52.05</c:v>
                </c:pt>
                <c:pt idx="58">
                  <c:v>53.14</c:v>
                </c:pt>
                <c:pt idx="59">
                  <c:v>54.19</c:v>
                </c:pt>
                <c:pt idx="60">
                  <c:v>55</c:v>
                </c:pt>
                <c:pt idx="61">
                  <c:v>55.64</c:v>
                </c:pt>
                <c:pt idx="62">
                  <c:v>56.29</c:v>
                </c:pt>
                <c:pt idx="63">
                  <c:v>56.83</c:v>
                </c:pt>
                <c:pt idx="64">
                  <c:v>57.39</c:v>
                </c:pt>
                <c:pt idx="65">
                  <c:v>57.8</c:v>
                </c:pt>
                <c:pt idx="66">
                  <c:v>58.12</c:v>
                </c:pt>
                <c:pt idx="67">
                  <c:v>58.51</c:v>
                </c:pt>
                <c:pt idx="68">
                  <c:v>58.88</c:v>
                </c:pt>
                <c:pt idx="69">
                  <c:v>59.23</c:v>
                </c:pt>
                <c:pt idx="70">
                  <c:v>59.57</c:v>
                </c:pt>
                <c:pt idx="71">
                  <c:v>59.82</c:v>
                </c:pt>
                <c:pt idx="72">
                  <c:v>60.12</c:v>
                </c:pt>
                <c:pt idx="73">
                  <c:v>60.45</c:v>
                </c:pt>
                <c:pt idx="74">
                  <c:v>60.78</c:v>
                </c:pt>
                <c:pt idx="75">
                  <c:v>61.05</c:v>
                </c:pt>
                <c:pt idx="76">
                  <c:v>61.32</c:v>
                </c:pt>
                <c:pt idx="77">
                  <c:v>61.71</c:v>
                </c:pt>
                <c:pt idx="78">
                  <c:v>62.02</c:v>
                </c:pt>
                <c:pt idx="79">
                  <c:v>62.33</c:v>
                </c:pt>
                <c:pt idx="80">
                  <c:v>62.72</c:v>
                </c:pt>
                <c:pt idx="81">
                  <c:v>63.01</c:v>
                </c:pt>
                <c:pt idx="82">
                  <c:v>63.26</c:v>
                </c:pt>
                <c:pt idx="83">
                  <c:v>63.6</c:v>
                </c:pt>
                <c:pt idx="84">
                  <c:v>63.97</c:v>
                </c:pt>
                <c:pt idx="85">
                  <c:v>64.23</c:v>
                </c:pt>
                <c:pt idx="86">
                  <c:v>64.569999999999993</c:v>
                </c:pt>
                <c:pt idx="87">
                  <c:v>64.900000000000006</c:v>
                </c:pt>
                <c:pt idx="88">
                  <c:v>65.27</c:v>
                </c:pt>
                <c:pt idx="89">
                  <c:v>65.58</c:v>
                </c:pt>
                <c:pt idx="90">
                  <c:v>65.849999999999994</c:v>
                </c:pt>
                <c:pt idx="91">
                  <c:v>66.2</c:v>
                </c:pt>
                <c:pt idx="92">
                  <c:v>66.59</c:v>
                </c:pt>
                <c:pt idx="93">
                  <c:v>66.87</c:v>
                </c:pt>
                <c:pt idx="94">
                  <c:v>67.239999999999995</c:v>
                </c:pt>
                <c:pt idx="95">
                  <c:v>67.59</c:v>
                </c:pt>
                <c:pt idx="96">
                  <c:v>67.87</c:v>
                </c:pt>
                <c:pt idx="97">
                  <c:v>68.19</c:v>
                </c:pt>
                <c:pt idx="98">
                  <c:v>68.52</c:v>
                </c:pt>
                <c:pt idx="99">
                  <c:v>68.92</c:v>
                </c:pt>
                <c:pt idx="100">
                  <c:v>69.23</c:v>
                </c:pt>
                <c:pt idx="101">
                  <c:v>69.52</c:v>
                </c:pt>
                <c:pt idx="102">
                  <c:v>69.86</c:v>
                </c:pt>
                <c:pt idx="103">
                  <c:v>70.16</c:v>
                </c:pt>
                <c:pt idx="104">
                  <c:v>70.540000000000006</c:v>
                </c:pt>
                <c:pt idx="105">
                  <c:v>70.86</c:v>
                </c:pt>
                <c:pt idx="106">
                  <c:v>71.23</c:v>
                </c:pt>
                <c:pt idx="107">
                  <c:v>71.540000000000006</c:v>
                </c:pt>
                <c:pt idx="108">
                  <c:v>71.89</c:v>
                </c:pt>
                <c:pt idx="109">
                  <c:v>72.2</c:v>
                </c:pt>
                <c:pt idx="110">
                  <c:v>72.569999999999993</c:v>
                </c:pt>
                <c:pt idx="111">
                  <c:v>72.900000000000006</c:v>
                </c:pt>
                <c:pt idx="112">
                  <c:v>73.239999999999995</c:v>
                </c:pt>
                <c:pt idx="113">
                  <c:v>73.540000000000006</c:v>
                </c:pt>
                <c:pt idx="114">
                  <c:v>73.89</c:v>
                </c:pt>
                <c:pt idx="115">
                  <c:v>74.239999999999995</c:v>
                </c:pt>
                <c:pt idx="116">
                  <c:v>74.53</c:v>
                </c:pt>
                <c:pt idx="117">
                  <c:v>74.83</c:v>
                </c:pt>
                <c:pt idx="118">
                  <c:v>75.19</c:v>
                </c:pt>
                <c:pt idx="119">
                  <c:v>75.540000000000006</c:v>
                </c:pt>
                <c:pt idx="120">
                  <c:v>75.89</c:v>
                </c:pt>
                <c:pt idx="121">
                  <c:v>76.239999999999995</c:v>
                </c:pt>
                <c:pt idx="122">
                  <c:v>76.569999999999993</c:v>
                </c:pt>
                <c:pt idx="123">
                  <c:v>76.83</c:v>
                </c:pt>
                <c:pt idx="124">
                  <c:v>77.14</c:v>
                </c:pt>
                <c:pt idx="125">
                  <c:v>77.45</c:v>
                </c:pt>
                <c:pt idx="126">
                  <c:v>77.88</c:v>
                </c:pt>
                <c:pt idx="127">
                  <c:v>78.16</c:v>
                </c:pt>
                <c:pt idx="128">
                  <c:v>78.489999999999995</c:v>
                </c:pt>
                <c:pt idx="129">
                  <c:v>78.86</c:v>
                </c:pt>
                <c:pt idx="130">
                  <c:v>79.209999999999994</c:v>
                </c:pt>
                <c:pt idx="131">
                  <c:v>79.569999999999993</c:v>
                </c:pt>
                <c:pt idx="132">
                  <c:v>79.92</c:v>
                </c:pt>
                <c:pt idx="133">
                  <c:v>80.180000000000007</c:v>
                </c:pt>
                <c:pt idx="134">
                  <c:v>80.52</c:v>
                </c:pt>
                <c:pt idx="135">
                  <c:v>80.819999999999993</c:v>
                </c:pt>
                <c:pt idx="136">
                  <c:v>81.08</c:v>
                </c:pt>
                <c:pt idx="137">
                  <c:v>81.180000000000007</c:v>
                </c:pt>
                <c:pt idx="138">
                  <c:v>81.14</c:v>
                </c:pt>
                <c:pt idx="139">
                  <c:v>81.13</c:v>
                </c:pt>
                <c:pt idx="140">
                  <c:v>81.069999999999993</c:v>
                </c:pt>
                <c:pt idx="141">
                  <c:v>80.97</c:v>
                </c:pt>
                <c:pt idx="142">
                  <c:v>80.92</c:v>
                </c:pt>
                <c:pt idx="143">
                  <c:v>80.88</c:v>
                </c:pt>
                <c:pt idx="144">
                  <c:v>80.77</c:v>
                </c:pt>
                <c:pt idx="145">
                  <c:v>80.73</c:v>
                </c:pt>
                <c:pt idx="146">
                  <c:v>80.7</c:v>
                </c:pt>
                <c:pt idx="147">
                  <c:v>80.67</c:v>
                </c:pt>
                <c:pt idx="148">
                  <c:v>80.64</c:v>
                </c:pt>
                <c:pt idx="149">
                  <c:v>80.63</c:v>
                </c:pt>
                <c:pt idx="150">
                  <c:v>80.61</c:v>
                </c:pt>
                <c:pt idx="151">
                  <c:v>80.599999999999994</c:v>
                </c:pt>
                <c:pt idx="152">
                  <c:v>80.56</c:v>
                </c:pt>
                <c:pt idx="153">
                  <c:v>80.58</c:v>
                </c:pt>
                <c:pt idx="154">
                  <c:v>80.569999999999993</c:v>
                </c:pt>
                <c:pt idx="155">
                  <c:v>80.66</c:v>
                </c:pt>
                <c:pt idx="156">
                  <c:v>80.62</c:v>
                </c:pt>
                <c:pt idx="157">
                  <c:v>80.59</c:v>
                </c:pt>
                <c:pt idx="158">
                  <c:v>80.55</c:v>
                </c:pt>
                <c:pt idx="159">
                  <c:v>80.650000000000006</c:v>
                </c:pt>
                <c:pt idx="160">
                  <c:v>80.599999999999994</c:v>
                </c:pt>
                <c:pt idx="161">
                  <c:v>80.569999999999993</c:v>
                </c:pt>
                <c:pt idx="162">
                  <c:v>80.63</c:v>
                </c:pt>
                <c:pt idx="163">
                  <c:v>80.64</c:v>
                </c:pt>
                <c:pt idx="164">
                  <c:v>80.599999999999994</c:v>
                </c:pt>
                <c:pt idx="165">
                  <c:v>80.540000000000006</c:v>
                </c:pt>
                <c:pt idx="166">
                  <c:v>80.569999999999993</c:v>
                </c:pt>
                <c:pt idx="167">
                  <c:v>80.599999999999994</c:v>
                </c:pt>
                <c:pt idx="168">
                  <c:v>80.59</c:v>
                </c:pt>
                <c:pt idx="169">
                  <c:v>80.52</c:v>
                </c:pt>
                <c:pt idx="170">
                  <c:v>80.62</c:v>
                </c:pt>
                <c:pt idx="171">
                  <c:v>80.62</c:v>
                </c:pt>
                <c:pt idx="172">
                  <c:v>80.62</c:v>
                </c:pt>
                <c:pt idx="173">
                  <c:v>80.63</c:v>
                </c:pt>
                <c:pt idx="174">
                  <c:v>80.650000000000006</c:v>
                </c:pt>
              </c:numCache>
            </c:numRef>
          </c:val>
          <c:smooth val="0"/>
          <c:extLst>
            <c:ext xmlns:c16="http://schemas.microsoft.com/office/drawing/2014/chart" uri="{C3380CC4-5D6E-409C-BE32-E72D297353CC}">
              <c16:uniqueId val="{00000001-55EA-4FD2-9285-08332D6C7150}"/>
            </c:ext>
          </c:extLst>
        </c:ser>
        <c:ser>
          <c:idx val="2"/>
          <c:order val="2"/>
          <c:tx>
            <c:strRef>
              <c:f>'transfert 80'!$D$1</c:f>
              <c:strCache>
                <c:ptCount val="1"/>
                <c:pt idx="0">
                  <c:v>Connecteur 3</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80'!$D$2:$D$176</c:f>
              <c:numCache>
                <c:formatCode>General</c:formatCode>
                <c:ptCount val="175"/>
                <c:pt idx="0">
                  <c:v>41.19</c:v>
                </c:pt>
                <c:pt idx="1">
                  <c:v>41.53</c:v>
                </c:pt>
                <c:pt idx="2">
                  <c:v>41.69</c:v>
                </c:pt>
                <c:pt idx="3">
                  <c:v>41.83</c:v>
                </c:pt>
                <c:pt idx="4">
                  <c:v>42</c:v>
                </c:pt>
                <c:pt idx="5">
                  <c:v>42.06</c:v>
                </c:pt>
                <c:pt idx="6">
                  <c:v>42.26</c:v>
                </c:pt>
                <c:pt idx="7">
                  <c:v>42.38</c:v>
                </c:pt>
                <c:pt idx="8">
                  <c:v>42.46</c:v>
                </c:pt>
                <c:pt idx="9">
                  <c:v>42.62</c:v>
                </c:pt>
                <c:pt idx="10">
                  <c:v>42.71</c:v>
                </c:pt>
                <c:pt idx="11">
                  <c:v>42.82</c:v>
                </c:pt>
                <c:pt idx="12">
                  <c:v>42.93</c:v>
                </c:pt>
                <c:pt idx="13">
                  <c:v>43.05</c:v>
                </c:pt>
                <c:pt idx="14">
                  <c:v>43.16</c:v>
                </c:pt>
                <c:pt idx="15">
                  <c:v>43.26</c:v>
                </c:pt>
                <c:pt idx="16">
                  <c:v>43.35</c:v>
                </c:pt>
                <c:pt idx="17">
                  <c:v>43.49</c:v>
                </c:pt>
                <c:pt idx="18">
                  <c:v>43.57</c:v>
                </c:pt>
                <c:pt idx="19">
                  <c:v>43.67</c:v>
                </c:pt>
                <c:pt idx="20">
                  <c:v>43.78</c:v>
                </c:pt>
                <c:pt idx="21">
                  <c:v>43.87</c:v>
                </c:pt>
                <c:pt idx="22">
                  <c:v>43.93</c:v>
                </c:pt>
                <c:pt idx="23">
                  <c:v>44.01</c:v>
                </c:pt>
                <c:pt idx="24">
                  <c:v>44.09</c:v>
                </c:pt>
                <c:pt idx="25">
                  <c:v>44.2</c:v>
                </c:pt>
                <c:pt idx="26">
                  <c:v>44.29</c:v>
                </c:pt>
                <c:pt idx="27">
                  <c:v>44.39</c:v>
                </c:pt>
                <c:pt idx="28">
                  <c:v>44.47</c:v>
                </c:pt>
                <c:pt idx="29">
                  <c:v>44.52</c:v>
                </c:pt>
                <c:pt idx="30">
                  <c:v>44.63</c:v>
                </c:pt>
                <c:pt idx="31">
                  <c:v>44.67</c:v>
                </c:pt>
                <c:pt idx="32">
                  <c:v>44.78</c:v>
                </c:pt>
                <c:pt idx="33">
                  <c:v>44.87</c:v>
                </c:pt>
                <c:pt idx="34">
                  <c:v>44.91</c:v>
                </c:pt>
                <c:pt idx="35">
                  <c:v>45.01</c:v>
                </c:pt>
                <c:pt idx="36">
                  <c:v>45.1</c:v>
                </c:pt>
                <c:pt idx="37">
                  <c:v>45.16</c:v>
                </c:pt>
                <c:pt idx="38">
                  <c:v>45.24</c:v>
                </c:pt>
                <c:pt idx="39">
                  <c:v>45.29</c:v>
                </c:pt>
                <c:pt idx="40">
                  <c:v>45.37</c:v>
                </c:pt>
                <c:pt idx="41">
                  <c:v>45.47</c:v>
                </c:pt>
                <c:pt idx="42">
                  <c:v>45.54</c:v>
                </c:pt>
                <c:pt idx="43">
                  <c:v>45.61</c:v>
                </c:pt>
                <c:pt idx="44">
                  <c:v>45.67</c:v>
                </c:pt>
                <c:pt idx="45">
                  <c:v>45.74</c:v>
                </c:pt>
                <c:pt idx="46">
                  <c:v>45.76</c:v>
                </c:pt>
                <c:pt idx="47">
                  <c:v>45.84</c:v>
                </c:pt>
                <c:pt idx="48">
                  <c:v>45.93</c:v>
                </c:pt>
                <c:pt idx="49">
                  <c:v>45.98</c:v>
                </c:pt>
                <c:pt idx="50">
                  <c:v>46.06</c:v>
                </c:pt>
                <c:pt idx="51">
                  <c:v>46.08</c:v>
                </c:pt>
                <c:pt idx="52">
                  <c:v>46.36</c:v>
                </c:pt>
                <c:pt idx="53">
                  <c:v>47.11</c:v>
                </c:pt>
                <c:pt idx="54">
                  <c:v>48.24</c:v>
                </c:pt>
                <c:pt idx="55">
                  <c:v>49.61</c:v>
                </c:pt>
                <c:pt idx="56">
                  <c:v>50.84</c:v>
                </c:pt>
                <c:pt idx="57">
                  <c:v>52.06</c:v>
                </c:pt>
                <c:pt idx="58">
                  <c:v>53.13</c:v>
                </c:pt>
                <c:pt idx="59">
                  <c:v>54.11</c:v>
                </c:pt>
                <c:pt idx="60">
                  <c:v>54.95</c:v>
                </c:pt>
                <c:pt idx="61">
                  <c:v>55.66</c:v>
                </c:pt>
                <c:pt idx="62">
                  <c:v>56.28</c:v>
                </c:pt>
                <c:pt idx="63">
                  <c:v>56.82</c:v>
                </c:pt>
                <c:pt idx="64">
                  <c:v>57.27</c:v>
                </c:pt>
                <c:pt idx="65">
                  <c:v>57.78</c:v>
                </c:pt>
                <c:pt idx="66">
                  <c:v>58.11</c:v>
                </c:pt>
                <c:pt idx="67">
                  <c:v>58.46</c:v>
                </c:pt>
                <c:pt idx="68">
                  <c:v>58.83</c:v>
                </c:pt>
                <c:pt idx="69">
                  <c:v>59.19</c:v>
                </c:pt>
                <c:pt idx="70">
                  <c:v>59.48</c:v>
                </c:pt>
                <c:pt idx="71">
                  <c:v>59.75</c:v>
                </c:pt>
                <c:pt idx="72">
                  <c:v>60.08</c:v>
                </c:pt>
                <c:pt idx="73">
                  <c:v>60.37</c:v>
                </c:pt>
                <c:pt idx="74">
                  <c:v>60.72</c:v>
                </c:pt>
                <c:pt idx="75">
                  <c:v>60.97</c:v>
                </c:pt>
                <c:pt idx="76">
                  <c:v>61.28</c:v>
                </c:pt>
                <c:pt idx="77">
                  <c:v>61.67</c:v>
                </c:pt>
                <c:pt idx="78">
                  <c:v>61.96</c:v>
                </c:pt>
                <c:pt idx="79">
                  <c:v>62.32</c:v>
                </c:pt>
                <c:pt idx="80">
                  <c:v>62.62</c:v>
                </c:pt>
                <c:pt idx="81">
                  <c:v>62.96</c:v>
                </c:pt>
                <c:pt idx="82">
                  <c:v>63.23</c:v>
                </c:pt>
                <c:pt idx="83">
                  <c:v>63.56</c:v>
                </c:pt>
                <c:pt idx="84">
                  <c:v>63.89</c:v>
                </c:pt>
                <c:pt idx="85">
                  <c:v>64.25</c:v>
                </c:pt>
                <c:pt idx="86">
                  <c:v>64.52</c:v>
                </c:pt>
                <c:pt idx="87">
                  <c:v>64.86</c:v>
                </c:pt>
                <c:pt idx="88">
                  <c:v>65.19</c:v>
                </c:pt>
                <c:pt idx="89">
                  <c:v>65.52</c:v>
                </c:pt>
                <c:pt idx="90">
                  <c:v>65.87</c:v>
                </c:pt>
                <c:pt idx="91">
                  <c:v>66.17</c:v>
                </c:pt>
                <c:pt idx="92">
                  <c:v>66.56</c:v>
                </c:pt>
                <c:pt idx="93">
                  <c:v>66.84</c:v>
                </c:pt>
                <c:pt idx="94">
                  <c:v>67.25</c:v>
                </c:pt>
                <c:pt idx="95">
                  <c:v>67.53</c:v>
                </c:pt>
                <c:pt idx="96">
                  <c:v>67.81</c:v>
                </c:pt>
                <c:pt idx="97">
                  <c:v>68.150000000000006</c:v>
                </c:pt>
                <c:pt idx="98">
                  <c:v>68.489999999999995</c:v>
                </c:pt>
                <c:pt idx="99">
                  <c:v>68.88</c:v>
                </c:pt>
                <c:pt idx="100">
                  <c:v>69.17</c:v>
                </c:pt>
                <c:pt idx="101">
                  <c:v>69.48</c:v>
                </c:pt>
                <c:pt idx="102">
                  <c:v>69.83</c:v>
                </c:pt>
                <c:pt idx="103">
                  <c:v>70.09</c:v>
                </c:pt>
                <c:pt idx="104">
                  <c:v>70.5</c:v>
                </c:pt>
                <c:pt idx="105">
                  <c:v>70.84</c:v>
                </c:pt>
                <c:pt idx="106">
                  <c:v>71.180000000000007</c:v>
                </c:pt>
                <c:pt idx="107">
                  <c:v>71.510000000000005</c:v>
                </c:pt>
                <c:pt idx="108">
                  <c:v>71.84</c:v>
                </c:pt>
                <c:pt idx="109">
                  <c:v>72.2</c:v>
                </c:pt>
                <c:pt idx="110">
                  <c:v>72.53</c:v>
                </c:pt>
                <c:pt idx="111">
                  <c:v>72.84</c:v>
                </c:pt>
                <c:pt idx="112">
                  <c:v>73.2</c:v>
                </c:pt>
                <c:pt idx="113">
                  <c:v>73.52</c:v>
                </c:pt>
                <c:pt idx="114">
                  <c:v>73.849999999999994</c:v>
                </c:pt>
                <c:pt idx="115">
                  <c:v>74.14</c:v>
                </c:pt>
                <c:pt idx="116">
                  <c:v>74.459999999999994</c:v>
                </c:pt>
                <c:pt idx="117">
                  <c:v>74.790000000000006</c:v>
                </c:pt>
                <c:pt idx="118">
                  <c:v>75.14</c:v>
                </c:pt>
                <c:pt idx="119">
                  <c:v>75.47</c:v>
                </c:pt>
                <c:pt idx="120">
                  <c:v>75.81</c:v>
                </c:pt>
                <c:pt idx="121">
                  <c:v>76.16</c:v>
                </c:pt>
                <c:pt idx="122">
                  <c:v>76.48</c:v>
                </c:pt>
                <c:pt idx="123">
                  <c:v>76.790000000000006</c:v>
                </c:pt>
                <c:pt idx="124">
                  <c:v>77.08</c:v>
                </c:pt>
                <c:pt idx="125">
                  <c:v>77.45</c:v>
                </c:pt>
                <c:pt idx="126">
                  <c:v>77.790000000000006</c:v>
                </c:pt>
                <c:pt idx="127">
                  <c:v>78.13</c:v>
                </c:pt>
                <c:pt idx="128">
                  <c:v>78.44</c:v>
                </c:pt>
                <c:pt idx="129">
                  <c:v>78.790000000000006</c:v>
                </c:pt>
                <c:pt idx="130">
                  <c:v>79.14</c:v>
                </c:pt>
                <c:pt idx="131">
                  <c:v>79.510000000000005</c:v>
                </c:pt>
                <c:pt idx="132">
                  <c:v>79.86</c:v>
                </c:pt>
                <c:pt idx="133">
                  <c:v>80.14</c:v>
                </c:pt>
                <c:pt idx="134">
                  <c:v>80.47</c:v>
                </c:pt>
                <c:pt idx="135">
                  <c:v>80.790000000000006</c:v>
                </c:pt>
                <c:pt idx="136">
                  <c:v>81</c:v>
                </c:pt>
                <c:pt idx="137">
                  <c:v>81.09</c:v>
                </c:pt>
                <c:pt idx="138">
                  <c:v>81.069999999999993</c:v>
                </c:pt>
                <c:pt idx="139">
                  <c:v>81.040000000000006</c:v>
                </c:pt>
                <c:pt idx="140">
                  <c:v>81.010000000000005</c:v>
                </c:pt>
                <c:pt idx="141">
                  <c:v>80.86</c:v>
                </c:pt>
                <c:pt idx="142">
                  <c:v>80.86</c:v>
                </c:pt>
                <c:pt idx="143">
                  <c:v>80.75</c:v>
                </c:pt>
                <c:pt idx="144">
                  <c:v>80.680000000000007</c:v>
                </c:pt>
                <c:pt idx="145">
                  <c:v>80.69</c:v>
                </c:pt>
                <c:pt idx="146">
                  <c:v>80.62</c:v>
                </c:pt>
                <c:pt idx="147">
                  <c:v>80.61</c:v>
                </c:pt>
                <c:pt idx="148">
                  <c:v>80.55</c:v>
                </c:pt>
                <c:pt idx="149">
                  <c:v>80.569999999999993</c:v>
                </c:pt>
                <c:pt idx="150">
                  <c:v>80.510000000000005</c:v>
                </c:pt>
                <c:pt idx="151">
                  <c:v>80.489999999999995</c:v>
                </c:pt>
                <c:pt idx="152">
                  <c:v>80.459999999999994</c:v>
                </c:pt>
                <c:pt idx="153">
                  <c:v>80.53</c:v>
                </c:pt>
                <c:pt idx="154">
                  <c:v>80.56</c:v>
                </c:pt>
                <c:pt idx="155">
                  <c:v>80.56</c:v>
                </c:pt>
                <c:pt idx="156">
                  <c:v>80.540000000000006</c:v>
                </c:pt>
                <c:pt idx="157">
                  <c:v>80.489999999999995</c:v>
                </c:pt>
                <c:pt idx="158">
                  <c:v>80.53</c:v>
                </c:pt>
                <c:pt idx="159">
                  <c:v>80.53</c:v>
                </c:pt>
                <c:pt idx="160">
                  <c:v>80.55</c:v>
                </c:pt>
                <c:pt idx="161">
                  <c:v>80.510000000000005</c:v>
                </c:pt>
                <c:pt idx="162">
                  <c:v>80.540000000000006</c:v>
                </c:pt>
                <c:pt idx="163">
                  <c:v>80.55</c:v>
                </c:pt>
                <c:pt idx="164">
                  <c:v>80.53</c:v>
                </c:pt>
                <c:pt idx="165">
                  <c:v>80.44</c:v>
                </c:pt>
                <c:pt idx="166">
                  <c:v>80.489999999999995</c:v>
                </c:pt>
                <c:pt idx="167">
                  <c:v>80.52</c:v>
                </c:pt>
                <c:pt idx="168">
                  <c:v>80.52</c:v>
                </c:pt>
                <c:pt idx="169">
                  <c:v>80.47</c:v>
                </c:pt>
                <c:pt idx="170">
                  <c:v>80.55</c:v>
                </c:pt>
                <c:pt idx="171">
                  <c:v>80.55</c:v>
                </c:pt>
                <c:pt idx="172">
                  <c:v>80.55</c:v>
                </c:pt>
                <c:pt idx="173">
                  <c:v>80.55</c:v>
                </c:pt>
                <c:pt idx="174">
                  <c:v>80.55</c:v>
                </c:pt>
              </c:numCache>
            </c:numRef>
          </c:val>
          <c:smooth val="0"/>
          <c:extLst>
            <c:ext xmlns:c16="http://schemas.microsoft.com/office/drawing/2014/chart" uri="{C3380CC4-5D6E-409C-BE32-E72D297353CC}">
              <c16:uniqueId val="{00000002-55EA-4FD2-9285-08332D6C7150}"/>
            </c:ext>
          </c:extLst>
        </c:ser>
        <c:ser>
          <c:idx val="3"/>
          <c:order val="3"/>
          <c:tx>
            <c:strRef>
              <c:f>'transfert 80'!$E$1</c:f>
              <c:strCache>
                <c:ptCount val="1"/>
                <c:pt idx="0">
                  <c:v>Connecteur 4</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80'!$E$2:$E$176</c:f>
              <c:numCache>
                <c:formatCode>General</c:formatCode>
                <c:ptCount val="175"/>
                <c:pt idx="0">
                  <c:v>41.35</c:v>
                </c:pt>
                <c:pt idx="1">
                  <c:v>41.66</c:v>
                </c:pt>
                <c:pt idx="2">
                  <c:v>41.82</c:v>
                </c:pt>
                <c:pt idx="3">
                  <c:v>41.95</c:v>
                </c:pt>
                <c:pt idx="4">
                  <c:v>42.15</c:v>
                </c:pt>
                <c:pt idx="5">
                  <c:v>42.22</c:v>
                </c:pt>
                <c:pt idx="6">
                  <c:v>42.39</c:v>
                </c:pt>
                <c:pt idx="7">
                  <c:v>42.49</c:v>
                </c:pt>
                <c:pt idx="8">
                  <c:v>42.57</c:v>
                </c:pt>
                <c:pt idx="9">
                  <c:v>42.76</c:v>
                </c:pt>
                <c:pt idx="10">
                  <c:v>42.81</c:v>
                </c:pt>
                <c:pt idx="11">
                  <c:v>42.94</c:v>
                </c:pt>
                <c:pt idx="12">
                  <c:v>43.06</c:v>
                </c:pt>
                <c:pt idx="13">
                  <c:v>43.21</c:v>
                </c:pt>
                <c:pt idx="14">
                  <c:v>43.31</c:v>
                </c:pt>
                <c:pt idx="15">
                  <c:v>43.41</c:v>
                </c:pt>
                <c:pt idx="16">
                  <c:v>43.5</c:v>
                </c:pt>
                <c:pt idx="17">
                  <c:v>43.62</c:v>
                </c:pt>
                <c:pt idx="18">
                  <c:v>43.7</c:v>
                </c:pt>
                <c:pt idx="19">
                  <c:v>43.79</c:v>
                </c:pt>
                <c:pt idx="20">
                  <c:v>43.9</c:v>
                </c:pt>
                <c:pt idx="21">
                  <c:v>44</c:v>
                </c:pt>
                <c:pt idx="22">
                  <c:v>44.05</c:v>
                </c:pt>
                <c:pt idx="23">
                  <c:v>44.17</c:v>
                </c:pt>
                <c:pt idx="24">
                  <c:v>44.22</c:v>
                </c:pt>
                <c:pt idx="25">
                  <c:v>44.32</c:v>
                </c:pt>
                <c:pt idx="26">
                  <c:v>44.43</c:v>
                </c:pt>
                <c:pt idx="27">
                  <c:v>44.48</c:v>
                </c:pt>
                <c:pt idx="28">
                  <c:v>44.6</c:v>
                </c:pt>
                <c:pt idx="29">
                  <c:v>44.63</c:v>
                </c:pt>
                <c:pt idx="30">
                  <c:v>44.72</c:v>
                </c:pt>
                <c:pt idx="31">
                  <c:v>44.8</c:v>
                </c:pt>
                <c:pt idx="32">
                  <c:v>44.87</c:v>
                </c:pt>
                <c:pt idx="33">
                  <c:v>44.99</c:v>
                </c:pt>
                <c:pt idx="34">
                  <c:v>45.03</c:v>
                </c:pt>
                <c:pt idx="35">
                  <c:v>45.12</c:v>
                </c:pt>
                <c:pt idx="36">
                  <c:v>45.19</c:v>
                </c:pt>
                <c:pt idx="37">
                  <c:v>45.26</c:v>
                </c:pt>
                <c:pt idx="38">
                  <c:v>45.35</c:v>
                </c:pt>
                <c:pt idx="39">
                  <c:v>45.42</c:v>
                </c:pt>
                <c:pt idx="40">
                  <c:v>45.46</c:v>
                </c:pt>
                <c:pt idx="41">
                  <c:v>45.57</c:v>
                </c:pt>
                <c:pt idx="42">
                  <c:v>45.61</c:v>
                </c:pt>
                <c:pt idx="43">
                  <c:v>45.72</c:v>
                </c:pt>
                <c:pt idx="44">
                  <c:v>45.74</c:v>
                </c:pt>
                <c:pt idx="45">
                  <c:v>45.81</c:v>
                </c:pt>
                <c:pt idx="46">
                  <c:v>45.86</c:v>
                </c:pt>
                <c:pt idx="47">
                  <c:v>45.95</c:v>
                </c:pt>
                <c:pt idx="48">
                  <c:v>45.97</c:v>
                </c:pt>
                <c:pt idx="49">
                  <c:v>46.08</c:v>
                </c:pt>
                <c:pt idx="50">
                  <c:v>46.15</c:v>
                </c:pt>
                <c:pt idx="51">
                  <c:v>46.2</c:v>
                </c:pt>
                <c:pt idx="52">
                  <c:v>46.5</c:v>
                </c:pt>
                <c:pt idx="53">
                  <c:v>47.33</c:v>
                </c:pt>
                <c:pt idx="54">
                  <c:v>48.63</c:v>
                </c:pt>
                <c:pt idx="55">
                  <c:v>50.03</c:v>
                </c:pt>
                <c:pt idx="56">
                  <c:v>51.45</c:v>
                </c:pt>
                <c:pt idx="57">
                  <c:v>52.76</c:v>
                </c:pt>
                <c:pt idx="58">
                  <c:v>54.01</c:v>
                </c:pt>
                <c:pt idx="59">
                  <c:v>54.99</c:v>
                </c:pt>
                <c:pt idx="60">
                  <c:v>55.79</c:v>
                </c:pt>
                <c:pt idx="61">
                  <c:v>56.51</c:v>
                </c:pt>
                <c:pt idx="62">
                  <c:v>57.12</c:v>
                </c:pt>
                <c:pt idx="63">
                  <c:v>57.6</c:v>
                </c:pt>
                <c:pt idx="64">
                  <c:v>58.09</c:v>
                </c:pt>
                <c:pt idx="65">
                  <c:v>58.48</c:v>
                </c:pt>
                <c:pt idx="66">
                  <c:v>58.85</c:v>
                </c:pt>
                <c:pt idx="67">
                  <c:v>59.25</c:v>
                </c:pt>
                <c:pt idx="68">
                  <c:v>59.58</c:v>
                </c:pt>
                <c:pt idx="69">
                  <c:v>59.83</c:v>
                </c:pt>
                <c:pt idx="70">
                  <c:v>60.07</c:v>
                </c:pt>
                <c:pt idx="71">
                  <c:v>60.37</c:v>
                </c:pt>
                <c:pt idx="72">
                  <c:v>60.66</c:v>
                </c:pt>
                <c:pt idx="73">
                  <c:v>60.96</c:v>
                </c:pt>
                <c:pt idx="74">
                  <c:v>61.27</c:v>
                </c:pt>
                <c:pt idx="75">
                  <c:v>61.5</c:v>
                </c:pt>
                <c:pt idx="76">
                  <c:v>61.84</c:v>
                </c:pt>
                <c:pt idx="77">
                  <c:v>62.18</c:v>
                </c:pt>
                <c:pt idx="78">
                  <c:v>62.5</c:v>
                </c:pt>
                <c:pt idx="79">
                  <c:v>62.79</c:v>
                </c:pt>
                <c:pt idx="80">
                  <c:v>63.13</c:v>
                </c:pt>
                <c:pt idx="81">
                  <c:v>63.44</c:v>
                </c:pt>
                <c:pt idx="82">
                  <c:v>63.75</c:v>
                </c:pt>
                <c:pt idx="83">
                  <c:v>64.03</c:v>
                </c:pt>
                <c:pt idx="84">
                  <c:v>64.349999999999994</c:v>
                </c:pt>
                <c:pt idx="85">
                  <c:v>64.680000000000007</c:v>
                </c:pt>
                <c:pt idx="86">
                  <c:v>64.989999999999995</c:v>
                </c:pt>
                <c:pt idx="87">
                  <c:v>65.349999999999994</c:v>
                </c:pt>
                <c:pt idx="88">
                  <c:v>65.66</c:v>
                </c:pt>
                <c:pt idx="89">
                  <c:v>65.959999999999994</c:v>
                </c:pt>
                <c:pt idx="90">
                  <c:v>66.31</c:v>
                </c:pt>
                <c:pt idx="91">
                  <c:v>66.66</c:v>
                </c:pt>
                <c:pt idx="92">
                  <c:v>66.989999999999995</c:v>
                </c:pt>
                <c:pt idx="93">
                  <c:v>67.260000000000005</c:v>
                </c:pt>
                <c:pt idx="94">
                  <c:v>67.67</c:v>
                </c:pt>
                <c:pt idx="95">
                  <c:v>67.959999999999994</c:v>
                </c:pt>
                <c:pt idx="96">
                  <c:v>68.3</c:v>
                </c:pt>
                <c:pt idx="97">
                  <c:v>68.64</c:v>
                </c:pt>
                <c:pt idx="98">
                  <c:v>68.94</c:v>
                </c:pt>
                <c:pt idx="99">
                  <c:v>69.34</c:v>
                </c:pt>
                <c:pt idx="100">
                  <c:v>69.63</c:v>
                </c:pt>
                <c:pt idx="101">
                  <c:v>69.92</c:v>
                </c:pt>
                <c:pt idx="102">
                  <c:v>70.31</c:v>
                </c:pt>
                <c:pt idx="103">
                  <c:v>70.55</c:v>
                </c:pt>
                <c:pt idx="104">
                  <c:v>70.92</c:v>
                </c:pt>
                <c:pt idx="105">
                  <c:v>71.23</c:v>
                </c:pt>
                <c:pt idx="106">
                  <c:v>71.64</c:v>
                </c:pt>
                <c:pt idx="107">
                  <c:v>71.930000000000007</c:v>
                </c:pt>
                <c:pt idx="108">
                  <c:v>72.319999999999993</c:v>
                </c:pt>
                <c:pt idx="109">
                  <c:v>72.680000000000007</c:v>
                </c:pt>
                <c:pt idx="110">
                  <c:v>73.010000000000005</c:v>
                </c:pt>
                <c:pt idx="111">
                  <c:v>73.34</c:v>
                </c:pt>
                <c:pt idx="112">
                  <c:v>73.680000000000007</c:v>
                </c:pt>
                <c:pt idx="113">
                  <c:v>73.98</c:v>
                </c:pt>
                <c:pt idx="114">
                  <c:v>74.3</c:v>
                </c:pt>
                <c:pt idx="115">
                  <c:v>74.599999999999994</c:v>
                </c:pt>
                <c:pt idx="116">
                  <c:v>74.900000000000006</c:v>
                </c:pt>
                <c:pt idx="117">
                  <c:v>75.260000000000005</c:v>
                </c:pt>
                <c:pt idx="118">
                  <c:v>75.59</c:v>
                </c:pt>
                <c:pt idx="119">
                  <c:v>75.959999999999994</c:v>
                </c:pt>
                <c:pt idx="120">
                  <c:v>76.290000000000006</c:v>
                </c:pt>
                <c:pt idx="121">
                  <c:v>76.62</c:v>
                </c:pt>
                <c:pt idx="122">
                  <c:v>76.95</c:v>
                </c:pt>
                <c:pt idx="123">
                  <c:v>77.28</c:v>
                </c:pt>
                <c:pt idx="124">
                  <c:v>77.56</c:v>
                </c:pt>
                <c:pt idx="125">
                  <c:v>77.92</c:v>
                </c:pt>
                <c:pt idx="126">
                  <c:v>78.33</c:v>
                </c:pt>
                <c:pt idx="127">
                  <c:v>78.59</c:v>
                </c:pt>
                <c:pt idx="128">
                  <c:v>78.92</c:v>
                </c:pt>
                <c:pt idx="129">
                  <c:v>79.27</c:v>
                </c:pt>
                <c:pt idx="130">
                  <c:v>79.66</c:v>
                </c:pt>
                <c:pt idx="131">
                  <c:v>79.98</c:v>
                </c:pt>
                <c:pt idx="132">
                  <c:v>80.349999999999994</c:v>
                </c:pt>
                <c:pt idx="133">
                  <c:v>80.650000000000006</c:v>
                </c:pt>
                <c:pt idx="134">
                  <c:v>81</c:v>
                </c:pt>
                <c:pt idx="135">
                  <c:v>81.31</c:v>
                </c:pt>
                <c:pt idx="136">
                  <c:v>81.47</c:v>
                </c:pt>
                <c:pt idx="137">
                  <c:v>81.47</c:v>
                </c:pt>
                <c:pt idx="138">
                  <c:v>81.48</c:v>
                </c:pt>
                <c:pt idx="139">
                  <c:v>81.400000000000006</c:v>
                </c:pt>
                <c:pt idx="140">
                  <c:v>81.28</c:v>
                </c:pt>
                <c:pt idx="141">
                  <c:v>81.12</c:v>
                </c:pt>
                <c:pt idx="142">
                  <c:v>81.06</c:v>
                </c:pt>
                <c:pt idx="143">
                  <c:v>80.989999999999995</c:v>
                </c:pt>
                <c:pt idx="144">
                  <c:v>80.88</c:v>
                </c:pt>
                <c:pt idx="145">
                  <c:v>80.83</c:v>
                </c:pt>
                <c:pt idx="146">
                  <c:v>80.739999999999995</c:v>
                </c:pt>
                <c:pt idx="147">
                  <c:v>80.73</c:v>
                </c:pt>
                <c:pt idx="148">
                  <c:v>80.72</c:v>
                </c:pt>
                <c:pt idx="149">
                  <c:v>80.680000000000007</c:v>
                </c:pt>
                <c:pt idx="150">
                  <c:v>80.650000000000006</c:v>
                </c:pt>
                <c:pt idx="151">
                  <c:v>80.62</c:v>
                </c:pt>
                <c:pt idx="152">
                  <c:v>80.58</c:v>
                </c:pt>
                <c:pt idx="153">
                  <c:v>80.599999999999994</c:v>
                </c:pt>
                <c:pt idx="154">
                  <c:v>80.650000000000006</c:v>
                </c:pt>
                <c:pt idx="155">
                  <c:v>80.67</c:v>
                </c:pt>
                <c:pt idx="156">
                  <c:v>80.59</c:v>
                </c:pt>
                <c:pt idx="157">
                  <c:v>80.56</c:v>
                </c:pt>
                <c:pt idx="158">
                  <c:v>80.61</c:v>
                </c:pt>
                <c:pt idx="159">
                  <c:v>80.599999999999994</c:v>
                </c:pt>
                <c:pt idx="160">
                  <c:v>80.599999999999994</c:v>
                </c:pt>
                <c:pt idx="161">
                  <c:v>80.59</c:v>
                </c:pt>
                <c:pt idx="162">
                  <c:v>80.64</c:v>
                </c:pt>
                <c:pt idx="163">
                  <c:v>80.599999999999994</c:v>
                </c:pt>
                <c:pt idx="164">
                  <c:v>80.55</c:v>
                </c:pt>
                <c:pt idx="165">
                  <c:v>80.52</c:v>
                </c:pt>
                <c:pt idx="166">
                  <c:v>80.55</c:v>
                </c:pt>
                <c:pt idx="167">
                  <c:v>80.59</c:v>
                </c:pt>
                <c:pt idx="168">
                  <c:v>80.62</c:v>
                </c:pt>
                <c:pt idx="169">
                  <c:v>80.489999999999995</c:v>
                </c:pt>
                <c:pt idx="170">
                  <c:v>80.62</c:v>
                </c:pt>
                <c:pt idx="171">
                  <c:v>80.61</c:v>
                </c:pt>
                <c:pt idx="172">
                  <c:v>80.64</c:v>
                </c:pt>
                <c:pt idx="173">
                  <c:v>80.61</c:v>
                </c:pt>
                <c:pt idx="174">
                  <c:v>80.599999999999994</c:v>
                </c:pt>
              </c:numCache>
            </c:numRef>
          </c:val>
          <c:smooth val="0"/>
          <c:extLst>
            <c:ext xmlns:c16="http://schemas.microsoft.com/office/drawing/2014/chart" uri="{C3380CC4-5D6E-409C-BE32-E72D297353CC}">
              <c16:uniqueId val="{00000003-55EA-4FD2-9285-08332D6C7150}"/>
            </c:ext>
          </c:extLst>
        </c:ser>
        <c:ser>
          <c:idx val="4"/>
          <c:order val="4"/>
          <c:tx>
            <c:strRef>
              <c:f>'transfert 80'!$F$1</c:f>
              <c:strCache>
                <c:ptCount val="1"/>
                <c:pt idx="0">
                  <c:v>Connecteur 5</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80'!$F$2:$F$176</c:f>
              <c:numCache>
                <c:formatCode>General</c:formatCode>
                <c:ptCount val="175"/>
                <c:pt idx="0">
                  <c:v>41.22</c:v>
                </c:pt>
                <c:pt idx="1">
                  <c:v>41.69</c:v>
                </c:pt>
                <c:pt idx="2">
                  <c:v>41.75</c:v>
                </c:pt>
                <c:pt idx="3">
                  <c:v>41.95</c:v>
                </c:pt>
                <c:pt idx="4">
                  <c:v>42.13</c:v>
                </c:pt>
                <c:pt idx="5">
                  <c:v>42.17</c:v>
                </c:pt>
                <c:pt idx="6">
                  <c:v>42.35</c:v>
                </c:pt>
                <c:pt idx="7">
                  <c:v>42.47</c:v>
                </c:pt>
                <c:pt idx="8">
                  <c:v>42.54</c:v>
                </c:pt>
                <c:pt idx="9">
                  <c:v>42.69</c:v>
                </c:pt>
                <c:pt idx="10">
                  <c:v>42.87</c:v>
                </c:pt>
                <c:pt idx="11">
                  <c:v>42.96</c:v>
                </c:pt>
                <c:pt idx="12">
                  <c:v>43.07</c:v>
                </c:pt>
                <c:pt idx="13">
                  <c:v>43.18</c:v>
                </c:pt>
                <c:pt idx="14">
                  <c:v>43.24</c:v>
                </c:pt>
                <c:pt idx="15">
                  <c:v>43.37</c:v>
                </c:pt>
                <c:pt idx="16">
                  <c:v>43.47</c:v>
                </c:pt>
                <c:pt idx="17">
                  <c:v>43.54</c:v>
                </c:pt>
                <c:pt idx="18">
                  <c:v>43.65</c:v>
                </c:pt>
                <c:pt idx="19">
                  <c:v>43.7</c:v>
                </c:pt>
                <c:pt idx="20">
                  <c:v>43.82</c:v>
                </c:pt>
                <c:pt idx="21">
                  <c:v>43.97</c:v>
                </c:pt>
                <c:pt idx="22">
                  <c:v>44.01</c:v>
                </c:pt>
                <c:pt idx="23">
                  <c:v>44.14</c:v>
                </c:pt>
                <c:pt idx="24">
                  <c:v>44.19</c:v>
                </c:pt>
                <c:pt idx="25">
                  <c:v>44.27</c:v>
                </c:pt>
                <c:pt idx="26">
                  <c:v>44.43</c:v>
                </c:pt>
                <c:pt idx="27">
                  <c:v>44.47</c:v>
                </c:pt>
                <c:pt idx="28">
                  <c:v>44.56</c:v>
                </c:pt>
                <c:pt idx="29">
                  <c:v>44.62</c:v>
                </c:pt>
                <c:pt idx="30">
                  <c:v>44.73</c:v>
                </c:pt>
                <c:pt idx="31">
                  <c:v>44.78</c:v>
                </c:pt>
                <c:pt idx="32">
                  <c:v>44.79</c:v>
                </c:pt>
                <c:pt idx="33">
                  <c:v>45.05</c:v>
                </c:pt>
                <c:pt idx="34">
                  <c:v>45.04</c:v>
                </c:pt>
                <c:pt idx="35">
                  <c:v>45.1</c:v>
                </c:pt>
                <c:pt idx="36">
                  <c:v>45.17</c:v>
                </c:pt>
                <c:pt idx="37">
                  <c:v>45.24</c:v>
                </c:pt>
                <c:pt idx="38">
                  <c:v>45.27</c:v>
                </c:pt>
                <c:pt idx="39">
                  <c:v>45.42</c:v>
                </c:pt>
                <c:pt idx="40">
                  <c:v>45.44</c:v>
                </c:pt>
                <c:pt idx="41">
                  <c:v>45.52</c:v>
                </c:pt>
                <c:pt idx="42">
                  <c:v>45.6</c:v>
                </c:pt>
                <c:pt idx="43">
                  <c:v>45.61</c:v>
                </c:pt>
                <c:pt idx="44">
                  <c:v>45.69</c:v>
                </c:pt>
                <c:pt idx="45">
                  <c:v>45.69</c:v>
                </c:pt>
                <c:pt idx="46">
                  <c:v>45.82</c:v>
                </c:pt>
                <c:pt idx="47">
                  <c:v>45.8</c:v>
                </c:pt>
                <c:pt idx="48">
                  <c:v>45.95</c:v>
                </c:pt>
                <c:pt idx="49">
                  <c:v>45.93</c:v>
                </c:pt>
                <c:pt idx="50">
                  <c:v>45.99</c:v>
                </c:pt>
                <c:pt idx="51">
                  <c:v>46.09</c:v>
                </c:pt>
                <c:pt idx="52">
                  <c:v>46.48</c:v>
                </c:pt>
                <c:pt idx="53">
                  <c:v>47.51</c:v>
                </c:pt>
                <c:pt idx="54">
                  <c:v>48.96</c:v>
                </c:pt>
                <c:pt idx="55">
                  <c:v>50.6</c:v>
                </c:pt>
                <c:pt idx="56">
                  <c:v>52.16</c:v>
                </c:pt>
                <c:pt idx="57">
                  <c:v>53.46</c:v>
                </c:pt>
                <c:pt idx="58">
                  <c:v>54.72</c:v>
                </c:pt>
                <c:pt idx="59">
                  <c:v>55.85</c:v>
                </c:pt>
                <c:pt idx="60">
                  <c:v>56.63</c:v>
                </c:pt>
                <c:pt idx="61">
                  <c:v>57.38</c:v>
                </c:pt>
                <c:pt idx="62">
                  <c:v>57.99</c:v>
                </c:pt>
                <c:pt idx="63">
                  <c:v>58.4</c:v>
                </c:pt>
                <c:pt idx="64">
                  <c:v>58.76</c:v>
                </c:pt>
                <c:pt idx="65">
                  <c:v>59.13</c:v>
                </c:pt>
                <c:pt idx="66">
                  <c:v>59.45</c:v>
                </c:pt>
                <c:pt idx="67">
                  <c:v>59.75</c:v>
                </c:pt>
                <c:pt idx="68">
                  <c:v>60</c:v>
                </c:pt>
                <c:pt idx="69">
                  <c:v>60.24</c:v>
                </c:pt>
                <c:pt idx="70">
                  <c:v>60.58</c:v>
                </c:pt>
                <c:pt idx="71">
                  <c:v>60.83</c:v>
                </c:pt>
                <c:pt idx="72">
                  <c:v>60.97</c:v>
                </c:pt>
                <c:pt idx="73">
                  <c:v>61.35</c:v>
                </c:pt>
                <c:pt idx="74">
                  <c:v>61.65</c:v>
                </c:pt>
                <c:pt idx="75">
                  <c:v>61.85</c:v>
                </c:pt>
                <c:pt idx="76">
                  <c:v>62.13</c:v>
                </c:pt>
                <c:pt idx="77">
                  <c:v>62.45</c:v>
                </c:pt>
                <c:pt idx="78">
                  <c:v>62.72</c:v>
                </c:pt>
                <c:pt idx="79">
                  <c:v>63.01</c:v>
                </c:pt>
                <c:pt idx="80">
                  <c:v>63.34</c:v>
                </c:pt>
                <c:pt idx="81">
                  <c:v>63.66</c:v>
                </c:pt>
                <c:pt idx="82">
                  <c:v>63.91</c:v>
                </c:pt>
                <c:pt idx="83">
                  <c:v>64.31</c:v>
                </c:pt>
                <c:pt idx="84">
                  <c:v>64.56</c:v>
                </c:pt>
                <c:pt idx="85">
                  <c:v>64.900000000000006</c:v>
                </c:pt>
                <c:pt idx="86">
                  <c:v>65.239999999999995</c:v>
                </c:pt>
                <c:pt idx="87">
                  <c:v>65.58</c:v>
                </c:pt>
                <c:pt idx="88">
                  <c:v>65.88</c:v>
                </c:pt>
                <c:pt idx="89">
                  <c:v>66.180000000000007</c:v>
                </c:pt>
                <c:pt idx="90">
                  <c:v>66.5</c:v>
                </c:pt>
                <c:pt idx="91">
                  <c:v>66.75</c:v>
                </c:pt>
                <c:pt idx="92">
                  <c:v>67.2</c:v>
                </c:pt>
                <c:pt idx="93">
                  <c:v>67.44</c:v>
                </c:pt>
                <c:pt idx="94">
                  <c:v>67.87</c:v>
                </c:pt>
                <c:pt idx="95">
                  <c:v>68.180000000000007</c:v>
                </c:pt>
                <c:pt idx="96">
                  <c:v>68.540000000000006</c:v>
                </c:pt>
                <c:pt idx="97">
                  <c:v>68.849999999999994</c:v>
                </c:pt>
                <c:pt idx="98">
                  <c:v>69.239999999999995</c:v>
                </c:pt>
                <c:pt idx="99">
                  <c:v>69.489999999999995</c:v>
                </c:pt>
                <c:pt idx="100">
                  <c:v>69.739999999999995</c:v>
                </c:pt>
                <c:pt idx="101">
                  <c:v>70.040000000000006</c:v>
                </c:pt>
                <c:pt idx="102">
                  <c:v>70.38</c:v>
                </c:pt>
                <c:pt idx="103">
                  <c:v>70.680000000000007</c:v>
                </c:pt>
                <c:pt idx="104">
                  <c:v>71.13</c:v>
                </c:pt>
                <c:pt idx="105">
                  <c:v>71.430000000000007</c:v>
                </c:pt>
                <c:pt idx="106">
                  <c:v>71.73</c:v>
                </c:pt>
                <c:pt idx="107">
                  <c:v>72.13</c:v>
                </c:pt>
                <c:pt idx="108">
                  <c:v>72.459999999999994</c:v>
                </c:pt>
                <c:pt idx="109">
                  <c:v>72.81</c:v>
                </c:pt>
                <c:pt idx="110">
                  <c:v>73.08</c:v>
                </c:pt>
                <c:pt idx="111">
                  <c:v>73.400000000000006</c:v>
                </c:pt>
                <c:pt idx="112">
                  <c:v>73.760000000000005</c:v>
                </c:pt>
                <c:pt idx="113">
                  <c:v>74.069999999999993</c:v>
                </c:pt>
                <c:pt idx="114">
                  <c:v>74.53</c:v>
                </c:pt>
                <c:pt idx="115">
                  <c:v>74.8</c:v>
                </c:pt>
                <c:pt idx="116">
                  <c:v>75.14</c:v>
                </c:pt>
                <c:pt idx="117">
                  <c:v>75.48</c:v>
                </c:pt>
                <c:pt idx="118">
                  <c:v>75.819999999999993</c:v>
                </c:pt>
                <c:pt idx="119">
                  <c:v>76.13</c:v>
                </c:pt>
                <c:pt idx="120">
                  <c:v>76.44</c:v>
                </c:pt>
                <c:pt idx="121">
                  <c:v>76.83</c:v>
                </c:pt>
                <c:pt idx="122">
                  <c:v>77.14</c:v>
                </c:pt>
                <c:pt idx="123">
                  <c:v>77.38</c:v>
                </c:pt>
                <c:pt idx="124">
                  <c:v>77.73</c:v>
                </c:pt>
                <c:pt idx="125">
                  <c:v>78.09</c:v>
                </c:pt>
                <c:pt idx="126">
                  <c:v>78.38</c:v>
                </c:pt>
                <c:pt idx="127">
                  <c:v>78.62</c:v>
                </c:pt>
                <c:pt idx="128">
                  <c:v>79.06</c:v>
                </c:pt>
                <c:pt idx="129">
                  <c:v>79.459999999999994</c:v>
                </c:pt>
                <c:pt idx="130">
                  <c:v>79.72</c:v>
                </c:pt>
                <c:pt idx="131">
                  <c:v>80.14</c:v>
                </c:pt>
                <c:pt idx="132">
                  <c:v>80.42</c:v>
                </c:pt>
                <c:pt idx="133">
                  <c:v>80.73</c:v>
                </c:pt>
                <c:pt idx="134">
                  <c:v>81.150000000000006</c:v>
                </c:pt>
                <c:pt idx="135">
                  <c:v>81.34</c:v>
                </c:pt>
                <c:pt idx="136">
                  <c:v>81.459999999999994</c:v>
                </c:pt>
                <c:pt idx="137">
                  <c:v>81.540000000000006</c:v>
                </c:pt>
                <c:pt idx="138">
                  <c:v>81.349999999999994</c:v>
                </c:pt>
                <c:pt idx="139">
                  <c:v>81.209999999999994</c:v>
                </c:pt>
                <c:pt idx="140">
                  <c:v>81.06</c:v>
                </c:pt>
                <c:pt idx="141">
                  <c:v>80.95</c:v>
                </c:pt>
                <c:pt idx="142">
                  <c:v>80.849999999999994</c:v>
                </c:pt>
                <c:pt idx="143">
                  <c:v>80.67</c:v>
                </c:pt>
                <c:pt idx="144">
                  <c:v>80.56</c:v>
                </c:pt>
                <c:pt idx="145">
                  <c:v>80.44</c:v>
                </c:pt>
                <c:pt idx="146">
                  <c:v>80.459999999999994</c:v>
                </c:pt>
                <c:pt idx="147">
                  <c:v>80.38</c:v>
                </c:pt>
                <c:pt idx="148">
                  <c:v>80.37</c:v>
                </c:pt>
                <c:pt idx="149">
                  <c:v>80.23</c:v>
                </c:pt>
                <c:pt idx="150">
                  <c:v>80.180000000000007</c:v>
                </c:pt>
                <c:pt idx="151">
                  <c:v>80.17</c:v>
                </c:pt>
                <c:pt idx="152">
                  <c:v>80.17</c:v>
                </c:pt>
                <c:pt idx="153">
                  <c:v>80.2</c:v>
                </c:pt>
                <c:pt idx="154">
                  <c:v>80.27</c:v>
                </c:pt>
                <c:pt idx="155">
                  <c:v>80.209999999999994</c:v>
                </c:pt>
                <c:pt idx="156">
                  <c:v>80.2</c:v>
                </c:pt>
                <c:pt idx="157">
                  <c:v>80.17</c:v>
                </c:pt>
                <c:pt idx="158">
                  <c:v>80.19</c:v>
                </c:pt>
                <c:pt idx="159">
                  <c:v>80.14</c:v>
                </c:pt>
                <c:pt idx="160">
                  <c:v>80.17</c:v>
                </c:pt>
                <c:pt idx="161">
                  <c:v>80.16</c:v>
                </c:pt>
                <c:pt idx="162">
                  <c:v>80.16</c:v>
                </c:pt>
                <c:pt idx="163">
                  <c:v>80.22</c:v>
                </c:pt>
                <c:pt idx="164">
                  <c:v>80.150000000000006</c:v>
                </c:pt>
                <c:pt idx="165">
                  <c:v>80.13</c:v>
                </c:pt>
                <c:pt idx="166">
                  <c:v>80.17</c:v>
                </c:pt>
                <c:pt idx="167">
                  <c:v>80.19</c:v>
                </c:pt>
                <c:pt idx="168">
                  <c:v>80.13</c:v>
                </c:pt>
                <c:pt idx="169">
                  <c:v>80.13</c:v>
                </c:pt>
                <c:pt idx="170">
                  <c:v>80.09</c:v>
                </c:pt>
                <c:pt idx="171">
                  <c:v>80.209999999999994</c:v>
                </c:pt>
                <c:pt idx="172">
                  <c:v>80.180000000000007</c:v>
                </c:pt>
                <c:pt idx="173">
                  <c:v>80.17</c:v>
                </c:pt>
                <c:pt idx="174">
                  <c:v>80.14</c:v>
                </c:pt>
              </c:numCache>
            </c:numRef>
          </c:val>
          <c:smooth val="0"/>
          <c:extLst>
            <c:ext xmlns:c16="http://schemas.microsoft.com/office/drawing/2014/chart" uri="{C3380CC4-5D6E-409C-BE32-E72D297353CC}">
              <c16:uniqueId val="{00000004-55EA-4FD2-9285-08332D6C7150}"/>
            </c:ext>
          </c:extLst>
        </c:ser>
        <c:ser>
          <c:idx val="5"/>
          <c:order val="5"/>
          <c:tx>
            <c:strRef>
              <c:f>'transfert 80'!$G$1</c:f>
              <c:strCache>
                <c:ptCount val="1"/>
                <c:pt idx="0">
                  <c:v>Connecteur 6</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80'!$G$2:$G$176</c:f>
              <c:numCache>
                <c:formatCode>General</c:formatCode>
                <c:ptCount val="175"/>
                <c:pt idx="0">
                  <c:v>41.42</c:v>
                </c:pt>
                <c:pt idx="1">
                  <c:v>41.63</c:v>
                </c:pt>
                <c:pt idx="2">
                  <c:v>41.83</c:v>
                </c:pt>
                <c:pt idx="3">
                  <c:v>41.92</c:v>
                </c:pt>
                <c:pt idx="4">
                  <c:v>42.06</c:v>
                </c:pt>
                <c:pt idx="5">
                  <c:v>42.26</c:v>
                </c:pt>
                <c:pt idx="6">
                  <c:v>42.32</c:v>
                </c:pt>
                <c:pt idx="7">
                  <c:v>42.52</c:v>
                </c:pt>
                <c:pt idx="8">
                  <c:v>42.62</c:v>
                </c:pt>
                <c:pt idx="9">
                  <c:v>42.8</c:v>
                </c:pt>
                <c:pt idx="10">
                  <c:v>42.83</c:v>
                </c:pt>
                <c:pt idx="11">
                  <c:v>42.97</c:v>
                </c:pt>
                <c:pt idx="12">
                  <c:v>43.1</c:v>
                </c:pt>
                <c:pt idx="13">
                  <c:v>43.23</c:v>
                </c:pt>
                <c:pt idx="14">
                  <c:v>43.32</c:v>
                </c:pt>
                <c:pt idx="15">
                  <c:v>43.46</c:v>
                </c:pt>
                <c:pt idx="16">
                  <c:v>43.53</c:v>
                </c:pt>
                <c:pt idx="17">
                  <c:v>43.6</c:v>
                </c:pt>
                <c:pt idx="18">
                  <c:v>43.71</c:v>
                </c:pt>
                <c:pt idx="19">
                  <c:v>43.83</c:v>
                </c:pt>
                <c:pt idx="20">
                  <c:v>43.9</c:v>
                </c:pt>
                <c:pt idx="21">
                  <c:v>44.04</c:v>
                </c:pt>
                <c:pt idx="22">
                  <c:v>44.14</c:v>
                </c:pt>
                <c:pt idx="23">
                  <c:v>44.26</c:v>
                </c:pt>
                <c:pt idx="24">
                  <c:v>44.29</c:v>
                </c:pt>
                <c:pt idx="25">
                  <c:v>44.45</c:v>
                </c:pt>
                <c:pt idx="26">
                  <c:v>44.51</c:v>
                </c:pt>
                <c:pt idx="27">
                  <c:v>44.55</c:v>
                </c:pt>
                <c:pt idx="28">
                  <c:v>44.67</c:v>
                </c:pt>
                <c:pt idx="29">
                  <c:v>44.75</c:v>
                </c:pt>
                <c:pt idx="30">
                  <c:v>44.86</c:v>
                </c:pt>
                <c:pt idx="31">
                  <c:v>44.92</c:v>
                </c:pt>
                <c:pt idx="32">
                  <c:v>44.96</c:v>
                </c:pt>
                <c:pt idx="33">
                  <c:v>45.05</c:v>
                </c:pt>
                <c:pt idx="34">
                  <c:v>45.16</c:v>
                </c:pt>
                <c:pt idx="35">
                  <c:v>45.22</c:v>
                </c:pt>
                <c:pt idx="36">
                  <c:v>45.29</c:v>
                </c:pt>
                <c:pt idx="37">
                  <c:v>45.44</c:v>
                </c:pt>
                <c:pt idx="38">
                  <c:v>45.46</c:v>
                </c:pt>
                <c:pt idx="39">
                  <c:v>45.5</c:v>
                </c:pt>
                <c:pt idx="40">
                  <c:v>45.57</c:v>
                </c:pt>
                <c:pt idx="41">
                  <c:v>45.68</c:v>
                </c:pt>
                <c:pt idx="42">
                  <c:v>45.77</c:v>
                </c:pt>
                <c:pt idx="43">
                  <c:v>45.79</c:v>
                </c:pt>
                <c:pt idx="44">
                  <c:v>45.87</c:v>
                </c:pt>
                <c:pt idx="45">
                  <c:v>45.94</c:v>
                </c:pt>
                <c:pt idx="46">
                  <c:v>45.98</c:v>
                </c:pt>
                <c:pt idx="47">
                  <c:v>46.1</c:v>
                </c:pt>
                <c:pt idx="48">
                  <c:v>46.16</c:v>
                </c:pt>
                <c:pt idx="49">
                  <c:v>46.2</c:v>
                </c:pt>
                <c:pt idx="50">
                  <c:v>46.28</c:v>
                </c:pt>
                <c:pt idx="51">
                  <c:v>46.33</c:v>
                </c:pt>
                <c:pt idx="52">
                  <c:v>46.67</c:v>
                </c:pt>
                <c:pt idx="53">
                  <c:v>47.67</c:v>
                </c:pt>
                <c:pt idx="54">
                  <c:v>48.98</c:v>
                </c:pt>
                <c:pt idx="55">
                  <c:v>50.49</c:v>
                </c:pt>
                <c:pt idx="56">
                  <c:v>51.9</c:v>
                </c:pt>
                <c:pt idx="57">
                  <c:v>53.08</c:v>
                </c:pt>
                <c:pt idx="58">
                  <c:v>54.19</c:v>
                </c:pt>
                <c:pt idx="59">
                  <c:v>55.29</c:v>
                </c:pt>
                <c:pt idx="60">
                  <c:v>56.14</c:v>
                </c:pt>
                <c:pt idx="61">
                  <c:v>56.88</c:v>
                </c:pt>
                <c:pt idx="62">
                  <c:v>57.41</c:v>
                </c:pt>
                <c:pt idx="63">
                  <c:v>57.97</c:v>
                </c:pt>
                <c:pt idx="64">
                  <c:v>58.36</c:v>
                </c:pt>
                <c:pt idx="65">
                  <c:v>58.71</c:v>
                </c:pt>
                <c:pt idx="66">
                  <c:v>59.18</c:v>
                </c:pt>
                <c:pt idx="67">
                  <c:v>59.47</c:v>
                </c:pt>
                <c:pt idx="68">
                  <c:v>59.84</c:v>
                </c:pt>
                <c:pt idx="69">
                  <c:v>60.16</c:v>
                </c:pt>
                <c:pt idx="70">
                  <c:v>60.38</c:v>
                </c:pt>
                <c:pt idx="71">
                  <c:v>60.7</c:v>
                </c:pt>
                <c:pt idx="72">
                  <c:v>60.99</c:v>
                </c:pt>
                <c:pt idx="73">
                  <c:v>61.34</c:v>
                </c:pt>
                <c:pt idx="74">
                  <c:v>61.58</c:v>
                </c:pt>
                <c:pt idx="75">
                  <c:v>61.89</c:v>
                </c:pt>
                <c:pt idx="76">
                  <c:v>62.26</c:v>
                </c:pt>
                <c:pt idx="77">
                  <c:v>62.58</c:v>
                </c:pt>
                <c:pt idx="78">
                  <c:v>62.87</c:v>
                </c:pt>
                <c:pt idx="79">
                  <c:v>63.16</c:v>
                </c:pt>
                <c:pt idx="80">
                  <c:v>63.52</c:v>
                </c:pt>
                <c:pt idx="81">
                  <c:v>63.85</c:v>
                </c:pt>
                <c:pt idx="82">
                  <c:v>64.099999999999994</c:v>
                </c:pt>
                <c:pt idx="83">
                  <c:v>64.42</c:v>
                </c:pt>
                <c:pt idx="84">
                  <c:v>64.709999999999994</c:v>
                </c:pt>
                <c:pt idx="85">
                  <c:v>65.099999999999994</c:v>
                </c:pt>
                <c:pt idx="86">
                  <c:v>65.430000000000007</c:v>
                </c:pt>
                <c:pt idx="87">
                  <c:v>65.73</c:v>
                </c:pt>
                <c:pt idx="88">
                  <c:v>66.12</c:v>
                </c:pt>
                <c:pt idx="89">
                  <c:v>66.38</c:v>
                </c:pt>
                <c:pt idx="90">
                  <c:v>66.709999999999994</c:v>
                </c:pt>
                <c:pt idx="91">
                  <c:v>67.09</c:v>
                </c:pt>
                <c:pt idx="92">
                  <c:v>67.44</c:v>
                </c:pt>
                <c:pt idx="93">
                  <c:v>67.739999999999995</c:v>
                </c:pt>
                <c:pt idx="94">
                  <c:v>68.08</c:v>
                </c:pt>
                <c:pt idx="95">
                  <c:v>68.48</c:v>
                </c:pt>
                <c:pt idx="96">
                  <c:v>68.78</c:v>
                </c:pt>
                <c:pt idx="97">
                  <c:v>69.14</c:v>
                </c:pt>
                <c:pt idx="98">
                  <c:v>69.45</c:v>
                </c:pt>
                <c:pt idx="99">
                  <c:v>69.78</c:v>
                </c:pt>
                <c:pt idx="100">
                  <c:v>70.08</c:v>
                </c:pt>
                <c:pt idx="101">
                  <c:v>70.39</c:v>
                </c:pt>
                <c:pt idx="102">
                  <c:v>70.73</c:v>
                </c:pt>
                <c:pt idx="103">
                  <c:v>71.06</c:v>
                </c:pt>
                <c:pt idx="104">
                  <c:v>71.47</c:v>
                </c:pt>
                <c:pt idx="105">
                  <c:v>71.83</c:v>
                </c:pt>
                <c:pt idx="106">
                  <c:v>72.16</c:v>
                </c:pt>
                <c:pt idx="107">
                  <c:v>72.44</c:v>
                </c:pt>
                <c:pt idx="108">
                  <c:v>72.86</c:v>
                </c:pt>
                <c:pt idx="109">
                  <c:v>73.13</c:v>
                </c:pt>
                <c:pt idx="110">
                  <c:v>73.52</c:v>
                </c:pt>
                <c:pt idx="111">
                  <c:v>73.849999999999994</c:v>
                </c:pt>
                <c:pt idx="112">
                  <c:v>74.040000000000006</c:v>
                </c:pt>
                <c:pt idx="113">
                  <c:v>74.53</c:v>
                </c:pt>
                <c:pt idx="114">
                  <c:v>74.81</c:v>
                </c:pt>
                <c:pt idx="115">
                  <c:v>75.2</c:v>
                </c:pt>
                <c:pt idx="116">
                  <c:v>75.48</c:v>
                </c:pt>
                <c:pt idx="117">
                  <c:v>75.819999999999993</c:v>
                </c:pt>
                <c:pt idx="118">
                  <c:v>76.23</c:v>
                </c:pt>
                <c:pt idx="119">
                  <c:v>76.489999999999995</c:v>
                </c:pt>
                <c:pt idx="120">
                  <c:v>76.91</c:v>
                </c:pt>
                <c:pt idx="121">
                  <c:v>77.17</c:v>
                </c:pt>
                <c:pt idx="122">
                  <c:v>77.61</c:v>
                </c:pt>
                <c:pt idx="123">
                  <c:v>77.83</c:v>
                </c:pt>
                <c:pt idx="124">
                  <c:v>78.14</c:v>
                </c:pt>
                <c:pt idx="125">
                  <c:v>78.53</c:v>
                </c:pt>
                <c:pt idx="126">
                  <c:v>78.849999999999994</c:v>
                </c:pt>
                <c:pt idx="127">
                  <c:v>79.22</c:v>
                </c:pt>
                <c:pt idx="128">
                  <c:v>79.489999999999995</c:v>
                </c:pt>
                <c:pt idx="129">
                  <c:v>79.930000000000007</c:v>
                </c:pt>
                <c:pt idx="130">
                  <c:v>80.209999999999994</c:v>
                </c:pt>
                <c:pt idx="131">
                  <c:v>80.63</c:v>
                </c:pt>
                <c:pt idx="132">
                  <c:v>80.87</c:v>
                </c:pt>
                <c:pt idx="133">
                  <c:v>81.260000000000005</c:v>
                </c:pt>
                <c:pt idx="134">
                  <c:v>81.61</c:v>
                </c:pt>
                <c:pt idx="135">
                  <c:v>81.89</c:v>
                </c:pt>
                <c:pt idx="136">
                  <c:v>82.09</c:v>
                </c:pt>
                <c:pt idx="137">
                  <c:v>82.11</c:v>
                </c:pt>
                <c:pt idx="138">
                  <c:v>82.04</c:v>
                </c:pt>
                <c:pt idx="139">
                  <c:v>81.92</c:v>
                </c:pt>
                <c:pt idx="140">
                  <c:v>81.819999999999993</c:v>
                </c:pt>
                <c:pt idx="141">
                  <c:v>81.709999999999994</c:v>
                </c:pt>
                <c:pt idx="142">
                  <c:v>81.62</c:v>
                </c:pt>
                <c:pt idx="143">
                  <c:v>81.56</c:v>
                </c:pt>
                <c:pt idx="144">
                  <c:v>81.459999999999994</c:v>
                </c:pt>
                <c:pt idx="145">
                  <c:v>81.400000000000006</c:v>
                </c:pt>
                <c:pt idx="146">
                  <c:v>81.37</c:v>
                </c:pt>
                <c:pt idx="147">
                  <c:v>81.31</c:v>
                </c:pt>
                <c:pt idx="148">
                  <c:v>81.3</c:v>
                </c:pt>
                <c:pt idx="149">
                  <c:v>81.23</c:v>
                </c:pt>
                <c:pt idx="150">
                  <c:v>81.19</c:v>
                </c:pt>
                <c:pt idx="151">
                  <c:v>81.17</c:v>
                </c:pt>
                <c:pt idx="152">
                  <c:v>81.14</c:v>
                </c:pt>
                <c:pt idx="153">
                  <c:v>81.17</c:v>
                </c:pt>
                <c:pt idx="154">
                  <c:v>81.19</c:v>
                </c:pt>
                <c:pt idx="155">
                  <c:v>81.22</c:v>
                </c:pt>
                <c:pt idx="156">
                  <c:v>81.17</c:v>
                </c:pt>
                <c:pt idx="157">
                  <c:v>81.13</c:v>
                </c:pt>
                <c:pt idx="158">
                  <c:v>81.19</c:v>
                </c:pt>
                <c:pt idx="159">
                  <c:v>81.19</c:v>
                </c:pt>
                <c:pt idx="160">
                  <c:v>81.12</c:v>
                </c:pt>
                <c:pt idx="161">
                  <c:v>81.14</c:v>
                </c:pt>
                <c:pt idx="162">
                  <c:v>81.17</c:v>
                </c:pt>
                <c:pt idx="163">
                  <c:v>81.14</c:v>
                </c:pt>
                <c:pt idx="164">
                  <c:v>81.13</c:v>
                </c:pt>
                <c:pt idx="165">
                  <c:v>81.08</c:v>
                </c:pt>
                <c:pt idx="166">
                  <c:v>81.08</c:v>
                </c:pt>
                <c:pt idx="167">
                  <c:v>81.11</c:v>
                </c:pt>
                <c:pt idx="168">
                  <c:v>81.09</c:v>
                </c:pt>
                <c:pt idx="169">
                  <c:v>81.069999999999993</c:v>
                </c:pt>
                <c:pt idx="170">
                  <c:v>81.099999999999994</c:v>
                </c:pt>
                <c:pt idx="171">
                  <c:v>81.16</c:v>
                </c:pt>
                <c:pt idx="172">
                  <c:v>81.19</c:v>
                </c:pt>
                <c:pt idx="173">
                  <c:v>81.14</c:v>
                </c:pt>
                <c:pt idx="174">
                  <c:v>81.13</c:v>
                </c:pt>
              </c:numCache>
            </c:numRef>
          </c:val>
          <c:smooth val="0"/>
          <c:extLst>
            <c:ext xmlns:c16="http://schemas.microsoft.com/office/drawing/2014/chart" uri="{C3380CC4-5D6E-409C-BE32-E72D297353CC}">
              <c16:uniqueId val="{00000001-596F-4BF5-AD6A-6719B76DDAA7}"/>
            </c:ext>
          </c:extLst>
        </c:ser>
        <c:ser>
          <c:idx val="6"/>
          <c:order val="6"/>
          <c:tx>
            <c:strRef>
              <c:f>'transfert 80'!$H$1</c:f>
              <c:strCache>
                <c:ptCount val="1"/>
                <c:pt idx="0">
                  <c:v>Connecteur 7</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80'!$H$2:$H$176</c:f>
              <c:numCache>
                <c:formatCode>General</c:formatCode>
                <c:ptCount val="175"/>
                <c:pt idx="0">
                  <c:v>41.37</c:v>
                </c:pt>
                <c:pt idx="1">
                  <c:v>41.67</c:v>
                </c:pt>
                <c:pt idx="2">
                  <c:v>41.8</c:v>
                </c:pt>
                <c:pt idx="3">
                  <c:v>41.97</c:v>
                </c:pt>
                <c:pt idx="4">
                  <c:v>42.13</c:v>
                </c:pt>
                <c:pt idx="5">
                  <c:v>42.3</c:v>
                </c:pt>
                <c:pt idx="6">
                  <c:v>42.36</c:v>
                </c:pt>
                <c:pt idx="7">
                  <c:v>42.56</c:v>
                </c:pt>
                <c:pt idx="8">
                  <c:v>42.64</c:v>
                </c:pt>
                <c:pt idx="9">
                  <c:v>42.78</c:v>
                </c:pt>
                <c:pt idx="10">
                  <c:v>42.88</c:v>
                </c:pt>
                <c:pt idx="11">
                  <c:v>42.97</c:v>
                </c:pt>
                <c:pt idx="12">
                  <c:v>43.1</c:v>
                </c:pt>
                <c:pt idx="13">
                  <c:v>43.26</c:v>
                </c:pt>
                <c:pt idx="14">
                  <c:v>43.34</c:v>
                </c:pt>
                <c:pt idx="15">
                  <c:v>43.42</c:v>
                </c:pt>
                <c:pt idx="16">
                  <c:v>43.52</c:v>
                </c:pt>
                <c:pt idx="17">
                  <c:v>43.6</c:v>
                </c:pt>
                <c:pt idx="18">
                  <c:v>43.74</c:v>
                </c:pt>
                <c:pt idx="19">
                  <c:v>43.86</c:v>
                </c:pt>
                <c:pt idx="20">
                  <c:v>43.93</c:v>
                </c:pt>
                <c:pt idx="21">
                  <c:v>44.07</c:v>
                </c:pt>
                <c:pt idx="22">
                  <c:v>44.13</c:v>
                </c:pt>
                <c:pt idx="23">
                  <c:v>44.23</c:v>
                </c:pt>
                <c:pt idx="24">
                  <c:v>44.29</c:v>
                </c:pt>
                <c:pt idx="25">
                  <c:v>44.4</c:v>
                </c:pt>
                <c:pt idx="26">
                  <c:v>44.48</c:v>
                </c:pt>
                <c:pt idx="27">
                  <c:v>44.57</c:v>
                </c:pt>
                <c:pt idx="28">
                  <c:v>44.68</c:v>
                </c:pt>
                <c:pt idx="29">
                  <c:v>44.75</c:v>
                </c:pt>
                <c:pt idx="30">
                  <c:v>44.82</c:v>
                </c:pt>
                <c:pt idx="31">
                  <c:v>44.91</c:v>
                </c:pt>
                <c:pt idx="32">
                  <c:v>44.98</c:v>
                </c:pt>
                <c:pt idx="33">
                  <c:v>45.05</c:v>
                </c:pt>
                <c:pt idx="34">
                  <c:v>45.13</c:v>
                </c:pt>
                <c:pt idx="35">
                  <c:v>45.22</c:v>
                </c:pt>
                <c:pt idx="36">
                  <c:v>45.29</c:v>
                </c:pt>
                <c:pt idx="37">
                  <c:v>45.35</c:v>
                </c:pt>
                <c:pt idx="38">
                  <c:v>45.45</c:v>
                </c:pt>
                <c:pt idx="39">
                  <c:v>45.48</c:v>
                </c:pt>
                <c:pt idx="40">
                  <c:v>45.55</c:v>
                </c:pt>
                <c:pt idx="41">
                  <c:v>45.66</c:v>
                </c:pt>
                <c:pt idx="42">
                  <c:v>45.69</c:v>
                </c:pt>
                <c:pt idx="43">
                  <c:v>45.8</c:v>
                </c:pt>
                <c:pt idx="44">
                  <c:v>45.87</c:v>
                </c:pt>
                <c:pt idx="45">
                  <c:v>45.9</c:v>
                </c:pt>
                <c:pt idx="46">
                  <c:v>45.98</c:v>
                </c:pt>
                <c:pt idx="47">
                  <c:v>46.09</c:v>
                </c:pt>
                <c:pt idx="48">
                  <c:v>46.12</c:v>
                </c:pt>
                <c:pt idx="49">
                  <c:v>46.17</c:v>
                </c:pt>
                <c:pt idx="50">
                  <c:v>46.2</c:v>
                </c:pt>
                <c:pt idx="51">
                  <c:v>46.31</c:v>
                </c:pt>
                <c:pt idx="52">
                  <c:v>46.58</c:v>
                </c:pt>
                <c:pt idx="53">
                  <c:v>47.4</c:v>
                </c:pt>
                <c:pt idx="54">
                  <c:v>48.65</c:v>
                </c:pt>
                <c:pt idx="55">
                  <c:v>50.11</c:v>
                </c:pt>
                <c:pt idx="56">
                  <c:v>51.55</c:v>
                </c:pt>
                <c:pt idx="57">
                  <c:v>52.87</c:v>
                </c:pt>
                <c:pt idx="58">
                  <c:v>54.01</c:v>
                </c:pt>
                <c:pt idx="59">
                  <c:v>55.03</c:v>
                </c:pt>
                <c:pt idx="60">
                  <c:v>55.87</c:v>
                </c:pt>
                <c:pt idx="61">
                  <c:v>56.55</c:v>
                </c:pt>
                <c:pt idx="62">
                  <c:v>57.24</c:v>
                </c:pt>
                <c:pt idx="63">
                  <c:v>57.81</c:v>
                </c:pt>
                <c:pt idx="64">
                  <c:v>58.33</c:v>
                </c:pt>
                <c:pt idx="65">
                  <c:v>58.65</c:v>
                </c:pt>
                <c:pt idx="66">
                  <c:v>59.05</c:v>
                </c:pt>
                <c:pt idx="67">
                  <c:v>59.29</c:v>
                </c:pt>
                <c:pt idx="68">
                  <c:v>59.69</c:v>
                </c:pt>
                <c:pt idx="69">
                  <c:v>60.06</c:v>
                </c:pt>
                <c:pt idx="70">
                  <c:v>60.34</c:v>
                </c:pt>
                <c:pt idx="71">
                  <c:v>60.64</c:v>
                </c:pt>
                <c:pt idx="72">
                  <c:v>60.91</c:v>
                </c:pt>
                <c:pt idx="73">
                  <c:v>61.2</c:v>
                </c:pt>
                <c:pt idx="74">
                  <c:v>61.49</c:v>
                </c:pt>
                <c:pt idx="75">
                  <c:v>61.77</c:v>
                </c:pt>
                <c:pt idx="76">
                  <c:v>62.08</c:v>
                </c:pt>
                <c:pt idx="77">
                  <c:v>62.39</c:v>
                </c:pt>
                <c:pt idx="78">
                  <c:v>62.7</c:v>
                </c:pt>
                <c:pt idx="79">
                  <c:v>63.11</c:v>
                </c:pt>
                <c:pt idx="80">
                  <c:v>63.33</c:v>
                </c:pt>
                <c:pt idx="81">
                  <c:v>63.64</c:v>
                </c:pt>
                <c:pt idx="82">
                  <c:v>63.97</c:v>
                </c:pt>
                <c:pt idx="83">
                  <c:v>64.25</c:v>
                </c:pt>
                <c:pt idx="84">
                  <c:v>64.510000000000005</c:v>
                </c:pt>
                <c:pt idx="85">
                  <c:v>64.91</c:v>
                </c:pt>
                <c:pt idx="86">
                  <c:v>65.260000000000005</c:v>
                </c:pt>
                <c:pt idx="87">
                  <c:v>65.55</c:v>
                </c:pt>
                <c:pt idx="88">
                  <c:v>65.89</c:v>
                </c:pt>
                <c:pt idx="89">
                  <c:v>66.19</c:v>
                </c:pt>
                <c:pt idx="90">
                  <c:v>66.540000000000006</c:v>
                </c:pt>
                <c:pt idx="91">
                  <c:v>66.89</c:v>
                </c:pt>
                <c:pt idx="92">
                  <c:v>67.22</c:v>
                </c:pt>
                <c:pt idx="93">
                  <c:v>67.55</c:v>
                </c:pt>
                <c:pt idx="94">
                  <c:v>67.92</c:v>
                </c:pt>
                <c:pt idx="95">
                  <c:v>68.23</c:v>
                </c:pt>
                <c:pt idx="96">
                  <c:v>68.55</c:v>
                </c:pt>
                <c:pt idx="97">
                  <c:v>68.89</c:v>
                </c:pt>
                <c:pt idx="98">
                  <c:v>69.22</c:v>
                </c:pt>
                <c:pt idx="99">
                  <c:v>69.599999999999994</c:v>
                </c:pt>
                <c:pt idx="100">
                  <c:v>69.88</c:v>
                </c:pt>
                <c:pt idx="101">
                  <c:v>70.180000000000007</c:v>
                </c:pt>
                <c:pt idx="102">
                  <c:v>70.52</c:v>
                </c:pt>
                <c:pt idx="103">
                  <c:v>70.86</c:v>
                </c:pt>
                <c:pt idx="104">
                  <c:v>71.22</c:v>
                </c:pt>
                <c:pt idx="105">
                  <c:v>71.55</c:v>
                </c:pt>
                <c:pt idx="106">
                  <c:v>71.91</c:v>
                </c:pt>
                <c:pt idx="107">
                  <c:v>72.27</c:v>
                </c:pt>
                <c:pt idx="108">
                  <c:v>72.540000000000006</c:v>
                </c:pt>
                <c:pt idx="109">
                  <c:v>72.94</c:v>
                </c:pt>
                <c:pt idx="110">
                  <c:v>73.27</c:v>
                </c:pt>
                <c:pt idx="111">
                  <c:v>73.61</c:v>
                </c:pt>
                <c:pt idx="112">
                  <c:v>73.900000000000006</c:v>
                </c:pt>
                <c:pt idx="113">
                  <c:v>74.239999999999995</c:v>
                </c:pt>
                <c:pt idx="114">
                  <c:v>74.56</c:v>
                </c:pt>
                <c:pt idx="115">
                  <c:v>74.930000000000007</c:v>
                </c:pt>
                <c:pt idx="116">
                  <c:v>75.22</c:v>
                </c:pt>
                <c:pt idx="117">
                  <c:v>75.599999999999994</c:v>
                </c:pt>
                <c:pt idx="118">
                  <c:v>75.86</c:v>
                </c:pt>
                <c:pt idx="119">
                  <c:v>76.239999999999995</c:v>
                </c:pt>
                <c:pt idx="120">
                  <c:v>76.58</c:v>
                </c:pt>
                <c:pt idx="121">
                  <c:v>76.930000000000007</c:v>
                </c:pt>
                <c:pt idx="122">
                  <c:v>77.27</c:v>
                </c:pt>
                <c:pt idx="123">
                  <c:v>77.52</c:v>
                </c:pt>
                <c:pt idx="124">
                  <c:v>77.88</c:v>
                </c:pt>
                <c:pt idx="125">
                  <c:v>78.25</c:v>
                </c:pt>
                <c:pt idx="126">
                  <c:v>78.59</c:v>
                </c:pt>
                <c:pt idx="127">
                  <c:v>78.89</c:v>
                </c:pt>
                <c:pt idx="128">
                  <c:v>79.22</c:v>
                </c:pt>
                <c:pt idx="129">
                  <c:v>79.61</c:v>
                </c:pt>
                <c:pt idx="130">
                  <c:v>79.92</c:v>
                </c:pt>
                <c:pt idx="131">
                  <c:v>80.33</c:v>
                </c:pt>
                <c:pt idx="132">
                  <c:v>80.62</c:v>
                </c:pt>
                <c:pt idx="133">
                  <c:v>80.97</c:v>
                </c:pt>
                <c:pt idx="134">
                  <c:v>81.27</c:v>
                </c:pt>
                <c:pt idx="135">
                  <c:v>81.59</c:v>
                </c:pt>
                <c:pt idx="136">
                  <c:v>81.8</c:v>
                </c:pt>
                <c:pt idx="137">
                  <c:v>81.81</c:v>
                </c:pt>
                <c:pt idx="138">
                  <c:v>81.78</c:v>
                </c:pt>
                <c:pt idx="139">
                  <c:v>81.73</c:v>
                </c:pt>
                <c:pt idx="140">
                  <c:v>81.63</c:v>
                </c:pt>
                <c:pt idx="141">
                  <c:v>81.5</c:v>
                </c:pt>
                <c:pt idx="142">
                  <c:v>81.39</c:v>
                </c:pt>
                <c:pt idx="143">
                  <c:v>81.349999999999994</c:v>
                </c:pt>
                <c:pt idx="144">
                  <c:v>81.239999999999995</c:v>
                </c:pt>
                <c:pt idx="145">
                  <c:v>81.17</c:v>
                </c:pt>
                <c:pt idx="146">
                  <c:v>81.09</c:v>
                </c:pt>
                <c:pt idx="147">
                  <c:v>81.040000000000006</c:v>
                </c:pt>
                <c:pt idx="148">
                  <c:v>81.05</c:v>
                </c:pt>
                <c:pt idx="149">
                  <c:v>80.98</c:v>
                </c:pt>
                <c:pt idx="150">
                  <c:v>80.94</c:v>
                </c:pt>
                <c:pt idx="151">
                  <c:v>80.91</c:v>
                </c:pt>
                <c:pt idx="152">
                  <c:v>80.89</c:v>
                </c:pt>
                <c:pt idx="153">
                  <c:v>80.900000000000006</c:v>
                </c:pt>
                <c:pt idx="154">
                  <c:v>80.91</c:v>
                </c:pt>
                <c:pt idx="155">
                  <c:v>80.95</c:v>
                </c:pt>
                <c:pt idx="156">
                  <c:v>80.89</c:v>
                </c:pt>
                <c:pt idx="157">
                  <c:v>80.87</c:v>
                </c:pt>
                <c:pt idx="158">
                  <c:v>80.900000000000006</c:v>
                </c:pt>
                <c:pt idx="159">
                  <c:v>80.900000000000006</c:v>
                </c:pt>
                <c:pt idx="160">
                  <c:v>80.89</c:v>
                </c:pt>
                <c:pt idx="161">
                  <c:v>80.94</c:v>
                </c:pt>
                <c:pt idx="162">
                  <c:v>80.900000000000006</c:v>
                </c:pt>
                <c:pt idx="163">
                  <c:v>80.89</c:v>
                </c:pt>
                <c:pt idx="164">
                  <c:v>80.89</c:v>
                </c:pt>
                <c:pt idx="165">
                  <c:v>80.83</c:v>
                </c:pt>
                <c:pt idx="166">
                  <c:v>80.849999999999994</c:v>
                </c:pt>
                <c:pt idx="167">
                  <c:v>80.88</c:v>
                </c:pt>
                <c:pt idx="168">
                  <c:v>80.8</c:v>
                </c:pt>
                <c:pt idx="169">
                  <c:v>80.87</c:v>
                </c:pt>
                <c:pt idx="170">
                  <c:v>80.86</c:v>
                </c:pt>
                <c:pt idx="171">
                  <c:v>80.92</c:v>
                </c:pt>
                <c:pt idx="172">
                  <c:v>80.92</c:v>
                </c:pt>
                <c:pt idx="173">
                  <c:v>80.91</c:v>
                </c:pt>
                <c:pt idx="174">
                  <c:v>80.87</c:v>
                </c:pt>
              </c:numCache>
            </c:numRef>
          </c:val>
          <c:smooth val="0"/>
          <c:extLst>
            <c:ext xmlns:c16="http://schemas.microsoft.com/office/drawing/2014/chart" uri="{C3380CC4-5D6E-409C-BE32-E72D297353CC}">
              <c16:uniqueId val="{00000002-596F-4BF5-AD6A-6719B76DDAA7}"/>
            </c:ext>
          </c:extLst>
        </c:ser>
        <c:ser>
          <c:idx val="7"/>
          <c:order val="7"/>
          <c:tx>
            <c:strRef>
              <c:f>'transfert 80'!$I$1</c:f>
              <c:strCache>
                <c:ptCount val="1"/>
                <c:pt idx="0">
                  <c:v>Connecteur 8</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80'!$I$2:$I$176</c:f>
              <c:numCache>
                <c:formatCode>General</c:formatCode>
                <c:ptCount val="175"/>
                <c:pt idx="0">
                  <c:v>41.58</c:v>
                </c:pt>
                <c:pt idx="1">
                  <c:v>41.85</c:v>
                </c:pt>
                <c:pt idx="2">
                  <c:v>42</c:v>
                </c:pt>
                <c:pt idx="3">
                  <c:v>42.14</c:v>
                </c:pt>
                <c:pt idx="4">
                  <c:v>42.24</c:v>
                </c:pt>
                <c:pt idx="5">
                  <c:v>42.44</c:v>
                </c:pt>
                <c:pt idx="6">
                  <c:v>42.51</c:v>
                </c:pt>
                <c:pt idx="7">
                  <c:v>42.64</c:v>
                </c:pt>
                <c:pt idx="8">
                  <c:v>42.77</c:v>
                </c:pt>
                <c:pt idx="9">
                  <c:v>42.89</c:v>
                </c:pt>
                <c:pt idx="10">
                  <c:v>42.97</c:v>
                </c:pt>
                <c:pt idx="11">
                  <c:v>43.12</c:v>
                </c:pt>
                <c:pt idx="12">
                  <c:v>43.22</c:v>
                </c:pt>
                <c:pt idx="13">
                  <c:v>43.4</c:v>
                </c:pt>
                <c:pt idx="14">
                  <c:v>43.46</c:v>
                </c:pt>
                <c:pt idx="15">
                  <c:v>43.54</c:v>
                </c:pt>
                <c:pt idx="16">
                  <c:v>43.61</c:v>
                </c:pt>
                <c:pt idx="17">
                  <c:v>43.65</c:v>
                </c:pt>
                <c:pt idx="18">
                  <c:v>43.79</c:v>
                </c:pt>
                <c:pt idx="19">
                  <c:v>43.94</c:v>
                </c:pt>
                <c:pt idx="20">
                  <c:v>43.97</c:v>
                </c:pt>
                <c:pt idx="21">
                  <c:v>44.13</c:v>
                </c:pt>
                <c:pt idx="22">
                  <c:v>44.24</c:v>
                </c:pt>
                <c:pt idx="23">
                  <c:v>44.34</c:v>
                </c:pt>
                <c:pt idx="24">
                  <c:v>44.37</c:v>
                </c:pt>
                <c:pt idx="25">
                  <c:v>44.46</c:v>
                </c:pt>
                <c:pt idx="26">
                  <c:v>44.55</c:v>
                </c:pt>
                <c:pt idx="27">
                  <c:v>44.59</c:v>
                </c:pt>
                <c:pt idx="28">
                  <c:v>44.71</c:v>
                </c:pt>
                <c:pt idx="29">
                  <c:v>44.8</c:v>
                </c:pt>
                <c:pt idx="30">
                  <c:v>44.88</c:v>
                </c:pt>
                <c:pt idx="31">
                  <c:v>44.93</c:v>
                </c:pt>
                <c:pt idx="32">
                  <c:v>45.02</c:v>
                </c:pt>
                <c:pt idx="33">
                  <c:v>45.08</c:v>
                </c:pt>
                <c:pt idx="34">
                  <c:v>45.16</c:v>
                </c:pt>
                <c:pt idx="35">
                  <c:v>45.26</c:v>
                </c:pt>
                <c:pt idx="36">
                  <c:v>45.32</c:v>
                </c:pt>
                <c:pt idx="37">
                  <c:v>45.37</c:v>
                </c:pt>
                <c:pt idx="38">
                  <c:v>45.47</c:v>
                </c:pt>
                <c:pt idx="39">
                  <c:v>45.53</c:v>
                </c:pt>
                <c:pt idx="40">
                  <c:v>45.59</c:v>
                </c:pt>
                <c:pt idx="41">
                  <c:v>45.68</c:v>
                </c:pt>
                <c:pt idx="42">
                  <c:v>45.78</c:v>
                </c:pt>
                <c:pt idx="43">
                  <c:v>45.82</c:v>
                </c:pt>
                <c:pt idx="44">
                  <c:v>45.89</c:v>
                </c:pt>
                <c:pt idx="45">
                  <c:v>45.91</c:v>
                </c:pt>
                <c:pt idx="46">
                  <c:v>46.02</c:v>
                </c:pt>
                <c:pt idx="47">
                  <c:v>46.1</c:v>
                </c:pt>
                <c:pt idx="48">
                  <c:v>46.16</c:v>
                </c:pt>
                <c:pt idx="49">
                  <c:v>46.23</c:v>
                </c:pt>
                <c:pt idx="50">
                  <c:v>46.25</c:v>
                </c:pt>
                <c:pt idx="51">
                  <c:v>46.3</c:v>
                </c:pt>
                <c:pt idx="52">
                  <c:v>46.7</c:v>
                </c:pt>
                <c:pt idx="53">
                  <c:v>47.68</c:v>
                </c:pt>
                <c:pt idx="54">
                  <c:v>49.14</c:v>
                </c:pt>
                <c:pt idx="55">
                  <c:v>50.66</c:v>
                </c:pt>
                <c:pt idx="56">
                  <c:v>52.25</c:v>
                </c:pt>
                <c:pt idx="57">
                  <c:v>53.63</c:v>
                </c:pt>
                <c:pt idx="58">
                  <c:v>54.8</c:v>
                </c:pt>
                <c:pt idx="59">
                  <c:v>55.81</c:v>
                </c:pt>
                <c:pt idx="60">
                  <c:v>56.76</c:v>
                </c:pt>
                <c:pt idx="61">
                  <c:v>57.45</c:v>
                </c:pt>
                <c:pt idx="62">
                  <c:v>58.04</c:v>
                </c:pt>
                <c:pt idx="63">
                  <c:v>58.56</c:v>
                </c:pt>
                <c:pt idx="64">
                  <c:v>59.01</c:v>
                </c:pt>
                <c:pt idx="65">
                  <c:v>59.32</c:v>
                </c:pt>
                <c:pt idx="66">
                  <c:v>59.75</c:v>
                </c:pt>
                <c:pt idx="67">
                  <c:v>59.97</c:v>
                </c:pt>
                <c:pt idx="68">
                  <c:v>60.29</c:v>
                </c:pt>
                <c:pt idx="69">
                  <c:v>60.67</c:v>
                </c:pt>
                <c:pt idx="70">
                  <c:v>60.87</c:v>
                </c:pt>
                <c:pt idx="71">
                  <c:v>61.16</c:v>
                </c:pt>
                <c:pt idx="72">
                  <c:v>61.4</c:v>
                </c:pt>
                <c:pt idx="73">
                  <c:v>61.65</c:v>
                </c:pt>
                <c:pt idx="74">
                  <c:v>61.97</c:v>
                </c:pt>
                <c:pt idx="75">
                  <c:v>62.23</c:v>
                </c:pt>
                <c:pt idx="76">
                  <c:v>62.49</c:v>
                </c:pt>
                <c:pt idx="77">
                  <c:v>62.84</c:v>
                </c:pt>
                <c:pt idx="78">
                  <c:v>63.14</c:v>
                </c:pt>
                <c:pt idx="79">
                  <c:v>63.48</c:v>
                </c:pt>
                <c:pt idx="80">
                  <c:v>63.82</c:v>
                </c:pt>
                <c:pt idx="81">
                  <c:v>64.040000000000006</c:v>
                </c:pt>
                <c:pt idx="82">
                  <c:v>64.37</c:v>
                </c:pt>
                <c:pt idx="83">
                  <c:v>64.680000000000007</c:v>
                </c:pt>
                <c:pt idx="84">
                  <c:v>64.989999999999995</c:v>
                </c:pt>
                <c:pt idx="85">
                  <c:v>65.33</c:v>
                </c:pt>
                <c:pt idx="86">
                  <c:v>65.69</c:v>
                </c:pt>
                <c:pt idx="87">
                  <c:v>65.98</c:v>
                </c:pt>
                <c:pt idx="88">
                  <c:v>66.3</c:v>
                </c:pt>
                <c:pt idx="89">
                  <c:v>66.599999999999994</c:v>
                </c:pt>
                <c:pt idx="90">
                  <c:v>66.930000000000007</c:v>
                </c:pt>
                <c:pt idx="91">
                  <c:v>67.31</c:v>
                </c:pt>
                <c:pt idx="92">
                  <c:v>67.650000000000006</c:v>
                </c:pt>
                <c:pt idx="93">
                  <c:v>68</c:v>
                </c:pt>
                <c:pt idx="94">
                  <c:v>68.33</c:v>
                </c:pt>
                <c:pt idx="95">
                  <c:v>68.650000000000006</c:v>
                </c:pt>
                <c:pt idx="96">
                  <c:v>69.010000000000005</c:v>
                </c:pt>
                <c:pt idx="97">
                  <c:v>69.33</c:v>
                </c:pt>
                <c:pt idx="98">
                  <c:v>69.67</c:v>
                </c:pt>
                <c:pt idx="99">
                  <c:v>70</c:v>
                </c:pt>
                <c:pt idx="100">
                  <c:v>70.290000000000006</c:v>
                </c:pt>
                <c:pt idx="101">
                  <c:v>70.599999999999994</c:v>
                </c:pt>
                <c:pt idx="102">
                  <c:v>70.959999999999994</c:v>
                </c:pt>
                <c:pt idx="103">
                  <c:v>71.28</c:v>
                </c:pt>
                <c:pt idx="104">
                  <c:v>71.69</c:v>
                </c:pt>
                <c:pt idx="105">
                  <c:v>71.989999999999995</c:v>
                </c:pt>
                <c:pt idx="106">
                  <c:v>72.34</c:v>
                </c:pt>
                <c:pt idx="107">
                  <c:v>72.7</c:v>
                </c:pt>
                <c:pt idx="108">
                  <c:v>73.03</c:v>
                </c:pt>
                <c:pt idx="109">
                  <c:v>73.42</c:v>
                </c:pt>
                <c:pt idx="110">
                  <c:v>73.739999999999995</c:v>
                </c:pt>
                <c:pt idx="111">
                  <c:v>74.08</c:v>
                </c:pt>
                <c:pt idx="112">
                  <c:v>74.34</c:v>
                </c:pt>
                <c:pt idx="113">
                  <c:v>74.72</c:v>
                </c:pt>
                <c:pt idx="114">
                  <c:v>75.02</c:v>
                </c:pt>
                <c:pt idx="115">
                  <c:v>75.349999999999994</c:v>
                </c:pt>
                <c:pt idx="116">
                  <c:v>75.709999999999994</c:v>
                </c:pt>
                <c:pt idx="117">
                  <c:v>76.05</c:v>
                </c:pt>
                <c:pt idx="118">
                  <c:v>76.349999999999994</c:v>
                </c:pt>
                <c:pt idx="119">
                  <c:v>76.64</c:v>
                </c:pt>
                <c:pt idx="120">
                  <c:v>77.069999999999993</c:v>
                </c:pt>
                <c:pt idx="121">
                  <c:v>77.39</c:v>
                </c:pt>
                <c:pt idx="122">
                  <c:v>77.72</c:v>
                </c:pt>
                <c:pt idx="123">
                  <c:v>78.02</c:v>
                </c:pt>
                <c:pt idx="124">
                  <c:v>78.36</c:v>
                </c:pt>
                <c:pt idx="125">
                  <c:v>78.709999999999994</c:v>
                </c:pt>
                <c:pt idx="126">
                  <c:v>79.069999999999993</c:v>
                </c:pt>
                <c:pt idx="127">
                  <c:v>79.319999999999993</c:v>
                </c:pt>
                <c:pt idx="128">
                  <c:v>79.73</c:v>
                </c:pt>
                <c:pt idx="129">
                  <c:v>80.13</c:v>
                </c:pt>
                <c:pt idx="130">
                  <c:v>80.39</c:v>
                </c:pt>
                <c:pt idx="131">
                  <c:v>80.78</c:v>
                </c:pt>
                <c:pt idx="132">
                  <c:v>81.08</c:v>
                </c:pt>
                <c:pt idx="133">
                  <c:v>81.45</c:v>
                </c:pt>
                <c:pt idx="134">
                  <c:v>81.790000000000006</c:v>
                </c:pt>
                <c:pt idx="135">
                  <c:v>82.11</c:v>
                </c:pt>
                <c:pt idx="136">
                  <c:v>82.23</c:v>
                </c:pt>
                <c:pt idx="137">
                  <c:v>82.21</c:v>
                </c:pt>
                <c:pt idx="138">
                  <c:v>82.09</c:v>
                </c:pt>
                <c:pt idx="139">
                  <c:v>82.03</c:v>
                </c:pt>
                <c:pt idx="140">
                  <c:v>81.83</c:v>
                </c:pt>
                <c:pt idx="141">
                  <c:v>81.709999999999994</c:v>
                </c:pt>
                <c:pt idx="142">
                  <c:v>81.53</c:v>
                </c:pt>
                <c:pt idx="143">
                  <c:v>81.510000000000005</c:v>
                </c:pt>
                <c:pt idx="144">
                  <c:v>81.38</c:v>
                </c:pt>
                <c:pt idx="145">
                  <c:v>81.31</c:v>
                </c:pt>
                <c:pt idx="146">
                  <c:v>81.209999999999994</c:v>
                </c:pt>
                <c:pt idx="147">
                  <c:v>81.16</c:v>
                </c:pt>
                <c:pt idx="148">
                  <c:v>81.099999999999994</c:v>
                </c:pt>
                <c:pt idx="149">
                  <c:v>81.040000000000006</c:v>
                </c:pt>
                <c:pt idx="150">
                  <c:v>81.040000000000006</c:v>
                </c:pt>
                <c:pt idx="151">
                  <c:v>80.98</c:v>
                </c:pt>
                <c:pt idx="152">
                  <c:v>80.930000000000007</c:v>
                </c:pt>
                <c:pt idx="153">
                  <c:v>80.959999999999994</c:v>
                </c:pt>
                <c:pt idx="154">
                  <c:v>81.02</c:v>
                </c:pt>
                <c:pt idx="155">
                  <c:v>81.03</c:v>
                </c:pt>
                <c:pt idx="156">
                  <c:v>80.959999999999994</c:v>
                </c:pt>
                <c:pt idx="157">
                  <c:v>80.88</c:v>
                </c:pt>
                <c:pt idx="158">
                  <c:v>80.930000000000007</c:v>
                </c:pt>
                <c:pt idx="159">
                  <c:v>80.92</c:v>
                </c:pt>
                <c:pt idx="160">
                  <c:v>80.92</c:v>
                </c:pt>
                <c:pt idx="161">
                  <c:v>80.959999999999994</c:v>
                </c:pt>
                <c:pt idx="162">
                  <c:v>80.95</c:v>
                </c:pt>
                <c:pt idx="163">
                  <c:v>80.98</c:v>
                </c:pt>
                <c:pt idx="164">
                  <c:v>80.91</c:v>
                </c:pt>
                <c:pt idx="165">
                  <c:v>80.849999999999994</c:v>
                </c:pt>
                <c:pt idx="166">
                  <c:v>80.89</c:v>
                </c:pt>
                <c:pt idx="167">
                  <c:v>80.900000000000006</c:v>
                </c:pt>
                <c:pt idx="168">
                  <c:v>80.87</c:v>
                </c:pt>
                <c:pt idx="169">
                  <c:v>80.849999999999994</c:v>
                </c:pt>
                <c:pt idx="170">
                  <c:v>80.900000000000006</c:v>
                </c:pt>
                <c:pt idx="171">
                  <c:v>80.95</c:v>
                </c:pt>
                <c:pt idx="172">
                  <c:v>80.930000000000007</c:v>
                </c:pt>
                <c:pt idx="173">
                  <c:v>80.97</c:v>
                </c:pt>
                <c:pt idx="174">
                  <c:v>80.88</c:v>
                </c:pt>
              </c:numCache>
            </c:numRef>
          </c:val>
          <c:smooth val="0"/>
          <c:extLst>
            <c:ext xmlns:c16="http://schemas.microsoft.com/office/drawing/2014/chart" uri="{C3380CC4-5D6E-409C-BE32-E72D297353CC}">
              <c16:uniqueId val="{00000003-596F-4BF5-AD6A-6719B76DDAA7}"/>
            </c:ext>
          </c:extLst>
        </c:ser>
        <c:ser>
          <c:idx val="8"/>
          <c:order val="8"/>
          <c:tx>
            <c:strRef>
              <c:f>'transfert 80'!$J$1</c:f>
              <c:strCache>
                <c:ptCount val="1"/>
                <c:pt idx="0">
                  <c:v>Connecteur 9</c:v>
                </c:pt>
              </c:strCache>
            </c:strRef>
          </c:tx>
          <c:marker>
            <c:symbol val="none"/>
          </c:marker>
          <c:cat>
            <c:strRef>
              <c:f>'transfert 80'!$A$2:$A$176</c:f>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cat>
          <c:val>
            <c:numRef>
              <c:f>'transfert 80'!$J$2:$J$176</c:f>
              <c:numCache>
                <c:formatCode>General</c:formatCode>
                <c:ptCount val="175"/>
                <c:pt idx="0">
                  <c:v>41.31</c:v>
                </c:pt>
                <c:pt idx="1">
                  <c:v>41.69</c:v>
                </c:pt>
                <c:pt idx="2">
                  <c:v>41.89</c:v>
                </c:pt>
                <c:pt idx="3">
                  <c:v>42.03</c:v>
                </c:pt>
                <c:pt idx="4">
                  <c:v>42.11</c:v>
                </c:pt>
                <c:pt idx="5">
                  <c:v>42.29</c:v>
                </c:pt>
                <c:pt idx="6">
                  <c:v>42.39</c:v>
                </c:pt>
                <c:pt idx="7">
                  <c:v>42.55</c:v>
                </c:pt>
                <c:pt idx="8">
                  <c:v>42.67</c:v>
                </c:pt>
                <c:pt idx="9">
                  <c:v>42.79</c:v>
                </c:pt>
                <c:pt idx="10">
                  <c:v>42.89</c:v>
                </c:pt>
                <c:pt idx="11">
                  <c:v>42.96</c:v>
                </c:pt>
                <c:pt idx="12">
                  <c:v>43.09</c:v>
                </c:pt>
                <c:pt idx="13">
                  <c:v>43.25</c:v>
                </c:pt>
                <c:pt idx="14">
                  <c:v>43.34</c:v>
                </c:pt>
                <c:pt idx="15">
                  <c:v>43.4</c:v>
                </c:pt>
                <c:pt idx="16">
                  <c:v>43.54</c:v>
                </c:pt>
                <c:pt idx="17">
                  <c:v>43.62</c:v>
                </c:pt>
                <c:pt idx="18">
                  <c:v>43.7</c:v>
                </c:pt>
                <c:pt idx="19">
                  <c:v>43.84</c:v>
                </c:pt>
                <c:pt idx="20">
                  <c:v>43.89</c:v>
                </c:pt>
                <c:pt idx="21">
                  <c:v>44</c:v>
                </c:pt>
                <c:pt idx="22">
                  <c:v>44.1</c:v>
                </c:pt>
                <c:pt idx="23">
                  <c:v>44.22</c:v>
                </c:pt>
                <c:pt idx="24">
                  <c:v>44.25</c:v>
                </c:pt>
                <c:pt idx="25">
                  <c:v>44.35</c:v>
                </c:pt>
                <c:pt idx="26">
                  <c:v>44.48</c:v>
                </c:pt>
                <c:pt idx="27">
                  <c:v>44.52</c:v>
                </c:pt>
                <c:pt idx="28">
                  <c:v>44.63</c:v>
                </c:pt>
                <c:pt idx="29">
                  <c:v>44.71</c:v>
                </c:pt>
                <c:pt idx="30">
                  <c:v>44.79</c:v>
                </c:pt>
                <c:pt idx="31">
                  <c:v>44.84</c:v>
                </c:pt>
                <c:pt idx="32">
                  <c:v>44.95</c:v>
                </c:pt>
                <c:pt idx="33">
                  <c:v>44.99</c:v>
                </c:pt>
                <c:pt idx="34">
                  <c:v>45.1</c:v>
                </c:pt>
                <c:pt idx="35">
                  <c:v>45.13</c:v>
                </c:pt>
                <c:pt idx="36">
                  <c:v>45.18</c:v>
                </c:pt>
                <c:pt idx="37">
                  <c:v>45.3</c:v>
                </c:pt>
                <c:pt idx="38">
                  <c:v>45.39</c:v>
                </c:pt>
                <c:pt idx="39">
                  <c:v>45.44</c:v>
                </c:pt>
                <c:pt idx="40">
                  <c:v>45.49</c:v>
                </c:pt>
                <c:pt idx="41">
                  <c:v>45.6</c:v>
                </c:pt>
                <c:pt idx="42">
                  <c:v>45.69</c:v>
                </c:pt>
                <c:pt idx="43">
                  <c:v>45.71</c:v>
                </c:pt>
                <c:pt idx="44">
                  <c:v>45.79</c:v>
                </c:pt>
                <c:pt idx="45">
                  <c:v>45.82</c:v>
                </c:pt>
                <c:pt idx="46">
                  <c:v>45.92</c:v>
                </c:pt>
                <c:pt idx="47">
                  <c:v>46.02</c:v>
                </c:pt>
                <c:pt idx="48">
                  <c:v>46.06</c:v>
                </c:pt>
                <c:pt idx="49">
                  <c:v>46.12</c:v>
                </c:pt>
                <c:pt idx="50">
                  <c:v>46.11</c:v>
                </c:pt>
                <c:pt idx="51">
                  <c:v>46.23</c:v>
                </c:pt>
                <c:pt idx="52">
                  <c:v>46.45</c:v>
                </c:pt>
                <c:pt idx="53">
                  <c:v>47.36</c:v>
                </c:pt>
                <c:pt idx="54">
                  <c:v>48.69</c:v>
                </c:pt>
                <c:pt idx="55">
                  <c:v>50.21</c:v>
                </c:pt>
                <c:pt idx="56">
                  <c:v>51.68</c:v>
                </c:pt>
                <c:pt idx="57">
                  <c:v>53.05</c:v>
                </c:pt>
                <c:pt idx="58">
                  <c:v>54.2</c:v>
                </c:pt>
                <c:pt idx="59">
                  <c:v>55.33</c:v>
                </c:pt>
                <c:pt idx="60">
                  <c:v>56.18</c:v>
                </c:pt>
                <c:pt idx="61">
                  <c:v>56.94</c:v>
                </c:pt>
                <c:pt idx="62">
                  <c:v>57.47</c:v>
                </c:pt>
                <c:pt idx="63">
                  <c:v>58.07</c:v>
                </c:pt>
                <c:pt idx="64">
                  <c:v>58.44</c:v>
                </c:pt>
                <c:pt idx="65">
                  <c:v>58.76</c:v>
                </c:pt>
                <c:pt idx="66">
                  <c:v>59.17</c:v>
                </c:pt>
                <c:pt idx="67">
                  <c:v>59.51</c:v>
                </c:pt>
                <c:pt idx="68">
                  <c:v>59.76</c:v>
                </c:pt>
                <c:pt idx="69">
                  <c:v>60.1</c:v>
                </c:pt>
                <c:pt idx="70">
                  <c:v>60.35</c:v>
                </c:pt>
                <c:pt idx="71">
                  <c:v>60.6</c:v>
                </c:pt>
                <c:pt idx="72">
                  <c:v>60.92</c:v>
                </c:pt>
                <c:pt idx="73">
                  <c:v>61.2</c:v>
                </c:pt>
                <c:pt idx="74">
                  <c:v>61.48</c:v>
                </c:pt>
                <c:pt idx="75">
                  <c:v>61.75</c:v>
                </c:pt>
                <c:pt idx="76">
                  <c:v>62.08</c:v>
                </c:pt>
                <c:pt idx="77">
                  <c:v>62.39</c:v>
                </c:pt>
                <c:pt idx="78">
                  <c:v>62.65</c:v>
                </c:pt>
                <c:pt idx="79">
                  <c:v>63.04</c:v>
                </c:pt>
                <c:pt idx="80">
                  <c:v>63.31</c:v>
                </c:pt>
                <c:pt idx="81">
                  <c:v>63.6</c:v>
                </c:pt>
                <c:pt idx="82">
                  <c:v>63.89</c:v>
                </c:pt>
                <c:pt idx="83">
                  <c:v>64.19</c:v>
                </c:pt>
                <c:pt idx="84">
                  <c:v>64.56</c:v>
                </c:pt>
                <c:pt idx="85">
                  <c:v>64.88</c:v>
                </c:pt>
                <c:pt idx="86">
                  <c:v>65.180000000000007</c:v>
                </c:pt>
                <c:pt idx="87">
                  <c:v>65.52</c:v>
                </c:pt>
                <c:pt idx="88">
                  <c:v>65.819999999999993</c:v>
                </c:pt>
                <c:pt idx="89">
                  <c:v>66.180000000000007</c:v>
                </c:pt>
                <c:pt idx="90">
                  <c:v>66.489999999999995</c:v>
                </c:pt>
                <c:pt idx="91">
                  <c:v>66.84</c:v>
                </c:pt>
                <c:pt idx="92">
                  <c:v>67.13</c:v>
                </c:pt>
                <c:pt idx="93">
                  <c:v>67.42</c:v>
                </c:pt>
                <c:pt idx="94">
                  <c:v>67.819999999999993</c:v>
                </c:pt>
                <c:pt idx="95">
                  <c:v>68.14</c:v>
                </c:pt>
                <c:pt idx="96">
                  <c:v>68.52</c:v>
                </c:pt>
                <c:pt idx="97">
                  <c:v>68.819999999999993</c:v>
                </c:pt>
                <c:pt idx="98">
                  <c:v>69.17</c:v>
                </c:pt>
                <c:pt idx="99">
                  <c:v>69.489999999999995</c:v>
                </c:pt>
                <c:pt idx="100">
                  <c:v>69.760000000000005</c:v>
                </c:pt>
                <c:pt idx="101">
                  <c:v>70.05</c:v>
                </c:pt>
                <c:pt idx="102">
                  <c:v>70.47</c:v>
                </c:pt>
                <c:pt idx="103">
                  <c:v>70.77</c:v>
                </c:pt>
                <c:pt idx="104">
                  <c:v>71.13</c:v>
                </c:pt>
                <c:pt idx="105">
                  <c:v>71.44</c:v>
                </c:pt>
                <c:pt idx="106">
                  <c:v>71.77</c:v>
                </c:pt>
                <c:pt idx="107">
                  <c:v>72.19</c:v>
                </c:pt>
                <c:pt idx="108">
                  <c:v>72.489999999999995</c:v>
                </c:pt>
                <c:pt idx="109">
                  <c:v>72.86</c:v>
                </c:pt>
                <c:pt idx="110">
                  <c:v>73.19</c:v>
                </c:pt>
                <c:pt idx="111">
                  <c:v>73.5</c:v>
                </c:pt>
                <c:pt idx="112">
                  <c:v>73.77</c:v>
                </c:pt>
                <c:pt idx="113">
                  <c:v>74.13</c:v>
                </c:pt>
                <c:pt idx="114">
                  <c:v>74.42</c:v>
                </c:pt>
                <c:pt idx="115">
                  <c:v>74.81</c:v>
                </c:pt>
                <c:pt idx="116">
                  <c:v>75.099999999999994</c:v>
                </c:pt>
                <c:pt idx="117">
                  <c:v>75.459999999999994</c:v>
                </c:pt>
                <c:pt idx="118">
                  <c:v>75.8</c:v>
                </c:pt>
                <c:pt idx="119">
                  <c:v>76.13</c:v>
                </c:pt>
                <c:pt idx="120">
                  <c:v>76.489999999999995</c:v>
                </c:pt>
                <c:pt idx="121">
                  <c:v>76.78</c:v>
                </c:pt>
                <c:pt idx="122">
                  <c:v>77.11</c:v>
                </c:pt>
                <c:pt idx="123">
                  <c:v>77.489999999999995</c:v>
                </c:pt>
                <c:pt idx="124">
                  <c:v>77.72</c:v>
                </c:pt>
                <c:pt idx="125">
                  <c:v>78.099999999999994</c:v>
                </c:pt>
                <c:pt idx="126">
                  <c:v>78.47</c:v>
                </c:pt>
                <c:pt idx="127">
                  <c:v>78.66</c:v>
                </c:pt>
                <c:pt idx="128">
                  <c:v>79.069999999999993</c:v>
                </c:pt>
                <c:pt idx="129">
                  <c:v>79.48</c:v>
                </c:pt>
                <c:pt idx="130">
                  <c:v>79.78</c:v>
                </c:pt>
                <c:pt idx="131">
                  <c:v>80.180000000000007</c:v>
                </c:pt>
                <c:pt idx="132">
                  <c:v>80.47</c:v>
                </c:pt>
                <c:pt idx="133">
                  <c:v>80.8</c:v>
                </c:pt>
                <c:pt idx="134">
                  <c:v>81.150000000000006</c:v>
                </c:pt>
                <c:pt idx="135">
                  <c:v>81.47</c:v>
                </c:pt>
                <c:pt idx="136">
                  <c:v>81.599999999999994</c:v>
                </c:pt>
                <c:pt idx="137">
                  <c:v>81.62</c:v>
                </c:pt>
                <c:pt idx="138">
                  <c:v>81.58</c:v>
                </c:pt>
                <c:pt idx="139">
                  <c:v>81.48</c:v>
                </c:pt>
                <c:pt idx="140">
                  <c:v>81.33</c:v>
                </c:pt>
                <c:pt idx="141">
                  <c:v>81.239999999999995</c:v>
                </c:pt>
                <c:pt idx="142">
                  <c:v>81.12</c:v>
                </c:pt>
                <c:pt idx="143">
                  <c:v>81.010000000000005</c:v>
                </c:pt>
                <c:pt idx="144">
                  <c:v>80.87</c:v>
                </c:pt>
                <c:pt idx="145">
                  <c:v>80.819999999999993</c:v>
                </c:pt>
                <c:pt idx="146">
                  <c:v>80.760000000000005</c:v>
                </c:pt>
                <c:pt idx="147">
                  <c:v>80.739999999999995</c:v>
                </c:pt>
                <c:pt idx="148">
                  <c:v>80.7</c:v>
                </c:pt>
                <c:pt idx="149">
                  <c:v>80.61</c:v>
                </c:pt>
                <c:pt idx="150">
                  <c:v>80.59</c:v>
                </c:pt>
                <c:pt idx="151">
                  <c:v>80.5</c:v>
                </c:pt>
                <c:pt idx="152">
                  <c:v>80.510000000000005</c:v>
                </c:pt>
                <c:pt idx="153">
                  <c:v>80.510000000000005</c:v>
                </c:pt>
                <c:pt idx="154">
                  <c:v>80.58</c:v>
                </c:pt>
                <c:pt idx="155">
                  <c:v>80.59</c:v>
                </c:pt>
                <c:pt idx="156">
                  <c:v>80.569999999999993</c:v>
                </c:pt>
                <c:pt idx="157">
                  <c:v>80.52</c:v>
                </c:pt>
                <c:pt idx="158">
                  <c:v>80.569999999999993</c:v>
                </c:pt>
                <c:pt idx="159">
                  <c:v>80.55</c:v>
                </c:pt>
                <c:pt idx="160">
                  <c:v>80.510000000000005</c:v>
                </c:pt>
                <c:pt idx="161">
                  <c:v>80.540000000000006</c:v>
                </c:pt>
                <c:pt idx="162">
                  <c:v>80.55</c:v>
                </c:pt>
                <c:pt idx="163">
                  <c:v>80.56</c:v>
                </c:pt>
                <c:pt idx="164">
                  <c:v>80.540000000000006</c:v>
                </c:pt>
                <c:pt idx="165">
                  <c:v>80.489999999999995</c:v>
                </c:pt>
                <c:pt idx="166">
                  <c:v>80.47</c:v>
                </c:pt>
                <c:pt idx="167">
                  <c:v>80.489999999999995</c:v>
                </c:pt>
                <c:pt idx="168">
                  <c:v>80.47</c:v>
                </c:pt>
                <c:pt idx="169">
                  <c:v>80.48</c:v>
                </c:pt>
                <c:pt idx="170">
                  <c:v>80.510000000000005</c:v>
                </c:pt>
                <c:pt idx="171">
                  <c:v>80.56</c:v>
                </c:pt>
                <c:pt idx="172">
                  <c:v>80.569999999999993</c:v>
                </c:pt>
                <c:pt idx="173">
                  <c:v>80.53</c:v>
                </c:pt>
                <c:pt idx="174">
                  <c:v>80.510000000000005</c:v>
                </c:pt>
              </c:numCache>
            </c:numRef>
          </c:val>
          <c:smooth val="0"/>
          <c:extLst>
            <c:ext xmlns:c16="http://schemas.microsoft.com/office/drawing/2014/chart" uri="{C3380CC4-5D6E-409C-BE32-E72D297353CC}">
              <c16:uniqueId val="{00000004-596F-4BF5-AD6A-6719B76DDAA7}"/>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200'!$B$2:$B$93</c:f>
              <c:numCache>
                <c:formatCode>General</c:formatCode>
                <c:ptCount val="92"/>
                <c:pt idx="0">
                  <c:v>161.34</c:v>
                </c:pt>
                <c:pt idx="1">
                  <c:v>166.14</c:v>
                </c:pt>
                <c:pt idx="2">
                  <c:v>170.57</c:v>
                </c:pt>
                <c:pt idx="3">
                  <c:v>175.43</c:v>
                </c:pt>
                <c:pt idx="4">
                  <c:v>179.69</c:v>
                </c:pt>
                <c:pt idx="5">
                  <c:v>184.03</c:v>
                </c:pt>
                <c:pt idx="6">
                  <c:v>188.43</c:v>
                </c:pt>
                <c:pt idx="7">
                  <c:v>190.59</c:v>
                </c:pt>
                <c:pt idx="8">
                  <c:v>191.16</c:v>
                </c:pt>
                <c:pt idx="9">
                  <c:v>191.38</c:v>
                </c:pt>
                <c:pt idx="10">
                  <c:v>191.51</c:v>
                </c:pt>
                <c:pt idx="11">
                  <c:v>191.59</c:v>
                </c:pt>
                <c:pt idx="12">
                  <c:v>191.44</c:v>
                </c:pt>
                <c:pt idx="13">
                  <c:v>191.33</c:v>
                </c:pt>
                <c:pt idx="14">
                  <c:v>191.43</c:v>
                </c:pt>
                <c:pt idx="15">
                  <c:v>191.26</c:v>
                </c:pt>
                <c:pt idx="16">
                  <c:v>191.11</c:v>
                </c:pt>
                <c:pt idx="17">
                  <c:v>191.15</c:v>
                </c:pt>
                <c:pt idx="18">
                  <c:v>191.08</c:v>
                </c:pt>
                <c:pt idx="19">
                  <c:v>191.09</c:v>
                </c:pt>
                <c:pt idx="20">
                  <c:v>191.02</c:v>
                </c:pt>
                <c:pt idx="21">
                  <c:v>190.99</c:v>
                </c:pt>
                <c:pt idx="22">
                  <c:v>190.92</c:v>
                </c:pt>
                <c:pt idx="23">
                  <c:v>190.92</c:v>
                </c:pt>
                <c:pt idx="24">
                  <c:v>190.94</c:v>
                </c:pt>
                <c:pt idx="25">
                  <c:v>190.98</c:v>
                </c:pt>
                <c:pt idx="26">
                  <c:v>190.86</c:v>
                </c:pt>
                <c:pt idx="27">
                  <c:v>190.9</c:v>
                </c:pt>
                <c:pt idx="28">
                  <c:v>190.84</c:v>
                </c:pt>
                <c:pt idx="29">
                  <c:v>190.87</c:v>
                </c:pt>
                <c:pt idx="30">
                  <c:v>190.93</c:v>
                </c:pt>
                <c:pt idx="31">
                  <c:v>190.83</c:v>
                </c:pt>
                <c:pt idx="32">
                  <c:v>190.82</c:v>
                </c:pt>
                <c:pt idx="33">
                  <c:v>190.86</c:v>
                </c:pt>
                <c:pt idx="34">
                  <c:v>190.84</c:v>
                </c:pt>
                <c:pt idx="35">
                  <c:v>190.81</c:v>
                </c:pt>
                <c:pt idx="36">
                  <c:v>190.8</c:v>
                </c:pt>
                <c:pt idx="37">
                  <c:v>190.9</c:v>
                </c:pt>
                <c:pt idx="38">
                  <c:v>191.33</c:v>
                </c:pt>
                <c:pt idx="39">
                  <c:v>192.56</c:v>
                </c:pt>
                <c:pt idx="40">
                  <c:v>193.75</c:v>
                </c:pt>
                <c:pt idx="41">
                  <c:v>194.93</c:v>
                </c:pt>
                <c:pt idx="42">
                  <c:v>196.03</c:v>
                </c:pt>
                <c:pt idx="43">
                  <c:v>197.18</c:v>
                </c:pt>
                <c:pt idx="44">
                  <c:v>198.21</c:v>
                </c:pt>
                <c:pt idx="45">
                  <c:v>199.33</c:v>
                </c:pt>
                <c:pt idx="46">
                  <c:v>200.01</c:v>
                </c:pt>
                <c:pt idx="47">
                  <c:v>200.29</c:v>
                </c:pt>
                <c:pt idx="48">
                  <c:v>200.54</c:v>
                </c:pt>
                <c:pt idx="49">
                  <c:v>200.75</c:v>
                </c:pt>
                <c:pt idx="50">
                  <c:v>201.01</c:v>
                </c:pt>
                <c:pt idx="51">
                  <c:v>201.33</c:v>
                </c:pt>
                <c:pt idx="52">
                  <c:v>201.46</c:v>
                </c:pt>
                <c:pt idx="53">
                  <c:v>201.37</c:v>
                </c:pt>
                <c:pt idx="54">
                  <c:v>201.3</c:v>
                </c:pt>
                <c:pt idx="55">
                  <c:v>201.19</c:v>
                </c:pt>
                <c:pt idx="56">
                  <c:v>201.13</c:v>
                </c:pt>
                <c:pt idx="57">
                  <c:v>201.03</c:v>
                </c:pt>
                <c:pt idx="58">
                  <c:v>201.08</c:v>
                </c:pt>
                <c:pt idx="59">
                  <c:v>201.09</c:v>
                </c:pt>
                <c:pt idx="60">
                  <c:v>201.08</c:v>
                </c:pt>
                <c:pt idx="61">
                  <c:v>201.07</c:v>
                </c:pt>
                <c:pt idx="62">
                  <c:v>201.03</c:v>
                </c:pt>
                <c:pt idx="63">
                  <c:v>201.03</c:v>
                </c:pt>
                <c:pt idx="64">
                  <c:v>201</c:v>
                </c:pt>
                <c:pt idx="65">
                  <c:v>201.03</c:v>
                </c:pt>
                <c:pt idx="66">
                  <c:v>201.04</c:v>
                </c:pt>
                <c:pt idx="67">
                  <c:v>200.99</c:v>
                </c:pt>
                <c:pt idx="68">
                  <c:v>201.01</c:v>
                </c:pt>
                <c:pt idx="69">
                  <c:v>200.98</c:v>
                </c:pt>
                <c:pt idx="70">
                  <c:v>200.96</c:v>
                </c:pt>
                <c:pt idx="71">
                  <c:v>200.96</c:v>
                </c:pt>
                <c:pt idx="72">
                  <c:v>201.01</c:v>
                </c:pt>
                <c:pt idx="73">
                  <c:v>201.05</c:v>
                </c:pt>
                <c:pt idx="74">
                  <c:v>200.99</c:v>
                </c:pt>
                <c:pt idx="75">
                  <c:v>201.08</c:v>
                </c:pt>
                <c:pt idx="76">
                  <c:v>200.95</c:v>
                </c:pt>
                <c:pt idx="77">
                  <c:v>201.02</c:v>
                </c:pt>
                <c:pt idx="78">
                  <c:v>201.02</c:v>
                </c:pt>
                <c:pt idx="79">
                  <c:v>201.01</c:v>
                </c:pt>
                <c:pt idx="80">
                  <c:v>201.01</c:v>
                </c:pt>
                <c:pt idx="81">
                  <c:v>200.94</c:v>
                </c:pt>
                <c:pt idx="82">
                  <c:v>201.09</c:v>
                </c:pt>
                <c:pt idx="83">
                  <c:v>201.02</c:v>
                </c:pt>
                <c:pt idx="84">
                  <c:v>200.94</c:v>
                </c:pt>
                <c:pt idx="85">
                  <c:v>200.98</c:v>
                </c:pt>
                <c:pt idx="86">
                  <c:v>200.97</c:v>
                </c:pt>
                <c:pt idx="87">
                  <c:v>201.07</c:v>
                </c:pt>
                <c:pt idx="88">
                  <c:v>201.01</c:v>
                </c:pt>
                <c:pt idx="89">
                  <c:v>200.95</c:v>
                </c:pt>
                <c:pt idx="90">
                  <c:v>201.03</c:v>
                </c:pt>
                <c:pt idx="91">
                  <c:v>200.99</c:v>
                </c:pt>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200'!$C$2:$C$93</c:f>
              <c:numCache>
                <c:formatCode>General</c:formatCode>
                <c:ptCount val="92"/>
                <c:pt idx="0">
                  <c:v>159.86000000000001</c:v>
                </c:pt>
                <c:pt idx="1">
                  <c:v>164.64</c:v>
                </c:pt>
                <c:pt idx="2">
                  <c:v>168.97</c:v>
                </c:pt>
                <c:pt idx="3">
                  <c:v>173.62</c:v>
                </c:pt>
                <c:pt idx="4">
                  <c:v>177.98</c:v>
                </c:pt>
                <c:pt idx="5">
                  <c:v>182.39</c:v>
                </c:pt>
                <c:pt idx="6">
                  <c:v>186.48</c:v>
                </c:pt>
                <c:pt idx="7">
                  <c:v>189.01</c:v>
                </c:pt>
                <c:pt idx="8">
                  <c:v>189.81</c:v>
                </c:pt>
                <c:pt idx="9">
                  <c:v>190.01</c:v>
                </c:pt>
                <c:pt idx="10">
                  <c:v>190.38</c:v>
                </c:pt>
                <c:pt idx="11">
                  <c:v>190.64</c:v>
                </c:pt>
                <c:pt idx="12">
                  <c:v>190.56</c:v>
                </c:pt>
                <c:pt idx="13">
                  <c:v>190.5</c:v>
                </c:pt>
                <c:pt idx="14">
                  <c:v>190.54</c:v>
                </c:pt>
                <c:pt idx="15">
                  <c:v>190.52</c:v>
                </c:pt>
                <c:pt idx="16">
                  <c:v>190.53</c:v>
                </c:pt>
                <c:pt idx="17">
                  <c:v>190.55</c:v>
                </c:pt>
                <c:pt idx="18">
                  <c:v>190.54</c:v>
                </c:pt>
                <c:pt idx="19">
                  <c:v>190.54</c:v>
                </c:pt>
                <c:pt idx="20">
                  <c:v>190.57</c:v>
                </c:pt>
                <c:pt idx="21">
                  <c:v>190.59</c:v>
                </c:pt>
                <c:pt idx="22">
                  <c:v>190.55</c:v>
                </c:pt>
                <c:pt idx="23">
                  <c:v>190.53</c:v>
                </c:pt>
                <c:pt idx="24">
                  <c:v>190.58</c:v>
                </c:pt>
                <c:pt idx="25">
                  <c:v>190.61</c:v>
                </c:pt>
                <c:pt idx="26">
                  <c:v>190.58</c:v>
                </c:pt>
                <c:pt idx="27">
                  <c:v>190.61</c:v>
                </c:pt>
                <c:pt idx="28">
                  <c:v>190.63</c:v>
                </c:pt>
                <c:pt idx="29">
                  <c:v>190.65</c:v>
                </c:pt>
                <c:pt idx="30">
                  <c:v>190.67</c:v>
                </c:pt>
                <c:pt idx="31">
                  <c:v>190.61</c:v>
                </c:pt>
                <c:pt idx="32">
                  <c:v>190.64</c:v>
                </c:pt>
                <c:pt idx="33">
                  <c:v>190.65</c:v>
                </c:pt>
                <c:pt idx="34">
                  <c:v>190.65</c:v>
                </c:pt>
                <c:pt idx="35">
                  <c:v>190.63</c:v>
                </c:pt>
                <c:pt idx="36">
                  <c:v>190.65</c:v>
                </c:pt>
                <c:pt idx="37">
                  <c:v>190.71</c:v>
                </c:pt>
                <c:pt idx="38">
                  <c:v>191.1</c:v>
                </c:pt>
                <c:pt idx="39">
                  <c:v>192.24</c:v>
                </c:pt>
                <c:pt idx="40">
                  <c:v>193.42</c:v>
                </c:pt>
                <c:pt idx="41">
                  <c:v>194.57</c:v>
                </c:pt>
                <c:pt idx="42">
                  <c:v>195.68</c:v>
                </c:pt>
                <c:pt idx="43">
                  <c:v>196.8</c:v>
                </c:pt>
                <c:pt idx="44">
                  <c:v>197.81</c:v>
                </c:pt>
                <c:pt idx="45">
                  <c:v>198.91</c:v>
                </c:pt>
                <c:pt idx="46">
                  <c:v>199.71</c:v>
                </c:pt>
                <c:pt idx="47">
                  <c:v>199.97</c:v>
                </c:pt>
                <c:pt idx="48">
                  <c:v>200.23</c:v>
                </c:pt>
                <c:pt idx="49">
                  <c:v>200.43</c:v>
                </c:pt>
                <c:pt idx="50">
                  <c:v>200.74</c:v>
                </c:pt>
                <c:pt idx="51">
                  <c:v>201.02</c:v>
                </c:pt>
                <c:pt idx="52">
                  <c:v>201.16</c:v>
                </c:pt>
                <c:pt idx="53">
                  <c:v>201.13</c:v>
                </c:pt>
                <c:pt idx="54">
                  <c:v>201.01</c:v>
                </c:pt>
                <c:pt idx="55">
                  <c:v>200.98</c:v>
                </c:pt>
                <c:pt idx="56">
                  <c:v>200.92</c:v>
                </c:pt>
                <c:pt idx="57">
                  <c:v>200.87</c:v>
                </c:pt>
                <c:pt idx="58">
                  <c:v>200.91</c:v>
                </c:pt>
                <c:pt idx="59">
                  <c:v>200.87</c:v>
                </c:pt>
                <c:pt idx="60">
                  <c:v>200.88</c:v>
                </c:pt>
                <c:pt idx="61">
                  <c:v>200.87</c:v>
                </c:pt>
                <c:pt idx="62">
                  <c:v>200.85</c:v>
                </c:pt>
                <c:pt idx="63">
                  <c:v>200.83</c:v>
                </c:pt>
                <c:pt idx="64">
                  <c:v>200.79</c:v>
                </c:pt>
                <c:pt idx="65">
                  <c:v>200.85</c:v>
                </c:pt>
                <c:pt idx="66">
                  <c:v>200.86</c:v>
                </c:pt>
                <c:pt idx="67">
                  <c:v>200.85</c:v>
                </c:pt>
                <c:pt idx="68">
                  <c:v>200.86</c:v>
                </c:pt>
                <c:pt idx="69">
                  <c:v>200.8</c:v>
                </c:pt>
                <c:pt idx="70">
                  <c:v>200.78</c:v>
                </c:pt>
                <c:pt idx="71">
                  <c:v>200.83</c:v>
                </c:pt>
                <c:pt idx="72">
                  <c:v>200.83</c:v>
                </c:pt>
                <c:pt idx="73">
                  <c:v>200.84</c:v>
                </c:pt>
                <c:pt idx="74">
                  <c:v>200.85</c:v>
                </c:pt>
                <c:pt idx="75">
                  <c:v>200.82</c:v>
                </c:pt>
                <c:pt idx="76">
                  <c:v>200.8</c:v>
                </c:pt>
                <c:pt idx="77">
                  <c:v>200.83</c:v>
                </c:pt>
                <c:pt idx="78">
                  <c:v>200.87</c:v>
                </c:pt>
                <c:pt idx="79">
                  <c:v>200.83</c:v>
                </c:pt>
                <c:pt idx="80">
                  <c:v>200.83</c:v>
                </c:pt>
                <c:pt idx="81">
                  <c:v>200.79</c:v>
                </c:pt>
                <c:pt idx="82">
                  <c:v>200.92</c:v>
                </c:pt>
                <c:pt idx="83">
                  <c:v>200.84</c:v>
                </c:pt>
                <c:pt idx="84">
                  <c:v>200.79</c:v>
                </c:pt>
                <c:pt idx="85">
                  <c:v>200.82</c:v>
                </c:pt>
                <c:pt idx="86">
                  <c:v>200.82</c:v>
                </c:pt>
                <c:pt idx="87">
                  <c:v>200.91</c:v>
                </c:pt>
                <c:pt idx="88">
                  <c:v>200.87</c:v>
                </c:pt>
                <c:pt idx="89">
                  <c:v>200.82</c:v>
                </c:pt>
                <c:pt idx="90">
                  <c:v>200.87</c:v>
                </c:pt>
                <c:pt idx="91">
                  <c:v>200.79</c:v>
                </c:pt>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200'!$D$2:$D$93</c:f>
              <c:numCache>
                <c:formatCode>General</c:formatCode>
                <c:ptCount val="92"/>
                <c:pt idx="0">
                  <c:v>160.16999999999999</c:v>
                </c:pt>
                <c:pt idx="1">
                  <c:v>164.76</c:v>
                </c:pt>
                <c:pt idx="2">
                  <c:v>169.28</c:v>
                </c:pt>
                <c:pt idx="3">
                  <c:v>173.71</c:v>
                </c:pt>
                <c:pt idx="4">
                  <c:v>178.11</c:v>
                </c:pt>
                <c:pt idx="5">
                  <c:v>182.53</c:v>
                </c:pt>
                <c:pt idx="6">
                  <c:v>186.78</c:v>
                </c:pt>
                <c:pt idx="7">
                  <c:v>189.02</c:v>
                </c:pt>
                <c:pt idx="8">
                  <c:v>189.79</c:v>
                </c:pt>
                <c:pt idx="9">
                  <c:v>189.93</c:v>
                </c:pt>
                <c:pt idx="10">
                  <c:v>190.25</c:v>
                </c:pt>
                <c:pt idx="11">
                  <c:v>190.42</c:v>
                </c:pt>
                <c:pt idx="12">
                  <c:v>190.39</c:v>
                </c:pt>
                <c:pt idx="13">
                  <c:v>190.4</c:v>
                </c:pt>
                <c:pt idx="14">
                  <c:v>190.45</c:v>
                </c:pt>
                <c:pt idx="15">
                  <c:v>190.36</c:v>
                </c:pt>
                <c:pt idx="16">
                  <c:v>190.33</c:v>
                </c:pt>
                <c:pt idx="17">
                  <c:v>190.41</c:v>
                </c:pt>
                <c:pt idx="18">
                  <c:v>190.4</c:v>
                </c:pt>
                <c:pt idx="19">
                  <c:v>190.42</c:v>
                </c:pt>
                <c:pt idx="20">
                  <c:v>190.47</c:v>
                </c:pt>
                <c:pt idx="21">
                  <c:v>190.47</c:v>
                </c:pt>
                <c:pt idx="22">
                  <c:v>190.39</c:v>
                </c:pt>
                <c:pt idx="23">
                  <c:v>190.4</c:v>
                </c:pt>
                <c:pt idx="24">
                  <c:v>190.43</c:v>
                </c:pt>
                <c:pt idx="25">
                  <c:v>190.5</c:v>
                </c:pt>
                <c:pt idx="26">
                  <c:v>190.48</c:v>
                </c:pt>
                <c:pt idx="27">
                  <c:v>190.46</c:v>
                </c:pt>
                <c:pt idx="28">
                  <c:v>190.51</c:v>
                </c:pt>
                <c:pt idx="29">
                  <c:v>190.51</c:v>
                </c:pt>
                <c:pt idx="30">
                  <c:v>190.57</c:v>
                </c:pt>
                <c:pt idx="31">
                  <c:v>190.48</c:v>
                </c:pt>
                <c:pt idx="32">
                  <c:v>190.48</c:v>
                </c:pt>
                <c:pt idx="33">
                  <c:v>190.53</c:v>
                </c:pt>
                <c:pt idx="34">
                  <c:v>190.53</c:v>
                </c:pt>
                <c:pt idx="35">
                  <c:v>190.47</c:v>
                </c:pt>
                <c:pt idx="36">
                  <c:v>190.51</c:v>
                </c:pt>
                <c:pt idx="37">
                  <c:v>190.57</c:v>
                </c:pt>
                <c:pt idx="38">
                  <c:v>191.02</c:v>
                </c:pt>
                <c:pt idx="39">
                  <c:v>192.14</c:v>
                </c:pt>
                <c:pt idx="40">
                  <c:v>193.41</c:v>
                </c:pt>
                <c:pt idx="41">
                  <c:v>194.51</c:v>
                </c:pt>
                <c:pt idx="42">
                  <c:v>195.6</c:v>
                </c:pt>
                <c:pt idx="43">
                  <c:v>196.72</c:v>
                </c:pt>
                <c:pt idx="44">
                  <c:v>197.78</c:v>
                </c:pt>
                <c:pt idx="45">
                  <c:v>198.89</c:v>
                </c:pt>
                <c:pt idx="46">
                  <c:v>199.6</c:v>
                </c:pt>
                <c:pt idx="47">
                  <c:v>199.83</c:v>
                </c:pt>
                <c:pt idx="48">
                  <c:v>200.11</c:v>
                </c:pt>
                <c:pt idx="49">
                  <c:v>200.31</c:v>
                </c:pt>
                <c:pt idx="50">
                  <c:v>200.59</c:v>
                </c:pt>
                <c:pt idx="51">
                  <c:v>200.9</c:v>
                </c:pt>
                <c:pt idx="52">
                  <c:v>201.07</c:v>
                </c:pt>
                <c:pt idx="53">
                  <c:v>200.95</c:v>
                </c:pt>
                <c:pt idx="54">
                  <c:v>200.85</c:v>
                </c:pt>
                <c:pt idx="55">
                  <c:v>200.85</c:v>
                </c:pt>
                <c:pt idx="56">
                  <c:v>200.79</c:v>
                </c:pt>
                <c:pt idx="57">
                  <c:v>200.72</c:v>
                </c:pt>
                <c:pt idx="58">
                  <c:v>200.73</c:v>
                </c:pt>
                <c:pt idx="59">
                  <c:v>200.77</c:v>
                </c:pt>
                <c:pt idx="60">
                  <c:v>200.74</c:v>
                </c:pt>
                <c:pt idx="61">
                  <c:v>200.71</c:v>
                </c:pt>
                <c:pt idx="62">
                  <c:v>200.73</c:v>
                </c:pt>
                <c:pt idx="63">
                  <c:v>200.7</c:v>
                </c:pt>
                <c:pt idx="64">
                  <c:v>200.68</c:v>
                </c:pt>
                <c:pt idx="65">
                  <c:v>200.74</c:v>
                </c:pt>
                <c:pt idx="66">
                  <c:v>200.73</c:v>
                </c:pt>
                <c:pt idx="67">
                  <c:v>200.72</c:v>
                </c:pt>
                <c:pt idx="68">
                  <c:v>200.75</c:v>
                </c:pt>
                <c:pt idx="69">
                  <c:v>200.68</c:v>
                </c:pt>
                <c:pt idx="70">
                  <c:v>200.69</c:v>
                </c:pt>
                <c:pt idx="71">
                  <c:v>200.7</c:v>
                </c:pt>
                <c:pt idx="72">
                  <c:v>200.7</c:v>
                </c:pt>
                <c:pt idx="73">
                  <c:v>200.76</c:v>
                </c:pt>
                <c:pt idx="74">
                  <c:v>200.69</c:v>
                </c:pt>
                <c:pt idx="75">
                  <c:v>200.71</c:v>
                </c:pt>
                <c:pt idx="76">
                  <c:v>200.7</c:v>
                </c:pt>
                <c:pt idx="77">
                  <c:v>200.7</c:v>
                </c:pt>
                <c:pt idx="78">
                  <c:v>200.73</c:v>
                </c:pt>
                <c:pt idx="79">
                  <c:v>200.72</c:v>
                </c:pt>
                <c:pt idx="80">
                  <c:v>200.72</c:v>
                </c:pt>
                <c:pt idx="81">
                  <c:v>200.71</c:v>
                </c:pt>
                <c:pt idx="82">
                  <c:v>200.82</c:v>
                </c:pt>
                <c:pt idx="83">
                  <c:v>200.71</c:v>
                </c:pt>
                <c:pt idx="84">
                  <c:v>200.7</c:v>
                </c:pt>
                <c:pt idx="85">
                  <c:v>200.7</c:v>
                </c:pt>
                <c:pt idx="86">
                  <c:v>200.68</c:v>
                </c:pt>
                <c:pt idx="87">
                  <c:v>200.82</c:v>
                </c:pt>
                <c:pt idx="88">
                  <c:v>200.74</c:v>
                </c:pt>
                <c:pt idx="89">
                  <c:v>200.73</c:v>
                </c:pt>
                <c:pt idx="90">
                  <c:v>200.74</c:v>
                </c:pt>
                <c:pt idx="91">
                  <c:v>200.72</c:v>
                </c:pt>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200'!$E$2:$E$93</c:f>
              <c:numCache>
                <c:formatCode>General</c:formatCode>
                <c:ptCount val="92"/>
                <c:pt idx="0">
                  <c:v>162.84</c:v>
                </c:pt>
                <c:pt idx="1">
                  <c:v>167.51</c:v>
                </c:pt>
                <c:pt idx="2">
                  <c:v>171.98</c:v>
                </c:pt>
                <c:pt idx="3">
                  <c:v>176.45</c:v>
                </c:pt>
                <c:pt idx="4">
                  <c:v>180.98</c:v>
                </c:pt>
                <c:pt idx="5">
                  <c:v>185.5</c:v>
                </c:pt>
                <c:pt idx="6">
                  <c:v>189.36</c:v>
                </c:pt>
                <c:pt idx="7">
                  <c:v>191.47</c:v>
                </c:pt>
                <c:pt idx="8">
                  <c:v>191.69</c:v>
                </c:pt>
                <c:pt idx="9">
                  <c:v>191.58</c:v>
                </c:pt>
                <c:pt idx="10">
                  <c:v>191.63</c:v>
                </c:pt>
                <c:pt idx="11">
                  <c:v>191.58</c:v>
                </c:pt>
                <c:pt idx="12">
                  <c:v>191.38</c:v>
                </c:pt>
                <c:pt idx="13">
                  <c:v>191.19</c:v>
                </c:pt>
                <c:pt idx="14">
                  <c:v>191.12</c:v>
                </c:pt>
                <c:pt idx="15">
                  <c:v>190.99</c:v>
                </c:pt>
                <c:pt idx="16">
                  <c:v>190.92</c:v>
                </c:pt>
                <c:pt idx="17">
                  <c:v>190.85</c:v>
                </c:pt>
                <c:pt idx="18">
                  <c:v>190.83</c:v>
                </c:pt>
                <c:pt idx="19">
                  <c:v>190.78</c:v>
                </c:pt>
                <c:pt idx="20">
                  <c:v>190.75</c:v>
                </c:pt>
                <c:pt idx="21">
                  <c:v>190.73</c:v>
                </c:pt>
                <c:pt idx="22">
                  <c:v>190.68</c:v>
                </c:pt>
                <c:pt idx="23">
                  <c:v>190.6</c:v>
                </c:pt>
                <c:pt idx="24">
                  <c:v>190.68</c:v>
                </c:pt>
                <c:pt idx="25">
                  <c:v>190.74</c:v>
                </c:pt>
                <c:pt idx="26">
                  <c:v>190.65</c:v>
                </c:pt>
                <c:pt idx="27">
                  <c:v>190.65</c:v>
                </c:pt>
                <c:pt idx="28">
                  <c:v>190.66</c:v>
                </c:pt>
                <c:pt idx="29">
                  <c:v>190.64</c:v>
                </c:pt>
                <c:pt idx="30">
                  <c:v>190.72</c:v>
                </c:pt>
                <c:pt idx="31">
                  <c:v>190.63</c:v>
                </c:pt>
                <c:pt idx="32">
                  <c:v>190.65</c:v>
                </c:pt>
                <c:pt idx="33">
                  <c:v>190.69</c:v>
                </c:pt>
                <c:pt idx="34">
                  <c:v>190.68</c:v>
                </c:pt>
                <c:pt idx="35">
                  <c:v>190.61</c:v>
                </c:pt>
                <c:pt idx="36">
                  <c:v>190.65</c:v>
                </c:pt>
                <c:pt idx="37">
                  <c:v>190.7</c:v>
                </c:pt>
                <c:pt idx="38">
                  <c:v>191.23</c:v>
                </c:pt>
                <c:pt idx="39">
                  <c:v>192.48</c:v>
                </c:pt>
                <c:pt idx="40">
                  <c:v>193.81</c:v>
                </c:pt>
                <c:pt idx="41">
                  <c:v>195.01</c:v>
                </c:pt>
                <c:pt idx="42">
                  <c:v>196.16</c:v>
                </c:pt>
                <c:pt idx="43">
                  <c:v>197.34</c:v>
                </c:pt>
                <c:pt idx="44">
                  <c:v>198.38</c:v>
                </c:pt>
                <c:pt idx="45">
                  <c:v>199.56</c:v>
                </c:pt>
                <c:pt idx="46">
                  <c:v>200.22</c:v>
                </c:pt>
                <c:pt idx="47">
                  <c:v>200.39</c:v>
                </c:pt>
                <c:pt idx="48">
                  <c:v>200.62</c:v>
                </c:pt>
                <c:pt idx="49">
                  <c:v>200.78</c:v>
                </c:pt>
                <c:pt idx="50">
                  <c:v>200.98</c:v>
                </c:pt>
                <c:pt idx="51">
                  <c:v>201.28</c:v>
                </c:pt>
                <c:pt idx="52">
                  <c:v>201.47</c:v>
                </c:pt>
                <c:pt idx="53">
                  <c:v>201.22</c:v>
                </c:pt>
                <c:pt idx="54">
                  <c:v>201.16</c:v>
                </c:pt>
                <c:pt idx="55">
                  <c:v>201.1</c:v>
                </c:pt>
                <c:pt idx="56">
                  <c:v>201</c:v>
                </c:pt>
                <c:pt idx="57">
                  <c:v>200.9</c:v>
                </c:pt>
                <c:pt idx="58">
                  <c:v>200.92</c:v>
                </c:pt>
                <c:pt idx="59">
                  <c:v>200.93</c:v>
                </c:pt>
                <c:pt idx="60">
                  <c:v>200.88</c:v>
                </c:pt>
                <c:pt idx="61">
                  <c:v>200.87</c:v>
                </c:pt>
                <c:pt idx="62">
                  <c:v>200.88</c:v>
                </c:pt>
                <c:pt idx="63">
                  <c:v>200.82</c:v>
                </c:pt>
                <c:pt idx="64">
                  <c:v>200.76</c:v>
                </c:pt>
                <c:pt idx="65">
                  <c:v>200.9</c:v>
                </c:pt>
                <c:pt idx="66">
                  <c:v>200.86</c:v>
                </c:pt>
                <c:pt idx="67">
                  <c:v>200.85</c:v>
                </c:pt>
                <c:pt idx="68">
                  <c:v>200.88</c:v>
                </c:pt>
                <c:pt idx="69">
                  <c:v>200.83</c:v>
                </c:pt>
                <c:pt idx="70">
                  <c:v>200.82</c:v>
                </c:pt>
                <c:pt idx="71">
                  <c:v>200.83</c:v>
                </c:pt>
                <c:pt idx="72">
                  <c:v>200.86</c:v>
                </c:pt>
                <c:pt idx="73">
                  <c:v>200.86</c:v>
                </c:pt>
                <c:pt idx="74">
                  <c:v>200.8</c:v>
                </c:pt>
                <c:pt idx="75">
                  <c:v>200.86</c:v>
                </c:pt>
                <c:pt idx="76">
                  <c:v>200.79</c:v>
                </c:pt>
                <c:pt idx="77">
                  <c:v>200.82</c:v>
                </c:pt>
                <c:pt idx="78">
                  <c:v>200.86</c:v>
                </c:pt>
                <c:pt idx="79">
                  <c:v>200.85</c:v>
                </c:pt>
                <c:pt idx="80">
                  <c:v>200.85</c:v>
                </c:pt>
                <c:pt idx="81">
                  <c:v>200.82</c:v>
                </c:pt>
                <c:pt idx="82">
                  <c:v>200.9</c:v>
                </c:pt>
                <c:pt idx="83">
                  <c:v>200.79</c:v>
                </c:pt>
                <c:pt idx="84">
                  <c:v>200.78</c:v>
                </c:pt>
                <c:pt idx="85">
                  <c:v>200.83</c:v>
                </c:pt>
                <c:pt idx="86">
                  <c:v>200.81</c:v>
                </c:pt>
                <c:pt idx="87">
                  <c:v>200.92</c:v>
                </c:pt>
                <c:pt idx="88">
                  <c:v>200.86</c:v>
                </c:pt>
                <c:pt idx="89">
                  <c:v>200.81</c:v>
                </c:pt>
                <c:pt idx="90">
                  <c:v>200.83</c:v>
                </c:pt>
                <c:pt idx="91">
                  <c:v>200.79</c:v>
                </c:pt>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200'!$F$2:$F$93</c:f>
              <c:numCache>
                <c:formatCode>General</c:formatCode>
                <c:ptCount val="92"/>
                <c:pt idx="0">
                  <c:v>165.68</c:v>
                </c:pt>
                <c:pt idx="1">
                  <c:v>170.11</c:v>
                </c:pt>
                <c:pt idx="2">
                  <c:v>174.72</c:v>
                </c:pt>
                <c:pt idx="3">
                  <c:v>179.15</c:v>
                </c:pt>
                <c:pt idx="4">
                  <c:v>183.4</c:v>
                </c:pt>
                <c:pt idx="5">
                  <c:v>187.89</c:v>
                </c:pt>
                <c:pt idx="6">
                  <c:v>192.23</c:v>
                </c:pt>
                <c:pt idx="7">
                  <c:v>193.33</c:v>
                </c:pt>
                <c:pt idx="8">
                  <c:v>192.99</c:v>
                </c:pt>
                <c:pt idx="9">
                  <c:v>192.44</c:v>
                </c:pt>
                <c:pt idx="10">
                  <c:v>192.09</c:v>
                </c:pt>
                <c:pt idx="11">
                  <c:v>191.69</c:v>
                </c:pt>
                <c:pt idx="12">
                  <c:v>191.12</c:v>
                </c:pt>
                <c:pt idx="13">
                  <c:v>190.85</c:v>
                </c:pt>
                <c:pt idx="14">
                  <c:v>190.55</c:v>
                </c:pt>
                <c:pt idx="15">
                  <c:v>190.29</c:v>
                </c:pt>
                <c:pt idx="16">
                  <c:v>190.08</c:v>
                </c:pt>
                <c:pt idx="17">
                  <c:v>189.89</c:v>
                </c:pt>
                <c:pt idx="18">
                  <c:v>189.83</c:v>
                </c:pt>
                <c:pt idx="19">
                  <c:v>189.62</c:v>
                </c:pt>
                <c:pt idx="20">
                  <c:v>189.6</c:v>
                </c:pt>
                <c:pt idx="21">
                  <c:v>189.55</c:v>
                </c:pt>
                <c:pt idx="22">
                  <c:v>189.42</c:v>
                </c:pt>
                <c:pt idx="23">
                  <c:v>189.34</c:v>
                </c:pt>
                <c:pt idx="24">
                  <c:v>189.37</c:v>
                </c:pt>
                <c:pt idx="25">
                  <c:v>189.28</c:v>
                </c:pt>
                <c:pt idx="26">
                  <c:v>189.32</c:v>
                </c:pt>
                <c:pt idx="27">
                  <c:v>189.37</c:v>
                </c:pt>
                <c:pt idx="28">
                  <c:v>189.28</c:v>
                </c:pt>
                <c:pt idx="29">
                  <c:v>189.31</c:v>
                </c:pt>
                <c:pt idx="30">
                  <c:v>189.23</c:v>
                </c:pt>
                <c:pt idx="31">
                  <c:v>189.2</c:v>
                </c:pt>
                <c:pt idx="32">
                  <c:v>189.07</c:v>
                </c:pt>
                <c:pt idx="33">
                  <c:v>189.18</c:v>
                </c:pt>
                <c:pt idx="34">
                  <c:v>189.12</c:v>
                </c:pt>
                <c:pt idx="35">
                  <c:v>189.02</c:v>
                </c:pt>
                <c:pt idx="36">
                  <c:v>189.11</c:v>
                </c:pt>
                <c:pt idx="37">
                  <c:v>189.11</c:v>
                </c:pt>
                <c:pt idx="38">
                  <c:v>189.78</c:v>
                </c:pt>
                <c:pt idx="39">
                  <c:v>191.25</c:v>
                </c:pt>
                <c:pt idx="40">
                  <c:v>192.68</c:v>
                </c:pt>
                <c:pt idx="41">
                  <c:v>194.01</c:v>
                </c:pt>
                <c:pt idx="42">
                  <c:v>195.29</c:v>
                </c:pt>
                <c:pt idx="43">
                  <c:v>196.43</c:v>
                </c:pt>
                <c:pt idx="44">
                  <c:v>197.58</c:v>
                </c:pt>
                <c:pt idx="45">
                  <c:v>198.61</c:v>
                </c:pt>
                <c:pt idx="46">
                  <c:v>199.29</c:v>
                </c:pt>
                <c:pt idx="47">
                  <c:v>199.27</c:v>
                </c:pt>
                <c:pt idx="48">
                  <c:v>199.51</c:v>
                </c:pt>
                <c:pt idx="49">
                  <c:v>199.66</c:v>
                </c:pt>
                <c:pt idx="50">
                  <c:v>199.78</c:v>
                </c:pt>
                <c:pt idx="51">
                  <c:v>200.05</c:v>
                </c:pt>
                <c:pt idx="52">
                  <c:v>200.01</c:v>
                </c:pt>
                <c:pt idx="53">
                  <c:v>199.9</c:v>
                </c:pt>
                <c:pt idx="54">
                  <c:v>199.62</c:v>
                </c:pt>
                <c:pt idx="55">
                  <c:v>199.56</c:v>
                </c:pt>
                <c:pt idx="56">
                  <c:v>199.4</c:v>
                </c:pt>
                <c:pt idx="57">
                  <c:v>199.33</c:v>
                </c:pt>
                <c:pt idx="58">
                  <c:v>199.4</c:v>
                </c:pt>
                <c:pt idx="59">
                  <c:v>199.37</c:v>
                </c:pt>
                <c:pt idx="60">
                  <c:v>199.27</c:v>
                </c:pt>
                <c:pt idx="61">
                  <c:v>199.19</c:v>
                </c:pt>
                <c:pt idx="62">
                  <c:v>199.21</c:v>
                </c:pt>
                <c:pt idx="63">
                  <c:v>199.04</c:v>
                </c:pt>
                <c:pt idx="64">
                  <c:v>199.19</c:v>
                </c:pt>
                <c:pt idx="65">
                  <c:v>199.19</c:v>
                </c:pt>
                <c:pt idx="66">
                  <c:v>199.26</c:v>
                </c:pt>
                <c:pt idx="67">
                  <c:v>199.18</c:v>
                </c:pt>
                <c:pt idx="68">
                  <c:v>199.2</c:v>
                </c:pt>
                <c:pt idx="69">
                  <c:v>199.11</c:v>
                </c:pt>
                <c:pt idx="70">
                  <c:v>199.06</c:v>
                </c:pt>
                <c:pt idx="71">
                  <c:v>199.22</c:v>
                </c:pt>
                <c:pt idx="72">
                  <c:v>199.2</c:v>
                </c:pt>
                <c:pt idx="73">
                  <c:v>199.23</c:v>
                </c:pt>
                <c:pt idx="74">
                  <c:v>199.16</c:v>
                </c:pt>
                <c:pt idx="75">
                  <c:v>199.21</c:v>
                </c:pt>
                <c:pt idx="76">
                  <c:v>199.13</c:v>
                </c:pt>
                <c:pt idx="77">
                  <c:v>199.1</c:v>
                </c:pt>
                <c:pt idx="78">
                  <c:v>199.22</c:v>
                </c:pt>
                <c:pt idx="79">
                  <c:v>199.22</c:v>
                </c:pt>
                <c:pt idx="80">
                  <c:v>199.16</c:v>
                </c:pt>
                <c:pt idx="81">
                  <c:v>199.14</c:v>
                </c:pt>
                <c:pt idx="82">
                  <c:v>199.21</c:v>
                </c:pt>
                <c:pt idx="83">
                  <c:v>199</c:v>
                </c:pt>
                <c:pt idx="84">
                  <c:v>199.17</c:v>
                </c:pt>
                <c:pt idx="85">
                  <c:v>199.22</c:v>
                </c:pt>
                <c:pt idx="86">
                  <c:v>199.18</c:v>
                </c:pt>
                <c:pt idx="87">
                  <c:v>199.23</c:v>
                </c:pt>
                <c:pt idx="88">
                  <c:v>199.14</c:v>
                </c:pt>
                <c:pt idx="89">
                  <c:v>199.14</c:v>
                </c:pt>
                <c:pt idx="90">
                  <c:v>199.18</c:v>
                </c:pt>
                <c:pt idx="91">
                  <c:v>199.11</c:v>
                </c:pt>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200'!$G$2:$G$93</c:f>
              <c:numCache>
                <c:formatCode>General</c:formatCode>
                <c:ptCount val="92"/>
                <c:pt idx="0">
                  <c:v>164.69</c:v>
                </c:pt>
                <c:pt idx="1">
                  <c:v>169.31</c:v>
                </c:pt>
                <c:pt idx="2">
                  <c:v>173.82</c:v>
                </c:pt>
                <c:pt idx="3">
                  <c:v>178.38</c:v>
                </c:pt>
                <c:pt idx="4">
                  <c:v>183.06</c:v>
                </c:pt>
                <c:pt idx="5">
                  <c:v>187.26</c:v>
                </c:pt>
                <c:pt idx="6">
                  <c:v>191.89</c:v>
                </c:pt>
                <c:pt idx="7">
                  <c:v>193.2</c:v>
                </c:pt>
                <c:pt idx="8">
                  <c:v>193.43</c:v>
                </c:pt>
                <c:pt idx="9">
                  <c:v>193.45</c:v>
                </c:pt>
                <c:pt idx="10">
                  <c:v>193.29</c:v>
                </c:pt>
                <c:pt idx="11">
                  <c:v>193.31</c:v>
                </c:pt>
                <c:pt idx="12">
                  <c:v>193.03</c:v>
                </c:pt>
                <c:pt idx="13">
                  <c:v>192.78</c:v>
                </c:pt>
                <c:pt idx="14">
                  <c:v>192.68</c:v>
                </c:pt>
                <c:pt idx="15">
                  <c:v>192.49</c:v>
                </c:pt>
                <c:pt idx="16">
                  <c:v>192.31</c:v>
                </c:pt>
                <c:pt idx="17">
                  <c:v>192.25</c:v>
                </c:pt>
                <c:pt idx="18">
                  <c:v>192.13</c:v>
                </c:pt>
                <c:pt idx="19">
                  <c:v>192.05</c:v>
                </c:pt>
                <c:pt idx="20">
                  <c:v>192.03</c:v>
                </c:pt>
                <c:pt idx="21">
                  <c:v>191.94</c:v>
                </c:pt>
                <c:pt idx="22">
                  <c:v>191.82</c:v>
                </c:pt>
                <c:pt idx="23">
                  <c:v>191.8</c:v>
                </c:pt>
                <c:pt idx="24">
                  <c:v>191.81</c:v>
                </c:pt>
                <c:pt idx="25">
                  <c:v>191.79</c:v>
                </c:pt>
                <c:pt idx="26">
                  <c:v>191.72</c:v>
                </c:pt>
                <c:pt idx="27">
                  <c:v>191.76</c:v>
                </c:pt>
                <c:pt idx="28">
                  <c:v>191.7</c:v>
                </c:pt>
                <c:pt idx="29">
                  <c:v>191.68</c:v>
                </c:pt>
                <c:pt idx="30">
                  <c:v>191.68</c:v>
                </c:pt>
                <c:pt idx="31">
                  <c:v>191.57</c:v>
                </c:pt>
                <c:pt idx="32">
                  <c:v>191.56</c:v>
                </c:pt>
                <c:pt idx="33">
                  <c:v>191.58</c:v>
                </c:pt>
                <c:pt idx="34">
                  <c:v>191.57</c:v>
                </c:pt>
                <c:pt idx="35">
                  <c:v>191.52</c:v>
                </c:pt>
                <c:pt idx="36">
                  <c:v>191.53</c:v>
                </c:pt>
                <c:pt idx="37">
                  <c:v>191.57</c:v>
                </c:pt>
                <c:pt idx="38">
                  <c:v>192.16</c:v>
                </c:pt>
                <c:pt idx="39">
                  <c:v>193.49</c:v>
                </c:pt>
                <c:pt idx="40">
                  <c:v>194.88</c:v>
                </c:pt>
                <c:pt idx="41">
                  <c:v>196.06</c:v>
                </c:pt>
                <c:pt idx="42">
                  <c:v>197.31</c:v>
                </c:pt>
                <c:pt idx="43">
                  <c:v>198.47</c:v>
                </c:pt>
                <c:pt idx="44">
                  <c:v>199.46</c:v>
                </c:pt>
                <c:pt idx="45">
                  <c:v>200.62</c:v>
                </c:pt>
                <c:pt idx="46">
                  <c:v>201.25</c:v>
                </c:pt>
                <c:pt idx="47">
                  <c:v>201.34</c:v>
                </c:pt>
                <c:pt idx="48">
                  <c:v>201.61</c:v>
                </c:pt>
                <c:pt idx="49">
                  <c:v>201.74</c:v>
                </c:pt>
                <c:pt idx="50">
                  <c:v>201.99</c:v>
                </c:pt>
                <c:pt idx="51">
                  <c:v>202.27</c:v>
                </c:pt>
                <c:pt idx="52">
                  <c:v>202.3</c:v>
                </c:pt>
                <c:pt idx="53">
                  <c:v>202.16</c:v>
                </c:pt>
                <c:pt idx="54">
                  <c:v>201.99</c:v>
                </c:pt>
                <c:pt idx="55">
                  <c:v>201.95</c:v>
                </c:pt>
                <c:pt idx="56">
                  <c:v>201.87</c:v>
                </c:pt>
                <c:pt idx="57">
                  <c:v>201.75</c:v>
                </c:pt>
                <c:pt idx="58">
                  <c:v>201.72</c:v>
                </c:pt>
                <c:pt idx="59">
                  <c:v>201.73</c:v>
                </c:pt>
                <c:pt idx="60">
                  <c:v>201.72</c:v>
                </c:pt>
                <c:pt idx="61">
                  <c:v>201.67</c:v>
                </c:pt>
                <c:pt idx="62">
                  <c:v>201.67</c:v>
                </c:pt>
                <c:pt idx="63">
                  <c:v>201.6</c:v>
                </c:pt>
                <c:pt idx="64">
                  <c:v>201.62</c:v>
                </c:pt>
                <c:pt idx="65">
                  <c:v>201.65</c:v>
                </c:pt>
                <c:pt idx="66">
                  <c:v>201.67</c:v>
                </c:pt>
                <c:pt idx="67">
                  <c:v>201.61</c:v>
                </c:pt>
                <c:pt idx="68">
                  <c:v>201.62</c:v>
                </c:pt>
                <c:pt idx="69">
                  <c:v>201.56</c:v>
                </c:pt>
                <c:pt idx="70">
                  <c:v>201.52</c:v>
                </c:pt>
                <c:pt idx="71">
                  <c:v>201.56</c:v>
                </c:pt>
                <c:pt idx="72">
                  <c:v>201.57</c:v>
                </c:pt>
                <c:pt idx="73">
                  <c:v>201.59</c:v>
                </c:pt>
                <c:pt idx="74">
                  <c:v>201.56</c:v>
                </c:pt>
                <c:pt idx="75">
                  <c:v>201.55</c:v>
                </c:pt>
                <c:pt idx="76">
                  <c:v>201.49</c:v>
                </c:pt>
                <c:pt idx="77">
                  <c:v>201.53</c:v>
                </c:pt>
                <c:pt idx="78">
                  <c:v>201.51</c:v>
                </c:pt>
                <c:pt idx="79">
                  <c:v>201.56</c:v>
                </c:pt>
                <c:pt idx="80">
                  <c:v>201.53</c:v>
                </c:pt>
                <c:pt idx="81">
                  <c:v>201.54</c:v>
                </c:pt>
                <c:pt idx="82">
                  <c:v>201.6</c:v>
                </c:pt>
                <c:pt idx="83">
                  <c:v>201.5</c:v>
                </c:pt>
                <c:pt idx="84">
                  <c:v>201.52</c:v>
                </c:pt>
                <c:pt idx="85">
                  <c:v>201.54</c:v>
                </c:pt>
                <c:pt idx="86">
                  <c:v>201.5</c:v>
                </c:pt>
                <c:pt idx="87">
                  <c:v>201.57</c:v>
                </c:pt>
                <c:pt idx="88">
                  <c:v>201.54</c:v>
                </c:pt>
                <c:pt idx="89">
                  <c:v>201.53</c:v>
                </c:pt>
                <c:pt idx="90">
                  <c:v>201.54</c:v>
                </c:pt>
                <c:pt idx="91">
                  <c:v>201.54</c:v>
                </c:pt>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200'!$H$2:$H$93</c:f>
              <c:numCache>
                <c:formatCode>General</c:formatCode>
                <c:ptCount val="92"/>
                <c:pt idx="0">
                  <c:v>163.44999999999999</c:v>
                </c:pt>
                <c:pt idx="1">
                  <c:v>167.91</c:v>
                </c:pt>
                <c:pt idx="2">
                  <c:v>172.48</c:v>
                </c:pt>
                <c:pt idx="3">
                  <c:v>176.86</c:v>
                </c:pt>
                <c:pt idx="4">
                  <c:v>181.33</c:v>
                </c:pt>
                <c:pt idx="5">
                  <c:v>185.75</c:v>
                </c:pt>
                <c:pt idx="6">
                  <c:v>190.04</c:v>
                </c:pt>
                <c:pt idx="7">
                  <c:v>192.06</c:v>
                </c:pt>
                <c:pt idx="8">
                  <c:v>192.46</c:v>
                </c:pt>
                <c:pt idx="9">
                  <c:v>192.6</c:v>
                </c:pt>
                <c:pt idx="10">
                  <c:v>192.5</c:v>
                </c:pt>
                <c:pt idx="11">
                  <c:v>192.43</c:v>
                </c:pt>
                <c:pt idx="12">
                  <c:v>192.24</c:v>
                </c:pt>
                <c:pt idx="13">
                  <c:v>192.07</c:v>
                </c:pt>
                <c:pt idx="14">
                  <c:v>191.93</c:v>
                </c:pt>
                <c:pt idx="15">
                  <c:v>191.74</c:v>
                </c:pt>
                <c:pt idx="16">
                  <c:v>191.66</c:v>
                </c:pt>
                <c:pt idx="17">
                  <c:v>191.58</c:v>
                </c:pt>
                <c:pt idx="18">
                  <c:v>191.46</c:v>
                </c:pt>
                <c:pt idx="19">
                  <c:v>191.41</c:v>
                </c:pt>
                <c:pt idx="20">
                  <c:v>191.35</c:v>
                </c:pt>
                <c:pt idx="21">
                  <c:v>191.33</c:v>
                </c:pt>
                <c:pt idx="22">
                  <c:v>191.24</c:v>
                </c:pt>
                <c:pt idx="23">
                  <c:v>191.17</c:v>
                </c:pt>
                <c:pt idx="24">
                  <c:v>191.18</c:v>
                </c:pt>
                <c:pt idx="25">
                  <c:v>191.22</c:v>
                </c:pt>
                <c:pt idx="26">
                  <c:v>191.12</c:v>
                </c:pt>
                <c:pt idx="27">
                  <c:v>191.13</c:v>
                </c:pt>
                <c:pt idx="28">
                  <c:v>191.11</c:v>
                </c:pt>
                <c:pt idx="29">
                  <c:v>191.13</c:v>
                </c:pt>
                <c:pt idx="30">
                  <c:v>191.1</c:v>
                </c:pt>
                <c:pt idx="31">
                  <c:v>191.01</c:v>
                </c:pt>
                <c:pt idx="32">
                  <c:v>191.08</c:v>
                </c:pt>
                <c:pt idx="33">
                  <c:v>191.05</c:v>
                </c:pt>
                <c:pt idx="34">
                  <c:v>191.06</c:v>
                </c:pt>
                <c:pt idx="35">
                  <c:v>191.02</c:v>
                </c:pt>
                <c:pt idx="36">
                  <c:v>190.98</c:v>
                </c:pt>
                <c:pt idx="37">
                  <c:v>191.08</c:v>
                </c:pt>
                <c:pt idx="38">
                  <c:v>191.52</c:v>
                </c:pt>
                <c:pt idx="39">
                  <c:v>192.79</c:v>
                </c:pt>
                <c:pt idx="40">
                  <c:v>194.17</c:v>
                </c:pt>
                <c:pt idx="41">
                  <c:v>195.36</c:v>
                </c:pt>
                <c:pt idx="42">
                  <c:v>196.54</c:v>
                </c:pt>
                <c:pt idx="43">
                  <c:v>197.76</c:v>
                </c:pt>
                <c:pt idx="44">
                  <c:v>198.79</c:v>
                </c:pt>
                <c:pt idx="45">
                  <c:v>199.9</c:v>
                </c:pt>
                <c:pt idx="46">
                  <c:v>200.62</c:v>
                </c:pt>
                <c:pt idx="47">
                  <c:v>200.83</c:v>
                </c:pt>
                <c:pt idx="48">
                  <c:v>201.04</c:v>
                </c:pt>
                <c:pt idx="49">
                  <c:v>201.2</c:v>
                </c:pt>
                <c:pt idx="50">
                  <c:v>201.41</c:v>
                </c:pt>
                <c:pt idx="51">
                  <c:v>201.68</c:v>
                </c:pt>
                <c:pt idx="52">
                  <c:v>201.83</c:v>
                </c:pt>
                <c:pt idx="53">
                  <c:v>201.68</c:v>
                </c:pt>
                <c:pt idx="54">
                  <c:v>201.48</c:v>
                </c:pt>
                <c:pt idx="55">
                  <c:v>201.46</c:v>
                </c:pt>
                <c:pt idx="56">
                  <c:v>201.36</c:v>
                </c:pt>
                <c:pt idx="57">
                  <c:v>201.26</c:v>
                </c:pt>
                <c:pt idx="58">
                  <c:v>201.26</c:v>
                </c:pt>
                <c:pt idx="59">
                  <c:v>201.23</c:v>
                </c:pt>
                <c:pt idx="60">
                  <c:v>201.24</c:v>
                </c:pt>
                <c:pt idx="61">
                  <c:v>201.14</c:v>
                </c:pt>
                <c:pt idx="62">
                  <c:v>201.16</c:v>
                </c:pt>
                <c:pt idx="63">
                  <c:v>201.12</c:v>
                </c:pt>
                <c:pt idx="64">
                  <c:v>201.14</c:v>
                </c:pt>
                <c:pt idx="65">
                  <c:v>201.11</c:v>
                </c:pt>
                <c:pt idx="66">
                  <c:v>201.19</c:v>
                </c:pt>
                <c:pt idx="67">
                  <c:v>201.17</c:v>
                </c:pt>
                <c:pt idx="68">
                  <c:v>201.16</c:v>
                </c:pt>
                <c:pt idx="69">
                  <c:v>201.1</c:v>
                </c:pt>
                <c:pt idx="70">
                  <c:v>201.06</c:v>
                </c:pt>
                <c:pt idx="71">
                  <c:v>201.1</c:v>
                </c:pt>
                <c:pt idx="72">
                  <c:v>201.12</c:v>
                </c:pt>
                <c:pt idx="73">
                  <c:v>201.13</c:v>
                </c:pt>
                <c:pt idx="74">
                  <c:v>201.08</c:v>
                </c:pt>
                <c:pt idx="75">
                  <c:v>201.09</c:v>
                </c:pt>
                <c:pt idx="76">
                  <c:v>201.09</c:v>
                </c:pt>
                <c:pt idx="77">
                  <c:v>201.1</c:v>
                </c:pt>
                <c:pt idx="78">
                  <c:v>201.1</c:v>
                </c:pt>
                <c:pt idx="79">
                  <c:v>201.11</c:v>
                </c:pt>
                <c:pt idx="80">
                  <c:v>201.1</c:v>
                </c:pt>
                <c:pt idx="81">
                  <c:v>201.05</c:v>
                </c:pt>
                <c:pt idx="82">
                  <c:v>201.16</c:v>
                </c:pt>
                <c:pt idx="83">
                  <c:v>201.06</c:v>
                </c:pt>
                <c:pt idx="84">
                  <c:v>201.06</c:v>
                </c:pt>
                <c:pt idx="85">
                  <c:v>201.1</c:v>
                </c:pt>
                <c:pt idx="86">
                  <c:v>201.07</c:v>
                </c:pt>
                <c:pt idx="87">
                  <c:v>201.15</c:v>
                </c:pt>
                <c:pt idx="88">
                  <c:v>201.1</c:v>
                </c:pt>
                <c:pt idx="89">
                  <c:v>201.06</c:v>
                </c:pt>
                <c:pt idx="90">
                  <c:v>201.1</c:v>
                </c:pt>
                <c:pt idx="91">
                  <c:v>201.08</c:v>
                </c:pt>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200'!$I$2:$I$93</c:f>
              <c:numCache>
                <c:formatCode>General</c:formatCode>
                <c:ptCount val="92"/>
                <c:pt idx="0">
                  <c:v>166.72</c:v>
                </c:pt>
                <c:pt idx="1">
                  <c:v>171.26</c:v>
                </c:pt>
                <c:pt idx="2">
                  <c:v>175.89</c:v>
                </c:pt>
                <c:pt idx="3">
                  <c:v>180.38</c:v>
                </c:pt>
                <c:pt idx="4">
                  <c:v>184.76</c:v>
                </c:pt>
                <c:pt idx="5">
                  <c:v>189.18</c:v>
                </c:pt>
                <c:pt idx="6">
                  <c:v>193.46</c:v>
                </c:pt>
                <c:pt idx="7">
                  <c:v>194.85</c:v>
                </c:pt>
                <c:pt idx="8">
                  <c:v>194.8</c:v>
                </c:pt>
                <c:pt idx="9">
                  <c:v>194.52</c:v>
                </c:pt>
                <c:pt idx="10">
                  <c:v>194.16</c:v>
                </c:pt>
                <c:pt idx="11">
                  <c:v>193.86</c:v>
                </c:pt>
                <c:pt idx="12">
                  <c:v>193.44</c:v>
                </c:pt>
                <c:pt idx="13">
                  <c:v>193.1</c:v>
                </c:pt>
                <c:pt idx="14">
                  <c:v>192.83</c:v>
                </c:pt>
                <c:pt idx="15">
                  <c:v>192.55</c:v>
                </c:pt>
                <c:pt idx="16">
                  <c:v>192.33</c:v>
                </c:pt>
                <c:pt idx="17">
                  <c:v>192.2</c:v>
                </c:pt>
                <c:pt idx="18">
                  <c:v>191.99</c:v>
                </c:pt>
                <c:pt idx="19">
                  <c:v>191.92</c:v>
                </c:pt>
                <c:pt idx="20">
                  <c:v>191.77</c:v>
                </c:pt>
                <c:pt idx="21">
                  <c:v>191.74</c:v>
                </c:pt>
                <c:pt idx="22">
                  <c:v>191.56</c:v>
                </c:pt>
                <c:pt idx="23">
                  <c:v>191.5</c:v>
                </c:pt>
                <c:pt idx="24">
                  <c:v>191.52</c:v>
                </c:pt>
                <c:pt idx="25">
                  <c:v>191.52</c:v>
                </c:pt>
                <c:pt idx="26">
                  <c:v>191.4</c:v>
                </c:pt>
                <c:pt idx="27">
                  <c:v>191.38</c:v>
                </c:pt>
                <c:pt idx="28">
                  <c:v>191.39</c:v>
                </c:pt>
                <c:pt idx="29">
                  <c:v>191.36</c:v>
                </c:pt>
                <c:pt idx="30">
                  <c:v>191.39</c:v>
                </c:pt>
                <c:pt idx="31">
                  <c:v>191.23</c:v>
                </c:pt>
                <c:pt idx="32">
                  <c:v>191.26</c:v>
                </c:pt>
                <c:pt idx="33">
                  <c:v>191.24</c:v>
                </c:pt>
                <c:pt idx="34">
                  <c:v>191.23</c:v>
                </c:pt>
                <c:pt idx="35">
                  <c:v>191.17</c:v>
                </c:pt>
                <c:pt idx="36">
                  <c:v>191.22</c:v>
                </c:pt>
                <c:pt idx="37">
                  <c:v>191.2</c:v>
                </c:pt>
                <c:pt idx="38">
                  <c:v>191.78</c:v>
                </c:pt>
                <c:pt idx="39">
                  <c:v>193.26</c:v>
                </c:pt>
                <c:pt idx="40">
                  <c:v>194.7</c:v>
                </c:pt>
                <c:pt idx="41">
                  <c:v>195.93</c:v>
                </c:pt>
                <c:pt idx="42">
                  <c:v>197.22</c:v>
                </c:pt>
                <c:pt idx="43">
                  <c:v>198.4</c:v>
                </c:pt>
                <c:pt idx="44">
                  <c:v>199.55</c:v>
                </c:pt>
                <c:pt idx="45">
                  <c:v>200.61</c:v>
                </c:pt>
                <c:pt idx="46">
                  <c:v>201.28</c:v>
                </c:pt>
                <c:pt idx="47">
                  <c:v>201.33</c:v>
                </c:pt>
                <c:pt idx="48">
                  <c:v>201.55</c:v>
                </c:pt>
                <c:pt idx="49">
                  <c:v>201.66</c:v>
                </c:pt>
                <c:pt idx="50">
                  <c:v>201.87</c:v>
                </c:pt>
                <c:pt idx="51">
                  <c:v>202.12</c:v>
                </c:pt>
                <c:pt idx="52">
                  <c:v>202.17</c:v>
                </c:pt>
                <c:pt idx="53">
                  <c:v>201.96</c:v>
                </c:pt>
                <c:pt idx="54">
                  <c:v>201.76</c:v>
                </c:pt>
                <c:pt idx="55">
                  <c:v>201.7</c:v>
                </c:pt>
                <c:pt idx="56">
                  <c:v>201.57</c:v>
                </c:pt>
                <c:pt idx="57">
                  <c:v>201.47</c:v>
                </c:pt>
                <c:pt idx="58">
                  <c:v>201.41</c:v>
                </c:pt>
                <c:pt idx="59">
                  <c:v>201.41</c:v>
                </c:pt>
                <c:pt idx="60">
                  <c:v>201.37</c:v>
                </c:pt>
                <c:pt idx="61">
                  <c:v>201.3</c:v>
                </c:pt>
                <c:pt idx="62">
                  <c:v>201.3</c:v>
                </c:pt>
                <c:pt idx="63">
                  <c:v>201.27</c:v>
                </c:pt>
                <c:pt idx="64">
                  <c:v>201.27</c:v>
                </c:pt>
                <c:pt idx="65">
                  <c:v>201.25</c:v>
                </c:pt>
                <c:pt idx="66">
                  <c:v>201.29</c:v>
                </c:pt>
                <c:pt idx="67">
                  <c:v>201.24</c:v>
                </c:pt>
                <c:pt idx="68">
                  <c:v>201.29</c:v>
                </c:pt>
                <c:pt idx="69">
                  <c:v>201.29</c:v>
                </c:pt>
                <c:pt idx="70">
                  <c:v>201.17</c:v>
                </c:pt>
                <c:pt idx="71">
                  <c:v>201.19</c:v>
                </c:pt>
                <c:pt idx="72">
                  <c:v>201.2</c:v>
                </c:pt>
                <c:pt idx="73">
                  <c:v>201.23</c:v>
                </c:pt>
                <c:pt idx="74">
                  <c:v>201.2</c:v>
                </c:pt>
                <c:pt idx="75">
                  <c:v>201.17</c:v>
                </c:pt>
                <c:pt idx="76">
                  <c:v>201.18</c:v>
                </c:pt>
                <c:pt idx="77">
                  <c:v>201.22</c:v>
                </c:pt>
                <c:pt idx="78">
                  <c:v>201.16</c:v>
                </c:pt>
                <c:pt idx="79">
                  <c:v>201.19</c:v>
                </c:pt>
                <c:pt idx="80">
                  <c:v>201.19</c:v>
                </c:pt>
                <c:pt idx="81">
                  <c:v>201.16</c:v>
                </c:pt>
                <c:pt idx="82">
                  <c:v>201.27</c:v>
                </c:pt>
                <c:pt idx="83">
                  <c:v>201.14</c:v>
                </c:pt>
                <c:pt idx="84">
                  <c:v>201.15</c:v>
                </c:pt>
                <c:pt idx="85">
                  <c:v>201.15</c:v>
                </c:pt>
                <c:pt idx="86">
                  <c:v>201.17</c:v>
                </c:pt>
                <c:pt idx="87">
                  <c:v>201.25</c:v>
                </c:pt>
                <c:pt idx="88">
                  <c:v>201.16</c:v>
                </c:pt>
                <c:pt idx="89">
                  <c:v>201.15</c:v>
                </c:pt>
                <c:pt idx="90">
                  <c:v>201.17</c:v>
                </c:pt>
                <c:pt idx="91">
                  <c:v>201.14</c:v>
                </c:pt>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200'!$J$2:$J$93</c:f>
              <c:numCache>
                <c:formatCode>General</c:formatCode>
                <c:ptCount val="92"/>
                <c:pt idx="0">
                  <c:v>164.52</c:v>
                </c:pt>
                <c:pt idx="1">
                  <c:v>169.03</c:v>
                </c:pt>
                <c:pt idx="2">
                  <c:v>173.64</c:v>
                </c:pt>
                <c:pt idx="3">
                  <c:v>178.19</c:v>
                </c:pt>
                <c:pt idx="4">
                  <c:v>182.38</c:v>
                </c:pt>
                <c:pt idx="5">
                  <c:v>186.88</c:v>
                </c:pt>
                <c:pt idx="6">
                  <c:v>191.04</c:v>
                </c:pt>
                <c:pt idx="7">
                  <c:v>192.86</c:v>
                </c:pt>
                <c:pt idx="8">
                  <c:v>192.95</c:v>
                </c:pt>
                <c:pt idx="9">
                  <c:v>192.73</c:v>
                </c:pt>
                <c:pt idx="10">
                  <c:v>192.46</c:v>
                </c:pt>
                <c:pt idx="11">
                  <c:v>192.28</c:v>
                </c:pt>
                <c:pt idx="12">
                  <c:v>191.95</c:v>
                </c:pt>
                <c:pt idx="13">
                  <c:v>191.66</c:v>
                </c:pt>
                <c:pt idx="14">
                  <c:v>191.52</c:v>
                </c:pt>
                <c:pt idx="15">
                  <c:v>191.27</c:v>
                </c:pt>
                <c:pt idx="16">
                  <c:v>191.11</c:v>
                </c:pt>
                <c:pt idx="17">
                  <c:v>190.96</c:v>
                </c:pt>
                <c:pt idx="18">
                  <c:v>190.88</c:v>
                </c:pt>
                <c:pt idx="19">
                  <c:v>190.79</c:v>
                </c:pt>
                <c:pt idx="20">
                  <c:v>190.71</c:v>
                </c:pt>
                <c:pt idx="21">
                  <c:v>190.66</c:v>
                </c:pt>
                <c:pt idx="22">
                  <c:v>190.57</c:v>
                </c:pt>
                <c:pt idx="23">
                  <c:v>190.52</c:v>
                </c:pt>
                <c:pt idx="24">
                  <c:v>190.58</c:v>
                </c:pt>
                <c:pt idx="25">
                  <c:v>190.52</c:v>
                </c:pt>
                <c:pt idx="26">
                  <c:v>190.48</c:v>
                </c:pt>
                <c:pt idx="27">
                  <c:v>190.44</c:v>
                </c:pt>
                <c:pt idx="28">
                  <c:v>190.44</c:v>
                </c:pt>
                <c:pt idx="29">
                  <c:v>190.46</c:v>
                </c:pt>
                <c:pt idx="30">
                  <c:v>190.42</c:v>
                </c:pt>
                <c:pt idx="31">
                  <c:v>190.36</c:v>
                </c:pt>
                <c:pt idx="32">
                  <c:v>190.39</c:v>
                </c:pt>
                <c:pt idx="33">
                  <c:v>190.38</c:v>
                </c:pt>
                <c:pt idx="34">
                  <c:v>190.41</c:v>
                </c:pt>
                <c:pt idx="35">
                  <c:v>190.31</c:v>
                </c:pt>
                <c:pt idx="36">
                  <c:v>190.34</c:v>
                </c:pt>
                <c:pt idx="37">
                  <c:v>190.36</c:v>
                </c:pt>
                <c:pt idx="38">
                  <c:v>190.85</c:v>
                </c:pt>
                <c:pt idx="39">
                  <c:v>192.19</c:v>
                </c:pt>
                <c:pt idx="40">
                  <c:v>193.66</c:v>
                </c:pt>
                <c:pt idx="41">
                  <c:v>194.84</c:v>
                </c:pt>
                <c:pt idx="42">
                  <c:v>196.05</c:v>
                </c:pt>
                <c:pt idx="43">
                  <c:v>197.24</c:v>
                </c:pt>
                <c:pt idx="44">
                  <c:v>198.37</c:v>
                </c:pt>
                <c:pt idx="45">
                  <c:v>199.42</c:v>
                </c:pt>
                <c:pt idx="46">
                  <c:v>200.18</c:v>
                </c:pt>
                <c:pt idx="47">
                  <c:v>200.33</c:v>
                </c:pt>
                <c:pt idx="48">
                  <c:v>200.49</c:v>
                </c:pt>
                <c:pt idx="49">
                  <c:v>200.65</c:v>
                </c:pt>
                <c:pt idx="50">
                  <c:v>200.89</c:v>
                </c:pt>
                <c:pt idx="51">
                  <c:v>201.16</c:v>
                </c:pt>
                <c:pt idx="52">
                  <c:v>201.26</c:v>
                </c:pt>
                <c:pt idx="53">
                  <c:v>201.07</c:v>
                </c:pt>
                <c:pt idx="54">
                  <c:v>200.88</c:v>
                </c:pt>
                <c:pt idx="55">
                  <c:v>200.83</c:v>
                </c:pt>
                <c:pt idx="56">
                  <c:v>200.73</c:v>
                </c:pt>
                <c:pt idx="57">
                  <c:v>200.63</c:v>
                </c:pt>
                <c:pt idx="58">
                  <c:v>200.65</c:v>
                </c:pt>
                <c:pt idx="59">
                  <c:v>200.63</c:v>
                </c:pt>
                <c:pt idx="60">
                  <c:v>200.58</c:v>
                </c:pt>
                <c:pt idx="61">
                  <c:v>200.51</c:v>
                </c:pt>
                <c:pt idx="62">
                  <c:v>200.55</c:v>
                </c:pt>
                <c:pt idx="63">
                  <c:v>200.48</c:v>
                </c:pt>
                <c:pt idx="64">
                  <c:v>200.5</c:v>
                </c:pt>
                <c:pt idx="65">
                  <c:v>200.5</c:v>
                </c:pt>
                <c:pt idx="66">
                  <c:v>200.52</c:v>
                </c:pt>
                <c:pt idx="67">
                  <c:v>200.5</c:v>
                </c:pt>
                <c:pt idx="68">
                  <c:v>200.52</c:v>
                </c:pt>
                <c:pt idx="69">
                  <c:v>200.48</c:v>
                </c:pt>
                <c:pt idx="70">
                  <c:v>200.45</c:v>
                </c:pt>
                <c:pt idx="71">
                  <c:v>200.48</c:v>
                </c:pt>
                <c:pt idx="72">
                  <c:v>200.47</c:v>
                </c:pt>
                <c:pt idx="73">
                  <c:v>200.56</c:v>
                </c:pt>
                <c:pt idx="74">
                  <c:v>200.47</c:v>
                </c:pt>
                <c:pt idx="75">
                  <c:v>200.5</c:v>
                </c:pt>
                <c:pt idx="76">
                  <c:v>200.45</c:v>
                </c:pt>
                <c:pt idx="77">
                  <c:v>200.51</c:v>
                </c:pt>
                <c:pt idx="78">
                  <c:v>200.51</c:v>
                </c:pt>
                <c:pt idx="79">
                  <c:v>200.49</c:v>
                </c:pt>
                <c:pt idx="80">
                  <c:v>200.46</c:v>
                </c:pt>
                <c:pt idx="81">
                  <c:v>200.47</c:v>
                </c:pt>
                <c:pt idx="82">
                  <c:v>200.53</c:v>
                </c:pt>
                <c:pt idx="83">
                  <c:v>200.42</c:v>
                </c:pt>
                <c:pt idx="84">
                  <c:v>200.43</c:v>
                </c:pt>
                <c:pt idx="85">
                  <c:v>200.47</c:v>
                </c:pt>
                <c:pt idx="86">
                  <c:v>200.48</c:v>
                </c:pt>
                <c:pt idx="87">
                  <c:v>200.54</c:v>
                </c:pt>
                <c:pt idx="88">
                  <c:v>200.49</c:v>
                </c:pt>
                <c:pt idx="89">
                  <c:v>200.49</c:v>
                </c:pt>
                <c:pt idx="90">
                  <c:v>200.5</c:v>
                </c:pt>
                <c:pt idx="91">
                  <c:v>200.49</c:v>
                </c:pt>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385'!$B$2:$B$55</c:f>
              <c:numCache>
                <c:formatCode>General</c:formatCode>
                <c:ptCount val="54"/>
                <c:pt idx="0">
                  <c:v>343.26</c:v>
                </c:pt>
                <c:pt idx="1">
                  <c:v>346.51</c:v>
                </c:pt>
                <c:pt idx="2">
                  <c:v>349.72</c:v>
                </c:pt>
                <c:pt idx="3">
                  <c:v>352.94</c:v>
                </c:pt>
                <c:pt idx="4">
                  <c:v>356.15</c:v>
                </c:pt>
                <c:pt idx="5">
                  <c:v>359.15</c:v>
                </c:pt>
                <c:pt idx="6">
                  <c:v>362.28</c:v>
                </c:pt>
                <c:pt idx="7">
                  <c:v>365.43</c:v>
                </c:pt>
                <c:pt idx="8">
                  <c:v>368.43</c:v>
                </c:pt>
                <c:pt idx="9">
                  <c:v>371.68</c:v>
                </c:pt>
                <c:pt idx="10">
                  <c:v>374.61</c:v>
                </c:pt>
                <c:pt idx="11">
                  <c:v>377.62</c:v>
                </c:pt>
                <c:pt idx="12">
                  <c:v>380.73</c:v>
                </c:pt>
                <c:pt idx="13">
                  <c:v>382.68</c:v>
                </c:pt>
                <c:pt idx="14">
                  <c:v>384.01</c:v>
                </c:pt>
                <c:pt idx="15">
                  <c:v>384.97</c:v>
                </c:pt>
                <c:pt idx="16">
                  <c:v>385.51</c:v>
                </c:pt>
                <c:pt idx="17">
                  <c:v>385.94</c:v>
                </c:pt>
                <c:pt idx="18">
                  <c:v>386.24</c:v>
                </c:pt>
                <c:pt idx="19">
                  <c:v>386.25</c:v>
                </c:pt>
                <c:pt idx="20">
                  <c:v>386.4</c:v>
                </c:pt>
                <c:pt idx="21">
                  <c:v>386.38</c:v>
                </c:pt>
                <c:pt idx="22">
                  <c:v>386.37</c:v>
                </c:pt>
                <c:pt idx="23">
                  <c:v>386.41</c:v>
                </c:pt>
                <c:pt idx="24">
                  <c:v>386.37</c:v>
                </c:pt>
                <c:pt idx="25">
                  <c:v>386.34</c:v>
                </c:pt>
                <c:pt idx="26">
                  <c:v>386.38</c:v>
                </c:pt>
                <c:pt idx="27">
                  <c:v>386.38</c:v>
                </c:pt>
                <c:pt idx="28">
                  <c:v>386.39</c:v>
                </c:pt>
                <c:pt idx="29">
                  <c:v>386.4</c:v>
                </c:pt>
                <c:pt idx="30">
                  <c:v>386.37</c:v>
                </c:pt>
                <c:pt idx="31">
                  <c:v>386.38</c:v>
                </c:pt>
                <c:pt idx="32">
                  <c:v>386.36</c:v>
                </c:pt>
                <c:pt idx="33">
                  <c:v>386.38</c:v>
                </c:pt>
                <c:pt idx="34">
                  <c:v>386.34</c:v>
                </c:pt>
                <c:pt idx="35">
                  <c:v>386.37</c:v>
                </c:pt>
                <c:pt idx="36">
                  <c:v>386.37</c:v>
                </c:pt>
                <c:pt idx="37">
                  <c:v>386.35</c:v>
                </c:pt>
                <c:pt idx="38">
                  <c:v>386.33</c:v>
                </c:pt>
                <c:pt idx="39">
                  <c:v>386.38</c:v>
                </c:pt>
                <c:pt idx="40">
                  <c:v>386.36</c:v>
                </c:pt>
                <c:pt idx="41">
                  <c:v>386.36</c:v>
                </c:pt>
                <c:pt idx="42">
                  <c:v>386.36</c:v>
                </c:pt>
                <c:pt idx="43">
                  <c:v>386.48</c:v>
                </c:pt>
                <c:pt idx="44">
                  <c:v>386.37</c:v>
                </c:pt>
                <c:pt idx="45">
                  <c:v>386.32</c:v>
                </c:pt>
                <c:pt idx="46">
                  <c:v>386.36</c:v>
                </c:pt>
                <c:pt idx="47">
                  <c:v>386.34</c:v>
                </c:pt>
                <c:pt idx="48">
                  <c:v>386.36</c:v>
                </c:pt>
                <c:pt idx="49">
                  <c:v>386.38</c:v>
                </c:pt>
                <c:pt idx="50">
                  <c:v>386.33</c:v>
                </c:pt>
                <c:pt idx="51">
                  <c:v>386.36</c:v>
                </c:pt>
                <c:pt idx="52">
                  <c:v>386.31</c:v>
                </c:pt>
                <c:pt idx="53">
                  <c:v>386.38</c:v>
                </c:pt>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385'!$C$2:$C$55</c:f>
              <c:numCache>
                <c:formatCode>General</c:formatCode>
                <c:ptCount val="54"/>
                <c:pt idx="0">
                  <c:v>341.12</c:v>
                </c:pt>
                <c:pt idx="1">
                  <c:v>344.51</c:v>
                </c:pt>
                <c:pt idx="2">
                  <c:v>347.69</c:v>
                </c:pt>
                <c:pt idx="3">
                  <c:v>350.9</c:v>
                </c:pt>
                <c:pt idx="4">
                  <c:v>354</c:v>
                </c:pt>
                <c:pt idx="5">
                  <c:v>357.25</c:v>
                </c:pt>
                <c:pt idx="6">
                  <c:v>360.33</c:v>
                </c:pt>
                <c:pt idx="7">
                  <c:v>363.5</c:v>
                </c:pt>
                <c:pt idx="8">
                  <c:v>366.68</c:v>
                </c:pt>
                <c:pt idx="9">
                  <c:v>369.72</c:v>
                </c:pt>
                <c:pt idx="10">
                  <c:v>372.72</c:v>
                </c:pt>
                <c:pt idx="11">
                  <c:v>375.7</c:v>
                </c:pt>
                <c:pt idx="12">
                  <c:v>378.84</c:v>
                </c:pt>
                <c:pt idx="13">
                  <c:v>381</c:v>
                </c:pt>
                <c:pt idx="14">
                  <c:v>382.52</c:v>
                </c:pt>
                <c:pt idx="15">
                  <c:v>383.51</c:v>
                </c:pt>
                <c:pt idx="16">
                  <c:v>384.36</c:v>
                </c:pt>
                <c:pt idx="17">
                  <c:v>384.86</c:v>
                </c:pt>
                <c:pt idx="18">
                  <c:v>385.23</c:v>
                </c:pt>
                <c:pt idx="19">
                  <c:v>385.47</c:v>
                </c:pt>
                <c:pt idx="20">
                  <c:v>385.69</c:v>
                </c:pt>
                <c:pt idx="21">
                  <c:v>385.79</c:v>
                </c:pt>
                <c:pt idx="22">
                  <c:v>385.87</c:v>
                </c:pt>
                <c:pt idx="23">
                  <c:v>385.93</c:v>
                </c:pt>
                <c:pt idx="24">
                  <c:v>385.9</c:v>
                </c:pt>
                <c:pt idx="25">
                  <c:v>386.01</c:v>
                </c:pt>
                <c:pt idx="26">
                  <c:v>386</c:v>
                </c:pt>
                <c:pt idx="27">
                  <c:v>385.99</c:v>
                </c:pt>
                <c:pt idx="28">
                  <c:v>386.04</c:v>
                </c:pt>
                <c:pt idx="29">
                  <c:v>386.07</c:v>
                </c:pt>
                <c:pt idx="30">
                  <c:v>386.04</c:v>
                </c:pt>
                <c:pt idx="31">
                  <c:v>386.09</c:v>
                </c:pt>
                <c:pt idx="32">
                  <c:v>386.13</c:v>
                </c:pt>
                <c:pt idx="33">
                  <c:v>386.14</c:v>
                </c:pt>
                <c:pt idx="34">
                  <c:v>386.11</c:v>
                </c:pt>
                <c:pt idx="35">
                  <c:v>386.12</c:v>
                </c:pt>
                <c:pt idx="36">
                  <c:v>386.07</c:v>
                </c:pt>
                <c:pt idx="37">
                  <c:v>386.16</c:v>
                </c:pt>
                <c:pt idx="38">
                  <c:v>386.17</c:v>
                </c:pt>
                <c:pt idx="39">
                  <c:v>386.11</c:v>
                </c:pt>
                <c:pt idx="40">
                  <c:v>386.15</c:v>
                </c:pt>
                <c:pt idx="41">
                  <c:v>386.13</c:v>
                </c:pt>
                <c:pt idx="42">
                  <c:v>386.2</c:v>
                </c:pt>
                <c:pt idx="43">
                  <c:v>386.23</c:v>
                </c:pt>
                <c:pt idx="44">
                  <c:v>386.16</c:v>
                </c:pt>
                <c:pt idx="45">
                  <c:v>386.1</c:v>
                </c:pt>
                <c:pt idx="46">
                  <c:v>386.15</c:v>
                </c:pt>
                <c:pt idx="47">
                  <c:v>386.12</c:v>
                </c:pt>
                <c:pt idx="48">
                  <c:v>386.14</c:v>
                </c:pt>
                <c:pt idx="49">
                  <c:v>386.16</c:v>
                </c:pt>
                <c:pt idx="50">
                  <c:v>386.14</c:v>
                </c:pt>
                <c:pt idx="51">
                  <c:v>386.16</c:v>
                </c:pt>
                <c:pt idx="52">
                  <c:v>386.13</c:v>
                </c:pt>
                <c:pt idx="53">
                  <c:v>386.11</c:v>
                </c:pt>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385'!$D$2:$D$55</c:f>
              <c:numCache>
                <c:formatCode>General</c:formatCode>
                <c:ptCount val="54"/>
                <c:pt idx="0">
                  <c:v>341.41</c:v>
                </c:pt>
                <c:pt idx="1">
                  <c:v>344.67</c:v>
                </c:pt>
                <c:pt idx="2">
                  <c:v>347.92</c:v>
                </c:pt>
                <c:pt idx="3">
                  <c:v>351.17</c:v>
                </c:pt>
                <c:pt idx="4">
                  <c:v>354.34</c:v>
                </c:pt>
                <c:pt idx="5">
                  <c:v>357.48</c:v>
                </c:pt>
                <c:pt idx="6">
                  <c:v>360.6</c:v>
                </c:pt>
                <c:pt idx="7">
                  <c:v>363.7</c:v>
                </c:pt>
                <c:pt idx="8">
                  <c:v>366.84</c:v>
                </c:pt>
                <c:pt idx="9">
                  <c:v>369.84</c:v>
                </c:pt>
                <c:pt idx="10">
                  <c:v>372.81</c:v>
                </c:pt>
                <c:pt idx="11">
                  <c:v>375.96</c:v>
                </c:pt>
                <c:pt idx="12">
                  <c:v>379.02</c:v>
                </c:pt>
                <c:pt idx="13">
                  <c:v>381.08</c:v>
                </c:pt>
                <c:pt idx="14">
                  <c:v>382.41</c:v>
                </c:pt>
                <c:pt idx="15">
                  <c:v>383.49</c:v>
                </c:pt>
                <c:pt idx="16">
                  <c:v>384.2</c:v>
                </c:pt>
                <c:pt idx="17">
                  <c:v>384.68</c:v>
                </c:pt>
                <c:pt idx="18">
                  <c:v>385.06</c:v>
                </c:pt>
                <c:pt idx="19">
                  <c:v>385.28</c:v>
                </c:pt>
                <c:pt idx="20">
                  <c:v>385.41</c:v>
                </c:pt>
                <c:pt idx="21">
                  <c:v>385.5</c:v>
                </c:pt>
                <c:pt idx="22">
                  <c:v>385.56</c:v>
                </c:pt>
                <c:pt idx="23">
                  <c:v>385.63</c:v>
                </c:pt>
                <c:pt idx="24">
                  <c:v>385.65</c:v>
                </c:pt>
                <c:pt idx="25">
                  <c:v>385.69</c:v>
                </c:pt>
                <c:pt idx="26">
                  <c:v>385.72</c:v>
                </c:pt>
                <c:pt idx="27">
                  <c:v>385.73</c:v>
                </c:pt>
                <c:pt idx="28">
                  <c:v>385.84</c:v>
                </c:pt>
                <c:pt idx="29">
                  <c:v>385.81</c:v>
                </c:pt>
                <c:pt idx="30">
                  <c:v>385.78</c:v>
                </c:pt>
                <c:pt idx="31">
                  <c:v>385.84</c:v>
                </c:pt>
                <c:pt idx="32">
                  <c:v>385.82</c:v>
                </c:pt>
                <c:pt idx="33">
                  <c:v>385.84</c:v>
                </c:pt>
                <c:pt idx="34">
                  <c:v>385.83</c:v>
                </c:pt>
                <c:pt idx="35">
                  <c:v>385.84</c:v>
                </c:pt>
                <c:pt idx="36">
                  <c:v>385.83</c:v>
                </c:pt>
                <c:pt idx="37">
                  <c:v>385.88</c:v>
                </c:pt>
                <c:pt idx="38">
                  <c:v>385.87</c:v>
                </c:pt>
                <c:pt idx="39">
                  <c:v>385.87</c:v>
                </c:pt>
                <c:pt idx="40">
                  <c:v>385.84</c:v>
                </c:pt>
                <c:pt idx="41">
                  <c:v>385.9</c:v>
                </c:pt>
                <c:pt idx="42">
                  <c:v>385.89</c:v>
                </c:pt>
                <c:pt idx="43">
                  <c:v>385.93</c:v>
                </c:pt>
                <c:pt idx="44">
                  <c:v>385.88</c:v>
                </c:pt>
                <c:pt idx="45">
                  <c:v>385.84</c:v>
                </c:pt>
                <c:pt idx="46">
                  <c:v>385.89</c:v>
                </c:pt>
                <c:pt idx="47">
                  <c:v>385.89</c:v>
                </c:pt>
                <c:pt idx="48">
                  <c:v>385.91</c:v>
                </c:pt>
                <c:pt idx="49">
                  <c:v>385.9</c:v>
                </c:pt>
                <c:pt idx="50">
                  <c:v>385.88</c:v>
                </c:pt>
                <c:pt idx="51">
                  <c:v>385.91</c:v>
                </c:pt>
                <c:pt idx="52">
                  <c:v>385.86</c:v>
                </c:pt>
                <c:pt idx="53">
                  <c:v>385.91</c:v>
                </c:pt>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385'!$E$2:$E$55</c:f>
              <c:numCache>
                <c:formatCode>General</c:formatCode>
                <c:ptCount val="54"/>
                <c:pt idx="0">
                  <c:v>343.94</c:v>
                </c:pt>
                <c:pt idx="1">
                  <c:v>347.22</c:v>
                </c:pt>
                <c:pt idx="2">
                  <c:v>350.42</c:v>
                </c:pt>
                <c:pt idx="3">
                  <c:v>353.53</c:v>
                </c:pt>
                <c:pt idx="4">
                  <c:v>356.72</c:v>
                </c:pt>
                <c:pt idx="5">
                  <c:v>359.78</c:v>
                </c:pt>
                <c:pt idx="6">
                  <c:v>362.81</c:v>
                </c:pt>
                <c:pt idx="7">
                  <c:v>366</c:v>
                </c:pt>
                <c:pt idx="8">
                  <c:v>369.04</c:v>
                </c:pt>
                <c:pt idx="9">
                  <c:v>372.1</c:v>
                </c:pt>
                <c:pt idx="10">
                  <c:v>375.05</c:v>
                </c:pt>
                <c:pt idx="11">
                  <c:v>378.15</c:v>
                </c:pt>
                <c:pt idx="12">
                  <c:v>381.13</c:v>
                </c:pt>
                <c:pt idx="13">
                  <c:v>383.03</c:v>
                </c:pt>
                <c:pt idx="14">
                  <c:v>384.13</c:v>
                </c:pt>
                <c:pt idx="15">
                  <c:v>384.9</c:v>
                </c:pt>
                <c:pt idx="16">
                  <c:v>385.34</c:v>
                </c:pt>
                <c:pt idx="17">
                  <c:v>385.69</c:v>
                </c:pt>
                <c:pt idx="18">
                  <c:v>385.92</c:v>
                </c:pt>
                <c:pt idx="19">
                  <c:v>386.01</c:v>
                </c:pt>
                <c:pt idx="20">
                  <c:v>386.04</c:v>
                </c:pt>
                <c:pt idx="21">
                  <c:v>386.03</c:v>
                </c:pt>
                <c:pt idx="22">
                  <c:v>386</c:v>
                </c:pt>
                <c:pt idx="23">
                  <c:v>385.97</c:v>
                </c:pt>
                <c:pt idx="24">
                  <c:v>385.95</c:v>
                </c:pt>
                <c:pt idx="25">
                  <c:v>386</c:v>
                </c:pt>
                <c:pt idx="26">
                  <c:v>386.03</c:v>
                </c:pt>
                <c:pt idx="27">
                  <c:v>385.96</c:v>
                </c:pt>
                <c:pt idx="28">
                  <c:v>386.06</c:v>
                </c:pt>
                <c:pt idx="29">
                  <c:v>386.02</c:v>
                </c:pt>
                <c:pt idx="30">
                  <c:v>386.02</c:v>
                </c:pt>
                <c:pt idx="31">
                  <c:v>386.03</c:v>
                </c:pt>
                <c:pt idx="32">
                  <c:v>386</c:v>
                </c:pt>
                <c:pt idx="33">
                  <c:v>386.01</c:v>
                </c:pt>
                <c:pt idx="34">
                  <c:v>386</c:v>
                </c:pt>
                <c:pt idx="35">
                  <c:v>386.02</c:v>
                </c:pt>
                <c:pt idx="36">
                  <c:v>386.01</c:v>
                </c:pt>
                <c:pt idx="37">
                  <c:v>386</c:v>
                </c:pt>
                <c:pt idx="38">
                  <c:v>385.97</c:v>
                </c:pt>
                <c:pt idx="39">
                  <c:v>386.03</c:v>
                </c:pt>
                <c:pt idx="40">
                  <c:v>386.04</c:v>
                </c:pt>
                <c:pt idx="41">
                  <c:v>386.03</c:v>
                </c:pt>
                <c:pt idx="42">
                  <c:v>386.01</c:v>
                </c:pt>
                <c:pt idx="43">
                  <c:v>386.09</c:v>
                </c:pt>
                <c:pt idx="44">
                  <c:v>385.97</c:v>
                </c:pt>
                <c:pt idx="45">
                  <c:v>385.99</c:v>
                </c:pt>
                <c:pt idx="46">
                  <c:v>386.03</c:v>
                </c:pt>
                <c:pt idx="47">
                  <c:v>385.97</c:v>
                </c:pt>
                <c:pt idx="48">
                  <c:v>386.04</c:v>
                </c:pt>
                <c:pt idx="49">
                  <c:v>386.03</c:v>
                </c:pt>
                <c:pt idx="50">
                  <c:v>385.95</c:v>
                </c:pt>
                <c:pt idx="51">
                  <c:v>386.01</c:v>
                </c:pt>
                <c:pt idx="52">
                  <c:v>385.97</c:v>
                </c:pt>
                <c:pt idx="53">
                  <c:v>386.01</c:v>
                </c:pt>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385'!$F$2:$F$55</c:f>
              <c:numCache>
                <c:formatCode>General</c:formatCode>
                <c:ptCount val="54"/>
                <c:pt idx="0">
                  <c:v>344.68</c:v>
                </c:pt>
                <c:pt idx="1">
                  <c:v>347.96</c:v>
                </c:pt>
                <c:pt idx="2">
                  <c:v>351.13</c:v>
                </c:pt>
                <c:pt idx="3">
                  <c:v>354.26</c:v>
                </c:pt>
                <c:pt idx="4">
                  <c:v>357.32</c:v>
                </c:pt>
                <c:pt idx="5">
                  <c:v>360.53</c:v>
                </c:pt>
                <c:pt idx="6">
                  <c:v>363.55</c:v>
                </c:pt>
                <c:pt idx="7">
                  <c:v>366.67</c:v>
                </c:pt>
                <c:pt idx="8">
                  <c:v>369.37</c:v>
                </c:pt>
                <c:pt idx="9">
                  <c:v>372.79</c:v>
                </c:pt>
                <c:pt idx="10">
                  <c:v>375.63</c:v>
                </c:pt>
                <c:pt idx="11">
                  <c:v>378.78</c:v>
                </c:pt>
                <c:pt idx="12">
                  <c:v>381.53</c:v>
                </c:pt>
                <c:pt idx="13">
                  <c:v>382.91</c:v>
                </c:pt>
                <c:pt idx="14">
                  <c:v>383.63</c:v>
                </c:pt>
                <c:pt idx="15">
                  <c:v>383.96</c:v>
                </c:pt>
                <c:pt idx="16">
                  <c:v>384.06</c:v>
                </c:pt>
                <c:pt idx="17">
                  <c:v>383.93</c:v>
                </c:pt>
                <c:pt idx="18">
                  <c:v>383.76</c:v>
                </c:pt>
                <c:pt idx="19">
                  <c:v>383.6</c:v>
                </c:pt>
                <c:pt idx="20">
                  <c:v>383.42</c:v>
                </c:pt>
                <c:pt idx="21">
                  <c:v>383.18</c:v>
                </c:pt>
                <c:pt idx="22">
                  <c:v>383.15</c:v>
                </c:pt>
                <c:pt idx="23">
                  <c:v>383.02</c:v>
                </c:pt>
                <c:pt idx="24">
                  <c:v>382.69</c:v>
                </c:pt>
                <c:pt idx="25">
                  <c:v>382.91</c:v>
                </c:pt>
                <c:pt idx="26">
                  <c:v>382.82</c:v>
                </c:pt>
                <c:pt idx="27">
                  <c:v>382.73</c:v>
                </c:pt>
                <c:pt idx="28">
                  <c:v>382.6</c:v>
                </c:pt>
                <c:pt idx="29">
                  <c:v>382.41</c:v>
                </c:pt>
                <c:pt idx="30">
                  <c:v>382.45</c:v>
                </c:pt>
                <c:pt idx="31">
                  <c:v>382.57</c:v>
                </c:pt>
                <c:pt idx="32">
                  <c:v>382.36</c:v>
                </c:pt>
                <c:pt idx="33">
                  <c:v>382.34</c:v>
                </c:pt>
                <c:pt idx="34">
                  <c:v>382.32</c:v>
                </c:pt>
                <c:pt idx="35">
                  <c:v>382.31</c:v>
                </c:pt>
                <c:pt idx="36">
                  <c:v>382.38</c:v>
                </c:pt>
                <c:pt idx="37">
                  <c:v>382.27</c:v>
                </c:pt>
                <c:pt idx="38">
                  <c:v>382.33</c:v>
                </c:pt>
                <c:pt idx="39">
                  <c:v>382.4</c:v>
                </c:pt>
                <c:pt idx="40">
                  <c:v>382.29</c:v>
                </c:pt>
                <c:pt idx="41">
                  <c:v>382.22</c:v>
                </c:pt>
                <c:pt idx="42">
                  <c:v>382.29</c:v>
                </c:pt>
                <c:pt idx="43">
                  <c:v>382.33</c:v>
                </c:pt>
                <c:pt idx="44">
                  <c:v>382.2</c:v>
                </c:pt>
                <c:pt idx="45">
                  <c:v>382.12</c:v>
                </c:pt>
                <c:pt idx="46">
                  <c:v>382.17</c:v>
                </c:pt>
                <c:pt idx="47">
                  <c:v>382.27</c:v>
                </c:pt>
                <c:pt idx="48">
                  <c:v>382.31</c:v>
                </c:pt>
                <c:pt idx="49">
                  <c:v>382.36</c:v>
                </c:pt>
                <c:pt idx="50">
                  <c:v>382.32</c:v>
                </c:pt>
                <c:pt idx="51">
                  <c:v>382.21</c:v>
                </c:pt>
                <c:pt idx="52">
                  <c:v>382.27</c:v>
                </c:pt>
                <c:pt idx="53">
                  <c:v>382.23</c:v>
                </c:pt>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385'!$G$2:$G$55</c:f>
              <c:numCache>
                <c:formatCode>General</c:formatCode>
                <c:ptCount val="54"/>
                <c:pt idx="0">
                  <c:v>347.15</c:v>
                </c:pt>
                <c:pt idx="1">
                  <c:v>350.42</c:v>
                </c:pt>
                <c:pt idx="2">
                  <c:v>353.54</c:v>
                </c:pt>
                <c:pt idx="3">
                  <c:v>356.76</c:v>
                </c:pt>
                <c:pt idx="4">
                  <c:v>360.01</c:v>
                </c:pt>
                <c:pt idx="5">
                  <c:v>363.15</c:v>
                </c:pt>
                <c:pt idx="6">
                  <c:v>366.16</c:v>
                </c:pt>
                <c:pt idx="7">
                  <c:v>369.14</c:v>
                </c:pt>
                <c:pt idx="8">
                  <c:v>372.39</c:v>
                </c:pt>
                <c:pt idx="9">
                  <c:v>375.4</c:v>
                </c:pt>
                <c:pt idx="10">
                  <c:v>378.31</c:v>
                </c:pt>
                <c:pt idx="11">
                  <c:v>381.4</c:v>
                </c:pt>
                <c:pt idx="12">
                  <c:v>384.45</c:v>
                </c:pt>
                <c:pt idx="13">
                  <c:v>386.02</c:v>
                </c:pt>
                <c:pt idx="14">
                  <c:v>387.2</c:v>
                </c:pt>
                <c:pt idx="15">
                  <c:v>387.89</c:v>
                </c:pt>
                <c:pt idx="16">
                  <c:v>388.08</c:v>
                </c:pt>
                <c:pt idx="17">
                  <c:v>388.27</c:v>
                </c:pt>
                <c:pt idx="18">
                  <c:v>388.34</c:v>
                </c:pt>
                <c:pt idx="19">
                  <c:v>388.24</c:v>
                </c:pt>
                <c:pt idx="20">
                  <c:v>388.15</c:v>
                </c:pt>
                <c:pt idx="21">
                  <c:v>388.12</c:v>
                </c:pt>
                <c:pt idx="22">
                  <c:v>387.98</c:v>
                </c:pt>
                <c:pt idx="23">
                  <c:v>387.93</c:v>
                </c:pt>
                <c:pt idx="24">
                  <c:v>387.82</c:v>
                </c:pt>
                <c:pt idx="25">
                  <c:v>387.75</c:v>
                </c:pt>
                <c:pt idx="26">
                  <c:v>387.7</c:v>
                </c:pt>
                <c:pt idx="27">
                  <c:v>387.64</c:v>
                </c:pt>
                <c:pt idx="28">
                  <c:v>387.63</c:v>
                </c:pt>
                <c:pt idx="29">
                  <c:v>387.56</c:v>
                </c:pt>
                <c:pt idx="30">
                  <c:v>387.54</c:v>
                </c:pt>
                <c:pt idx="31">
                  <c:v>387.49</c:v>
                </c:pt>
                <c:pt idx="32">
                  <c:v>387.45</c:v>
                </c:pt>
                <c:pt idx="33">
                  <c:v>387.41</c:v>
                </c:pt>
                <c:pt idx="34">
                  <c:v>387.42</c:v>
                </c:pt>
                <c:pt idx="35">
                  <c:v>387.38</c:v>
                </c:pt>
                <c:pt idx="36">
                  <c:v>387.27</c:v>
                </c:pt>
                <c:pt idx="37">
                  <c:v>387.32</c:v>
                </c:pt>
                <c:pt idx="38">
                  <c:v>387.3</c:v>
                </c:pt>
                <c:pt idx="39">
                  <c:v>387.29</c:v>
                </c:pt>
                <c:pt idx="40">
                  <c:v>387.3</c:v>
                </c:pt>
                <c:pt idx="41">
                  <c:v>387.27</c:v>
                </c:pt>
                <c:pt idx="42">
                  <c:v>387.26</c:v>
                </c:pt>
                <c:pt idx="43">
                  <c:v>387.36</c:v>
                </c:pt>
                <c:pt idx="44">
                  <c:v>387.2</c:v>
                </c:pt>
                <c:pt idx="45">
                  <c:v>387.2</c:v>
                </c:pt>
                <c:pt idx="46">
                  <c:v>387.28</c:v>
                </c:pt>
                <c:pt idx="47">
                  <c:v>387.13</c:v>
                </c:pt>
                <c:pt idx="48">
                  <c:v>387.19</c:v>
                </c:pt>
                <c:pt idx="49">
                  <c:v>387.25</c:v>
                </c:pt>
                <c:pt idx="50">
                  <c:v>387.19</c:v>
                </c:pt>
                <c:pt idx="51">
                  <c:v>387.22</c:v>
                </c:pt>
                <c:pt idx="52">
                  <c:v>387.14</c:v>
                </c:pt>
                <c:pt idx="53">
                  <c:v>387.15</c:v>
                </c:pt>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385'!$H$2:$H$55</c:f>
              <c:numCache>
                <c:formatCode>General</c:formatCode>
                <c:ptCount val="54"/>
                <c:pt idx="0">
                  <c:v>344.46</c:v>
                </c:pt>
                <c:pt idx="1">
                  <c:v>347.69</c:v>
                </c:pt>
                <c:pt idx="2">
                  <c:v>350.87</c:v>
                </c:pt>
                <c:pt idx="3">
                  <c:v>354.02</c:v>
                </c:pt>
                <c:pt idx="4">
                  <c:v>357.23</c:v>
                </c:pt>
                <c:pt idx="5">
                  <c:v>360.33</c:v>
                </c:pt>
                <c:pt idx="6">
                  <c:v>363.54</c:v>
                </c:pt>
                <c:pt idx="7">
                  <c:v>366.47</c:v>
                </c:pt>
                <c:pt idx="8">
                  <c:v>369.61</c:v>
                </c:pt>
                <c:pt idx="9">
                  <c:v>372.6</c:v>
                </c:pt>
                <c:pt idx="10">
                  <c:v>375.71</c:v>
                </c:pt>
                <c:pt idx="11">
                  <c:v>378.71</c:v>
                </c:pt>
                <c:pt idx="12">
                  <c:v>381.75</c:v>
                </c:pt>
                <c:pt idx="13">
                  <c:v>383.67</c:v>
                </c:pt>
                <c:pt idx="14">
                  <c:v>384.75</c:v>
                </c:pt>
                <c:pt idx="15">
                  <c:v>385.62</c:v>
                </c:pt>
                <c:pt idx="16">
                  <c:v>386.07</c:v>
                </c:pt>
                <c:pt idx="17">
                  <c:v>386.32</c:v>
                </c:pt>
                <c:pt idx="18">
                  <c:v>386.57</c:v>
                </c:pt>
                <c:pt idx="19">
                  <c:v>386.59</c:v>
                </c:pt>
                <c:pt idx="20">
                  <c:v>386.54</c:v>
                </c:pt>
                <c:pt idx="21">
                  <c:v>386.52</c:v>
                </c:pt>
                <c:pt idx="22">
                  <c:v>386.48</c:v>
                </c:pt>
                <c:pt idx="23">
                  <c:v>386.35</c:v>
                </c:pt>
                <c:pt idx="24">
                  <c:v>386.35</c:v>
                </c:pt>
                <c:pt idx="25">
                  <c:v>386.26</c:v>
                </c:pt>
                <c:pt idx="26">
                  <c:v>386.27</c:v>
                </c:pt>
                <c:pt idx="27">
                  <c:v>386.2</c:v>
                </c:pt>
                <c:pt idx="28">
                  <c:v>386.24</c:v>
                </c:pt>
                <c:pt idx="29">
                  <c:v>386.21</c:v>
                </c:pt>
                <c:pt idx="30">
                  <c:v>386.07</c:v>
                </c:pt>
                <c:pt idx="31">
                  <c:v>386.07</c:v>
                </c:pt>
                <c:pt idx="32">
                  <c:v>386.14</c:v>
                </c:pt>
                <c:pt idx="33">
                  <c:v>386.09</c:v>
                </c:pt>
                <c:pt idx="34">
                  <c:v>386.09</c:v>
                </c:pt>
                <c:pt idx="35">
                  <c:v>385.99</c:v>
                </c:pt>
                <c:pt idx="36">
                  <c:v>386.03</c:v>
                </c:pt>
                <c:pt idx="37">
                  <c:v>385.98</c:v>
                </c:pt>
                <c:pt idx="38">
                  <c:v>385.95</c:v>
                </c:pt>
                <c:pt idx="39">
                  <c:v>385.96</c:v>
                </c:pt>
                <c:pt idx="40">
                  <c:v>386.02</c:v>
                </c:pt>
                <c:pt idx="41">
                  <c:v>385.93</c:v>
                </c:pt>
                <c:pt idx="42">
                  <c:v>386.03</c:v>
                </c:pt>
                <c:pt idx="43">
                  <c:v>386.05</c:v>
                </c:pt>
                <c:pt idx="44">
                  <c:v>385.99</c:v>
                </c:pt>
                <c:pt idx="45">
                  <c:v>385.95</c:v>
                </c:pt>
                <c:pt idx="46">
                  <c:v>385.97</c:v>
                </c:pt>
                <c:pt idx="47">
                  <c:v>385.95</c:v>
                </c:pt>
                <c:pt idx="48">
                  <c:v>385.93</c:v>
                </c:pt>
                <c:pt idx="49">
                  <c:v>385.97</c:v>
                </c:pt>
                <c:pt idx="50">
                  <c:v>385.99</c:v>
                </c:pt>
                <c:pt idx="51">
                  <c:v>385.99</c:v>
                </c:pt>
                <c:pt idx="52">
                  <c:v>385.9</c:v>
                </c:pt>
                <c:pt idx="53">
                  <c:v>385.89</c:v>
                </c:pt>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385'!$I$2:$I$55</c:f>
              <c:numCache>
                <c:formatCode>General</c:formatCode>
                <c:ptCount val="54"/>
                <c:pt idx="0">
                  <c:v>348.16</c:v>
                </c:pt>
                <c:pt idx="1">
                  <c:v>351.36</c:v>
                </c:pt>
                <c:pt idx="2">
                  <c:v>354.6</c:v>
                </c:pt>
                <c:pt idx="3">
                  <c:v>357.65</c:v>
                </c:pt>
                <c:pt idx="4">
                  <c:v>360.91</c:v>
                </c:pt>
                <c:pt idx="5">
                  <c:v>363.86</c:v>
                </c:pt>
                <c:pt idx="6">
                  <c:v>367.01</c:v>
                </c:pt>
                <c:pt idx="7">
                  <c:v>370.18</c:v>
                </c:pt>
                <c:pt idx="8">
                  <c:v>373.07</c:v>
                </c:pt>
                <c:pt idx="9">
                  <c:v>376.46</c:v>
                </c:pt>
                <c:pt idx="10">
                  <c:v>379.43</c:v>
                </c:pt>
                <c:pt idx="11">
                  <c:v>382.45</c:v>
                </c:pt>
                <c:pt idx="12">
                  <c:v>385.27</c:v>
                </c:pt>
                <c:pt idx="13">
                  <c:v>386.92</c:v>
                </c:pt>
                <c:pt idx="14">
                  <c:v>387.71</c:v>
                </c:pt>
                <c:pt idx="15">
                  <c:v>388.19</c:v>
                </c:pt>
                <c:pt idx="16">
                  <c:v>388.3</c:v>
                </c:pt>
                <c:pt idx="17">
                  <c:v>388.35</c:v>
                </c:pt>
                <c:pt idx="18">
                  <c:v>388.42</c:v>
                </c:pt>
                <c:pt idx="19">
                  <c:v>388.21</c:v>
                </c:pt>
                <c:pt idx="20">
                  <c:v>388.04</c:v>
                </c:pt>
                <c:pt idx="21">
                  <c:v>387.81</c:v>
                </c:pt>
                <c:pt idx="22">
                  <c:v>387.77</c:v>
                </c:pt>
                <c:pt idx="23">
                  <c:v>387.52</c:v>
                </c:pt>
                <c:pt idx="24">
                  <c:v>387.47</c:v>
                </c:pt>
                <c:pt idx="25">
                  <c:v>387.33</c:v>
                </c:pt>
                <c:pt idx="26">
                  <c:v>387.21</c:v>
                </c:pt>
                <c:pt idx="27">
                  <c:v>387.22</c:v>
                </c:pt>
                <c:pt idx="28">
                  <c:v>387.18</c:v>
                </c:pt>
                <c:pt idx="29">
                  <c:v>387.19</c:v>
                </c:pt>
                <c:pt idx="30">
                  <c:v>387.08</c:v>
                </c:pt>
                <c:pt idx="31">
                  <c:v>387.06</c:v>
                </c:pt>
                <c:pt idx="32">
                  <c:v>386.98</c:v>
                </c:pt>
                <c:pt idx="33">
                  <c:v>386.91</c:v>
                </c:pt>
                <c:pt idx="34">
                  <c:v>386.88</c:v>
                </c:pt>
                <c:pt idx="35">
                  <c:v>386.89</c:v>
                </c:pt>
                <c:pt idx="36">
                  <c:v>386.83</c:v>
                </c:pt>
                <c:pt idx="37">
                  <c:v>386.84</c:v>
                </c:pt>
                <c:pt idx="38">
                  <c:v>386.84</c:v>
                </c:pt>
                <c:pt idx="39">
                  <c:v>386.81</c:v>
                </c:pt>
                <c:pt idx="40">
                  <c:v>386.84</c:v>
                </c:pt>
                <c:pt idx="41">
                  <c:v>386.88</c:v>
                </c:pt>
                <c:pt idx="42">
                  <c:v>386.75</c:v>
                </c:pt>
                <c:pt idx="43">
                  <c:v>386.87</c:v>
                </c:pt>
                <c:pt idx="44">
                  <c:v>386.68</c:v>
                </c:pt>
                <c:pt idx="45">
                  <c:v>386.75</c:v>
                </c:pt>
                <c:pt idx="46">
                  <c:v>386.79</c:v>
                </c:pt>
                <c:pt idx="47">
                  <c:v>386.67</c:v>
                </c:pt>
                <c:pt idx="48">
                  <c:v>386.78</c:v>
                </c:pt>
                <c:pt idx="49">
                  <c:v>386.74</c:v>
                </c:pt>
                <c:pt idx="50">
                  <c:v>386.73</c:v>
                </c:pt>
                <c:pt idx="51">
                  <c:v>386.73</c:v>
                </c:pt>
                <c:pt idx="52">
                  <c:v>386.65</c:v>
                </c:pt>
                <c:pt idx="53">
                  <c:v>386.67</c:v>
                </c:pt>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385'!$J$2:$J$55</c:f>
              <c:numCache>
                <c:formatCode>General</c:formatCode>
                <c:ptCount val="54"/>
                <c:pt idx="0">
                  <c:v>344.53</c:v>
                </c:pt>
                <c:pt idx="1">
                  <c:v>347.73</c:v>
                </c:pt>
                <c:pt idx="2">
                  <c:v>351</c:v>
                </c:pt>
                <c:pt idx="3">
                  <c:v>354.02</c:v>
                </c:pt>
                <c:pt idx="4">
                  <c:v>357.29</c:v>
                </c:pt>
                <c:pt idx="5">
                  <c:v>360.33</c:v>
                </c:pt>
                <c:pt idx="6">
                  <c:v>363.4</c:v>
                </c:pt>
                <c:pt idx="7">
                  <c:v>366.52</c:v>
                </c:pt>
                <c:pt idx="8">
                  <c:v>369.64</c:v>
                </c:pt>
                <c:pt idx="9">
                  <c:v>372.7</c:v>
                </c:pt>
                <c:pt idx="10">
                  <c:v>375.69</c:v>
                </c:pt>
                <c:pt idx="11">
                  <c:v>378.79</c:v>
                </c:pt>
                <c:pt idx="12">
                  <c:v>381.72</c:v>
                </c:pt>
                <c:pt idx="13">
                  <c:v>383.57</c:v>
                </c:pt>
                <c:pt idx="14">
                  <c:v>384.59</c:v>
                </c:pt>
                <c:pt idx="15">
                  <c:v>385.35</c:v>
                </c:pt>
                <c:pt idx="16">
                  <c:v>385.71</c:v>
                </c:pt>
                <c:pt idx="17">
                  <c:v>385.92</c:v>
                </c:pt>
                <c:pt idx="18">
                  <c:v>386.07</c:v>
                </c:pt>
                <c:pt idx="19">
                  <c:v>386.07</c:v>
                </c:pt>
                <c:pt idx="20">
                  <c:v>386.04</c:v>
                </c:pt>
                <c:pt idx="21">
                  <c:v>385.91</c:v>
                </c:pt>
                <c:pt idx="22">
                  <c:v>385.91</c:v>
                </c:pt>
                <c:pt idx="23">
                  <c:v>385.87</c:v>
                </c:pt>
                <c:pt idx="24">
                  <c:v>385.83</c:v>
                </c:pt>
                <c:pt idx="25">
                  <c:v>385.76</c:v>
                </c:pt>
                <c:pt idx="26">
                  <c:v>385.78</c:v>
                </c:pt>
                <c:pt idx="27">
                  <c:v>385.65</c:v>
                </c:pt>
                <c:pt idx="28">
                  <c:v>385.74</c:v>
                </c:pt>
                <c:pt idx="29">
                  <c:v>385.68</c:v>
                </c:pt>
                <c:pt idx="30">
                  <c:v>385.6</c:v>
                </c:pt>
                <c:pt idx="31">
                  <c:v>385.65</c:v>
                </c:pt>
                <c:pt idx="32">
                  <c:v>385.6</c:v>
                </c:pt>
                <c:pt idx="33">
                  <c:v>385.58</c:v>
                </c:pt>
                <c:pt idx="34">
                  <c:v>385.57</c:v>
                </c:pt>
                <c:pt idx="35">
                  <c:v>385.54</c:v>
                </c:pt>
                <c:pt idx="36">
                  <c:v>385.55</c:v>
                </c:pt>
                <c:pt idx="37">
                  <c:v>385.57</c:v>
                </c:pt>
                <c:pt idx="38">
                  <c:v>385.51</c:v>
                </c:pt>
                <c:pt idx="39">
                  <c:v>385.58</c:v>
                </c:pt>
                <c:pt idx="40">
                  <c:v>385.56</c:v>
                </c:pt>
                <c:pt idx="41">
                  <c:v>385.51</c:v>
                </c:pt>
                <c:pt idx="42">
                  <c:v>385.55</c:v>
                </c:pt>
                <c:pt idx="43">
                  <c:v>385.58</c:v>
                </c:pt>
                <c:pt idx="44">
                  <c:v>385.5</c:v>
                </c:pt>
                <c:pt idx="45">
                  <c:v>385.48</c:v>
                </c:pt>
                <c:pt idx="46">
                  <c:v>385.5</c:v>
                </c:pt>
                <c:pt idx="47">
                  <c:v>385.51</c:v>
                </c:pt>
                <c:pt idx="48">
                  <c:v>385.52</c:v>
                </c:pt>
                <c:pt idx="49">
                  <c:v>385.55</c:v>
                </c:pt>
                <c:pt idx="50">
                  <c:v>385.53</c:v>
                </c:pt>
                <c:pt idx="51">
                  <c:v>385.52</c:v>
                </c:pt>
                <c:pt idx="52">
                  <c:v>385.46</c:v>
                </c:pt>
                <c:pt idx="53">
                  <c:v>385.48</c:v>
                </c:pt>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535'!$B$2:$B$59</c:f>
              <c:numCache>
                <c:formatCode>General</c:formatCode>
                <c:ptCount val="58"/>
                <c:pt idx="0">
                  <c:v>491.71</c:v>
                </c:pt>
                <c:pt idx="1">
                  <c:v>494.21</c:v>
                </c:pt>
                <c:pt idx="2">
                  <c:v>496.66</c:v>
                </c:pt>
                <c:pt idx="3">
                  <c:v>499.07</c:v>
                </c:pt>
                <c:pt idx="4">
                  <c:v>501.51</c:v>
                </c:pt>
                <c:pt idx="5">
                  <c:v>503.93</c:v>
                </c:pt>
                <c:pt idx="6">
                  <c:v>506.39</c:v>
                </c:pt>
                <c:pt idx="7">
                  <c:v>508.79</c:v>
                </c:pt>
                <c:pt idx="8">
                  <c:v>511.08</c:v>
                </c:pt>
                <c:pt idx="9">
                  <c:v>513.54999999999995</c:v>
                </c:pt>
                <c:pt idx="10">
                  <c:v>515.75</c:v>
                </c:pt>
                <c:pt idx="11">
                  <c:v>518.14</c:v>
                </c:pt>
                <c:pt idx="12">
                  <c:v>520.42999999999995</c:v>
                </c:pt>
                <c:pt idx="13">
                  <c:v>522.80999999999995</c:v>
                </c:pt>
                <c:pt idx="14">
                  <c:v>525.07000000000005</c:v>
                </c:pt>
                <c:pt idx="15">
                  <c:v>527.4</c:v>
                </c:pt>
                <c:pt idx="16">
                  <c:v>529.67999999999995</c:v>
                </c:pt>
                <c:pt idx="17">
                  <c:v>531.65</c:v>
                </c:pt>
                <c:pt idx="18">
                  <c:v>533.04999999999995</c:v>
                </c:pt>
                <c:pt idx="19">
                  <c:v>534.35</c:v>
                </c:pt>
                <c:pt idx="20">
                  <c:v>535.20000000000005</c:v>
                </c:pt>
                <c:pt idx="21">
                  <c:v>535.98</c:v>
                </c:pt>
                <c:pt idx="22">
                  <c:v>536.66999999999996</c:v>
                </c:pt>
                <c:pt idx="23">
                  <c:v>536.91</c:v>
                </c:pt>
                <c:pt idx="24">
                  <c:v>537.04</c:v>
                </c:pt>
                <c:pt idx="25">
                  <c:v>537.16999999999996</c:v>
                </c:pt>
                <c:pt idx="26">
                  <c:v>537.29</c:v>
                </c:pt>
                <c:pt idx="27">
                  <c:v>537.36</c:v>
                </c:pt>
                <c:pt idx="28">
                  <c:v>537.36</c:v>
                </c:pt>
                <c:pt idx="29">
                  <c:v>537.41</c:v>
                </c:pt>
                <c:pt idx="30">
                  <c:v>537.35</c:v>
                </c:pt>
                <c:pt idx="31">
                  <c:v>537.44000000000005</c:v>
                </c:pt>
                <c:pt idx="32">
                  <c:v>537.41</c:v>
                </c:pt>
                <c:pt idx="33">
                  <c:v>537.53</c:v>
                </c:pt>
                <c:pt idx="34">
                  <c:v>537.66</c:v>
                </c:pt>
                <c:pt idx="35">
                  <c:v>537.58000000000004</c:v>
                </c:pt>
                <c:pt idx="36">
                  <c:v>537.49</c:v>
                </c:pt>
                <c:pt idx="37">
                  <c:v>537.57000000000005</c:v>
                </c:pt>
                <c:pt idx="38">
                  <c:v>537.44000000000005</c:v>
                </c:pt>
                <c:pt idx="39">
                  <c:v>537.47</c:v>
                </c:pt>
                <c:pt idx="40">
                  <c:v>537.37</c:v>
                </c:pt>
                <c:pt idx="41">
                  <c:v>537.53</c:v>
                </c:pt>
                <c:pt idx="42">
                  <c:v>537.4</c:v>
                </c:pt>
                <c:pt idx="43">
                  <c:v>537.53</c:v>
                </c:pt>
                <c:pt idx="44">
                  <c:v>537.47</c:v>
                </c:pt>
                <c:pt idx="45">
                  <c:v>537.49</c:v>
                </c:pt>
                <c:pt idx="46">
                  <c:v>537.49</c:v>
                </c:pt>
                <c:pt idx="47">
                  <c:v>537.41999999999996</c:v>
                </c:pt>
                <c:pt idx="48">
                  <c:v>537.6</c:v>
                </c:pt>
                <c:pt idx="49">
                  <c:v>537.47</c:v>
                </c:pt>
                <c:pt idx="50">
                  <c:v>537.44000000000005</c:v>
                </c:pt>
                <c:pt idx="51">
                  <c:v>537.53</c:v>
                </c:pt>
                <c:pt idx="52">
                  <c:v>537.42999999999995</c:v>
                </c:pt>
                <c:pt idx="53">
                  <c:v>537.39</c:v>
                </c:pt>
                <c:pt idx="54">
                  <c:v>537.37</c:v>
                </c:pt>
                <c:pt idx="55">
                  <c:v>537.46</c:v>
                </c:pt>
                <c:pt idx="56">
                  <c:v>537.30999999999995</c:v>
                </c:pt>
                <c:pt idx="57">
                  <c:v>537.33000000000004</c:v>
                </c:pt>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535'!$C$2:$C$59</c:f>
              <c:numCache>
                <c:formatCode>General</c:formatCode>
                <c:ptCount val="58"/>
                <c:pt idx="0">
                  <c:v>490.18</c:v>
                </c:pt>
                <c:pt idx="1">
                  <c:v>492.76</c:v>
                </c:pt>
                <c:pt idx="2">
                  <c:v>495.14</c:v>
                </c:pt>
                <c:pt idx="3">
                  <c:v>497.63</c:v>
                </c:pt>
                <c:pt idx="4">
                  <c:v>500.06</c:v>
                </c:pt>
                <c:pt idx="5">
                  <c:v>502.48</c:v>
                </c:pt>
                <c:pt idx="6">
                  <c:v>505.05</c:v>
                </c:pt>
                <c:pt idx="7">
                  <c:v>507.51</c:v>
                </c:pt>
                <c:pt idx="8">
                  <c:v>509.71</c:v>
                </c:pt>
                <c:pt idx="9">
                  <c:v>512.27</c:v>
                </c:pt>
                <c:pt idx="10">
                  <c:v>514.44000000000005</c:v>
                </c:pt>
                <c:pt idx="11">
                  <c:v>516.84</c:v>
                </c:pt>
                <c:pt idx="12">
                  <c:v>519.24</c:v>
                </c:pt>
                <c:pt idx="13">
                  <c:v>521.47</c:v>
                </c:pt>
                <c:pt idx="14">
                  <c:v>523.71</c:v>
                </c:pt>
                <c:pt idx="15">
                  <c:v>526.14</c:v>
                </c:pt>
                <c:pt idx="16">
                  <c:v>528.54</c:v>
                </c:pt>
                <c:pt idx="17">
                  <c:v>530.57000000000005</c:v>
                </c:pt>
                <c:pt idx="18">
                  <c:v>531.94000000000005</c:v>
                </c:pt>
                <c:pt idx="19">
                  <c:v>533.28</c:v>
                </c:pt>
                <c:pt idx="20">
                  <c:v>534.37</c:v>
                </c:pt>
                <c:pt idx="21">
                  <c:v>535.23</c:v>
                </c:pt>
                <c:pt idx="22">
                  <c:v>536.07000000000005</c:v>
                </c:pt>
                <c:pt idx="23">
                  <c:v>536.35</c:v>
                </c:pt>
                <c:pt idx="24">
                  <c:v>536.54</c:v>
                </c:pt>
                <c:pt idx="25">
                  <c:v>536.86</c:v>
                </c:pt>
                <c:pt idx="26">
                  <c:v>536.99</c:v>
                </c:pt>
                <c:pt idx="27">
                  <c:v>537.04999999999995</c:v>
                </c:pt>
                <c:pt idx="28">
                  <c:v>537.11</c:v>
                </c:pt>
                <c:pt idx="29">
                  <c:v>537.12</c:v>
                </c:pt>
                <c:pt idx="30">
                  <c:v>537.30999999999995</c:v>
                </c:pt>
                <c:pt idx="31">
                  <c:v>537.34</c:v>
                </c:pt>
                <c:pt idx="32">
                  <c:v>537.28</c:v>
                </c:pt>
                <c:pt idx="33">
                  <c:v>537.34</c:v>
                </c:pt>
                <c:pt idx="34">
                  <c:v>537.38</c:v>
                </c:pt>
                <c:pt idx="35">
                  <c:v>537.37</c:v>
                </c:pt>
                <c:pt idx="36">
                  <c:v>537.44000000000005</c:v>
                </c:pt>
                <c:pt idx="37">
                  <c:v>537.4</c:v>
                </c:pt>
                <c:pt idx="38">
                  <c:v>537.30999999999995</c:v>
                </c:pt>
                <c:pt idx="39">
                  <c:v>537.33000000000004</c:v>
                </c:pt>
                <c:pt idx="40">
                  <c:v>537.35</c:v>
                </c:pt>
                <c:pt idx="41">
                  <c:v>537.36</c:v>
                </c:pt>
                <c:pt idx="42">
                  <c:v>537.29</c:v>
                </c:pt>
                <c:pt idx="43">
                  <c:v>537.4</c:v>
                </c:pt>
                <c:pt idx="44">
                  <c:v>537.33000000000004</c:v>
                </c:pt>
                <c:pt idx="45">
                  <c:v>537.32000000000005</c:v>
                </c:pt>
                <c:pt idx="46">
                  <c:v>537.30999999999995</c:v>
                </c:pt>
                <c:pt idx="47">
                  <c:v>537.4</c:v>
                </c:pt>
                <c:pt idx="48">
                  <c:v>537.4</c:v>
                </c:pt>
                <c:pt idx="49">
                  <c:v>537.29999999999995</c:v>
                </c:pt>
                <c:pt idx="50">
                  <c:v>537.34</c:v>
                </c:pt>
                <c:pt idx="51">
                  <c:v>537.34</c:v>
                </c:pt>
                <c:pt idx="52">
                  <c:v>537.27</c:v>
                </c:pt>
                <c:pt idx="53">
                  <c:v>537.29</c:v>
                </c:pt>
                <c:pt idx="54">
                  <c:v>537.26</c:v>
                </c:pt>
                <c:pt idx="55">
                  <c:v>537.25</c:v>
                </c:pt>
                <c:pt idx="56">
                  <c:v>537.23</c:v>
                </c:pt>
                <c:pt idx="57">
                  <c:v>537.27</c:v>
                </c:pt>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535'!$D$2:$D$59</c:f>
              <c:numCache>
                <c:formatCode>General</c:formatCode>
                <c:ptCount val="58"/>
                <c:pt idx="0">
                  <c:v>490.24</c:v>
                </c:pt>
                <c:pt idx="1">
                  <c:v>492.65</c:v>
                </c:pt>
                <c:pt idx="2">
                  <c:v>495.15</c:v>
                </c:pt>
                <c:pt idx="3">
                  <c:v>497.7</c:v>
                </c:pt>
                <c:pt idx="4">
                  <c:v>500.07</c:v>
                </c:pt>
                <c:pt idx="5">
                  <c:v>502.58</c:v>
                </c:pt>
                <c:pt idx="6">
                  <c:v>504.96</c:v>
                </c:pt>
                <c:pt idx="7">
                  <c:v>507.36</c:v>
                </c:pt>
                <c:pt idx="8">
                  <c:v>509.77</c:v>
                </c:pt>
                <c:pt idx="9">
                  <c:v>512.09</c:v>
                </c:pt>
                <c:pt idx="10">
                  <c:v>514.59</c:v>
                </c:pt>
                <c:pt idx="11">
                  <c:v>516.77</c:v>
                </c:pt>
                <c:pt idx="12">
                  <c:v>519.12</c:v>
                </c:pt>
                <c:pt idx="13">
                  <c:v>521.38</c:v>
                </c:pt>
                <c:pt idx="14">
                  <c:v>523.84</c:v>
                </c:pt>
                <c:pt idx="15">
                  <c:v>526.09</c:v>
                </c:pt>
                <c:pt idx="16">
                  <c:v>528.44000000000005</c:v>
                </c:pt>
                <c:pt idx="17">
                  <c:v>530.37</c:v>
                </c:pt>
                <c:pt idx="18">
                  <c:v>531.87</c:v>
                </c:pt>
                <c:pt idx="19">
                  <c:v>533.16</c:v>
                </c:pt>
                <c:pt idx="20">
                  <c:v>534.16999999999996</c:v>
                </c:pt>
                <c:pt idx="21">
                  <c:v>534.96</c:v>
                </c:pt>
                <c:pt idx="22">
                  <c:v>535.70000000000005</c:v>
                </c:pt>
                <c:pt idx="23">
                  <c:v>536.05999999999995</c:v>
                </c:pt>
                <c:pt idx="24">
                  <c:v>536.23</c:v>
                </c:pt>
                <c:pt idx="25">
                  <c:v>536.34</c:v>
                </c:pt>
                <c:pt idx="26">
                  <c:v>536.59</c:v>
                </c:pt>
                <c:pt idx="27">
                  <c:v>536.70000000000005</c:v>
                </c:pt>
                <c:pt idx="28">
                  <c:v>536.75</c:v>
                </c:pt>
                <c:pt idx="29">
                  <c:v>536.73</c:v>
                </c:pt>
                <c:pt idx="30">
                  <c:v>536.71</c:v>
                </c:pt>
                <c:pt idx="31">
                  <c:v>536.85</c:v>
                </c:pt>
                <c:pt idx="32">
                  <c:v>536.79999999999995</c:v>
                </c:pt>
                <c:pt idx="33">
                  <c:v>536.96</c:v>
                </c:pt>
                <c:pt idx="34">
                  <c:v>537.03</c:v>
                </c:pt>
                <c:pt idx="35">
                  <c:v>537.02</c:v>
                </c:pt>
                <c:pt idx="36">
                  <c:v>536.91</c:v>
                </c:pt>
                <c:pt idx="37">
                  <c:v>536.99</c:v>
                </c:pt>
                <c:pt idx="38">
                  <c:v>536.85</c:v>
                </c:pt>
                <c:pt idx="39">
                  <c:v>536.89</c:v>
                </c:pt>
                <c:pt idx="40">
                  <c:v>536.83000000000004</c:v>
                </c:pt>
                <c:pt idx="41">
                  <c:v>536.92999999999995</c:v>
                </c:pt>
                <c:pt idx="42">
                  <c:v>536.82000000000005</c:v>
                </c:pt>
                <c:pt idx="43">
                  <c:v>536.94000000000005</c:v>
                </c:pt>
                <c:pt idx="44">
                  <c:v>536.95000000000005</c:v>
                </c:pt>
                <c:pt idx="45">
                  <c:v>536.9</c:v>
                </c:pt>
                <c:pt idx="46">
                  <c:v>536.94000000000005</c:v>
                </c:pt>
                <c:pt idx="47">
                  <c:v>536.87</c:v>
                </c:pt>
                <c:pt idx="48">
                  <c:v>537.01</c:v>
                </c:pt>
                <c:pt idx="49">
                  <c:v>536.87</c:v>
                </c:pt>
                <c:pt idx="50">
                  <c:v>536.80999999999995</c:v>
                </c:pt>
                <c:pt idx="51">
                  <c:v>536.98</c:v>
                </c:pt>
                <c:pt idx="52">
                  <c:v>536.85</c:v>
                </c:pt>
                <c:pt idx="53">
                  <c:v>536.87</c:v>
                </c:pt>
                <c:pt idx="54">
                  <c:v>536.82000000000005</c:v>
                </c:pt>
                <c:pt idx="55">
                  <c:v>536.87</c:v>
                </c:pt>
                <c:pt idx="56">
                  <c:v>536.75</c:v>
                </c:pt>
                <c:pt idx="57">
                  <c:v>536.84</c:v>
                </c:pt>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535'!$E$2:$E$59</c:f>
              <c:numCache>
                <c:formatCode>General</c:formatCode>
                <c:ptCount val="58"/>
                <c:pt idx="0">
                  <c:v>491.95</c:v>
                </c:pt>
                <c:pt idx="1">
                  <c:v>494.49</c:v>
                </c:pt>
                <c:pt idx="2">
                  <c:v>496.98</c:v>
                </c:pt>
                <c:pt idx="3">
                  <c:v>499.39</c:v>
                </c:pt>
                <c:pt idx="4">
                  <c:v>501.84</c:v>
                </c:pt>
                <c:pt idx="5">
                  <c:v>504.23</c:v>
                </c:pt>
                <c:pt idx="6">
                  <c:v>506.62</c:v>
                </c:pt>
                <c:pt idx="7">
                  <c:v>508.99</c:v>
                </c:pt>
                <c:pt idx="8">
                  <c:v>511.35</c:v>
                </c:pt>
                <c:pt idx="9">
                  <c:v>513.71</c:v>
                </c:pt>
                <c:pt idx="10">
                  <c:v>516.01</c:v>
                </c:pt>
                <c:pt idx="11">
                  <c:v>518.38</c:v>
                </c:pt>
                <c:pt idx="12">
                  <c:v>520.72</c:v>
                </c:pt>
                <c:pt idx="13">
                  <c:v>523.04</c:v>
                </c:pt>
                <c:pt idx="14">
                  <c:v>525.29999999999995</c:v>
                </c:pt>
                <c:pt idx="15">
                  <c:v>527.54</c:v>
                </c:pt>
                <c:pt idx="16">
                  <c:v>529.85</c:v>
                </c:pt>
                <c:pt idx="17">
                  <c:v>531.85</c:v>
                </c:pt>
                <c:pt idx="18">
                  <c:v>533.03</c:v>
                </c:pt>
                <c:pt idx="19">
                  <c:v>534.25</c:v>
                </c:pt>
                <c:pt idx="20">
                  <c:v>535.11</c:v>
                </c:pt>
                <c:pt idx="21">
                  <c:v>535.76</c:v>
                </c:pt>
                <c:pt idx="22">
                  <c:v>536.36</c:v>
                </c:pt>
                <c:pt idx="23">
                  <c:v>536.54999999999995</c:v>
                </c:pt>
                <c:pt idx="24">
                  <c:v>536.61</c:v>
                </c:pt>
                <c:pt idx="25">
                  <c:v>536.57000000000005</c:v>
                </c:pt>
                <c:pt idx="26">
                  <c:v>536.83000000000004</c:v>
                </c:pt>
                <c:pt idx="27">
                  <c:v>536.83000000000004</c:v>
                </c:pt>
                <c:pt idx="28">
                  <c:v>536.86</c:v>
                </c:pt>
                <c:pt idx="29">
                  <c:v>536.84</c:v>
                </c:pt>
                <c:pt idx="30">
                  <c:v>536.79</c:v>
                </c:pt>
                <c:pt idx="31">
                  <c:v>536.95000000000005</c:v>
                </c:pt>
                <c:pt idx="32">
                  <c:v>536.84</c:v>
                </c:pt>
                <c:pt idx="33">
                  <c:v>536.99</c:v>
                </c:pt>
                <c:pt idx="34">
                  <c:v>537.09</c:v>
                </c:pt>
                <c:pt idx="35">
                  <c:v>537.03</c:v>
                </c:pt>
                <c:pt idx="36">
                  <c:v>536.91</c:v>
                </c:pt>
                <c:pt idx="37">
                  <c:v>537.02</c:v>
                </c:pt>
                <c:pt idx="38">
                  <c:v>536.87</c:v>
                </c:pt>
                <c:pt idx="39">
                  <c:v>536.9</c:v>
                </c:pt>
                <c:pt idx="40">
                  <c:v>536.78</c:v>
                </c:pt>
                <c:pt idx="41">
                  <c:v>536.92999999999995</c:v>
                </c:pt>
                <c:pt idx="42">
                  <c:v>536.85</c:v>
                </c:pt>
                <c:pt idx="43">
                  <c:v>536.92999999999995</c:v>
                </c:pt>
                <c:pt idx="44">
                  <c:v>536.94000000000005</c:v>
                </c:pt>
                <c:pt idx="45">
                  <c:v>536.91999999999996</c:v>
                </c:pt>
                <c:pt idx="46">
                  <c:v>536.92999999999995</c:v>
                </c:pt>
                <c:pt idx="47">
                  <c:v>536.83000000000004</c:v>
                </c:pt>
                <c:pt idx="48">
                  <c:v>537.08000000000004</c:v>
                </c:pt>
                <c:pt idx="49">
                  <c:v>536.89</c:v>
                </c:pt>
                <c:pt idx="50">
                  <c:v>536.79999999999995</c:v>
                </c:pt>
                <c:pt idx="51">
                  <c:v>536.98</c:v>
                </c:pt>
                <c:pt idx="52">
                  <c:v>536.83000000000004</c:v>
                </c:pt>
                <c:pt idx="53">
                  <c:v>536.86</c:v>
                </c:pt>
                <c:pt idx="54">
                  <c:v>536.80999999999995</c:v>
                </c:pt>
                <c:pt idx="55">
                  <c:v>536.89</c:v>
                </c:pt>
                <c:pt idx="56">
                  <c:v>536.75</c:v>
                </c:pt>
                <c:pt idx="57">
                  <c:v>536.82000000000005</c:v>
                </c:pt>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535'!$F$2:$F$59</c:f>
              <c:numCache>
                <c:formatCode>General</c:formatCode>
                <c:ptCount val="58"/>
                <c:pt idx="0">
                  <c:v>491.02</c:v>
                </c:pt>
                <c:pt idx="1">
                  <c:v>493.7</c:v>
                </c:pt>
                <c:pt idx="2">
                  <c:v>495.88</c:v>
                </c:pt>
                <c:pt idx="3">
                  <c:v>498.37</c:v>
                </c:pt>
                <c:pt idx="4">
                  <c:v>500.78</c:v>
                </c:pt>
                <c:pt idx="5">
                  <c:v>503.19</c:v>
                </c:pt>
                <c:pt idx="6">
                  <c:v>505.67</c:v>
                </c:pt>
                <c:pt idx="7">
                  <c:v>507.87</c:v>
                </c:pt>
                <c:pt idx="8">
                  <c:v>510.21</c:v>
                </c:pt>
                <c:pt idx="9">
                  <c:v>512.78</c:v>
                </c:pt>
                <c:pt idx="10">
                  <c:v>514.94000000000005</c:v>
                </c:pt>
                <c:pt idx="11">
                  <c:v>517.37</c:v>
                </c:pt>
                <c:pt idx="12">
                  <c:v>519.61</c:v>
                </c:pt>
                <c:pt idx="13">
                  <c:v>521.64</c:v>
                </c:pt>
                <c:pt idx="14">
                  <c:v>524.04</c:v>
                </c:pt>
                <c:pt idx="15">
                  <c:v>526.30999999999995</c:v>
                </c:pt>
                <c:pt idx="16">
                  <c:v>528.91999999999996</c:v>
                </c:pt>
                <c:pt idx="17">
                  <c:v>530.44000000000005</c:v>
                </c:pt>
                <c:pt idx="18">
                  <c:v>531.66999999999996</c:v>
                </c:pt>
                <c:pt idx="19">
                  <c:v>532.25</c:v>
                </c:pt>
                <c:pt idx="20">
                  <c:v>532.98</c:v>
                </c:pt>
                <c:pt idx="21">
                  <c:v>533.27</c:v>
                </c:pt>
                <c:pt idx="22">
                  <c:v>533.71</c:v>
                </c:pt>
                <c:pt idx="23">
                  <c:v>533.44000000000005</c:v>
                </c:pt>
                <c:pt idx="24">
                  <c:v>533.01</c:v>
                </c:pt>
                <c:pt idx="25">
                  <c:v>533.20000000000005</c:v>
                </c:pt>
                <c:pt idx="26">
                  <c:v>533.27</c:v>
                </c:pt>
                <c:pt idx="27">
                  <c:v>532.92999999999995</c:v>
                </c:pt>
                <c:pt idx="28">
                  <c:v>532.87</c:v>
                </c:pt>
                <c:pt idx="29">
                  <c:v>532.84</c:v>
                </c:pt>
                <c:pt idx="30">
                  <c:v>532.9</c:v>
                </c:pt>
                <c:pt idx="31">
                  <c:v>532.98</c:v>
                </c:pt>
                <c:pt idx="32">
                  <c:v>532.69000000000005</c:v>
                </c:pt>
                <c:pt idx="33">
                  <c:v>532.87</c:v>
                </c:pt>
                <c:pt idx="34">
                  <c:v>532.80999999999995</c:v>
                </c:pt>
                <c:pt idx="35">
                  <c:v>532.69000000000005</c:v>
                </c:pt>
                <c:pt idx="36">
                  <c:v>532.64</c:v>
                </c:pt>
                <c:pt idx="37">
                  <c:v>532.75</c:v>
                </c:pt>
                <c:pt idx="38">
                  <c:v>532.52</c:v>
                </c:pt>
                <c:pt idx="39">
                  <c:v>532.57000000000005</c:v>
                </c:pt>
                <c:pt idx="40">
                  <c:v>532.44000000000005</c:v>
                </c:pt>
                <c:pt idx="41">
                  <c:v>532.58000000000004</c:v>
                </c:pt>
                <c:pt idx="42">
                  <c:v>532.37</c:v>
                </c:pt>
                <c:pt idx="43">
                  <c:v>532.74</c:v>
                </c:pt>
                <c:pt idx="44">
                  <c:v>532.5</c:v>
                </c:pt>
                <c:pt idx="45">
                  <c:v>532.55999999999995</c:v>
                </c:pt>
                <c:pt idx="46">
                  <c:v>532.64</c:v>
                </c:pt>
                <c:pt idx="47">
                  <c:v>532.74</c:v>
                </c:pt>
                <c:pt idx="48">
                  <c:v>532.70000000000005</c:v>
                </c:pt>
                <c:pt idx="49">
                  <c:v>532.35</c:v>
                </c:pt>
                <c:pt idx="50">
                  <c:v>532.5</c:v>
                </c:pt>
                <c:pt idx="51">
                  <c:v>532.62</c:v>
                </c:pt>
                <c:pt idx="52">
                  <c:v>532.49</c:v>
                </c:pt>
                <c:pt idx="53">
                  <c:v>532.5</c:v>
                </c:pt>
                <c:pt idx="54">
                  <c:v>532.16999999999996</c:v>
                </c:pt>
                <c:pt idx="55">
                  <c:v>532.5</c:v>
                </c:pt>
                <c:pt idx="56">
                  <c:v>532.29</c:v>
                </c:pt>
                <c:pt idx="57">
                  <c:v>532.39</c:v>
                </c:pt>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535'!$G$2:$G$59</c:f>
              <c:numCache>
                <c:formatCode>General</c:formatCode>
                <c:ptCount val="58"/>
                <c:pt idx="0">
                  <c:v>494.49</c:v>
                </c:pt>
                <c:pt idx="1">
                  <c:v>496.74</c:v>
                </c:pt>
                <c:pt idx="2">
                  <c:v>499.19</c:v>
                </c:pt>
                <c:pt idx="3">
                  <c:v>501.79</c:v>
                </c:pt>
                <c:pt idx="4">
                  <c:v>504.01</c:v>
                </c:pt>
                <c:pt idx="5">
                  <c:v>506.41</c:v>
                </c:pt>
                <c:pt idx="6">
                  <c:v>508.69</c:v>
                </c:pt>
                <c:pt idx="7">
                  <c:v>511.08</c:v>
                </c:pt>
                <c:pt idx="8">
                  <c:v>513.52</c:v>
                </c:pt>
                <c:pt idx="9">
                  <c:v>515.76</c:v>
                </c:pt>
                <c:pt idx="10">
                  <c:v>518.1</c:v>
                </c:pt>
                <c:pt idx="11">
                  <c:v>520.58000000000004</c:v>
                </c:pt>
                <c:pt idx="12">
                  <c:v>522.91</c:v>
                </c:pt>
                <c:pt idx="13">
                  <c:v>525.1</c:v>
                </c:pt>
                <c:pt idx="14">
                  <c:v>527.38</c:v>
                </c:pt>
                <c:pt idx="15">
                  <c:v>529.64</c:v>
                </c:pt>
                <c:pt idx="16">
                  <c:v>532.01</c:v>
                </c:pt>
                <c:pt idx="17">
                  <c:v>533.77</c:v>
                </c:pt>
                <c:pt idx="18">
                  <c:v>535.03</c:v>
                </c:pt>
                <c:pt idx="19">
                  <c:v>536.01</c:v>
                </c:pt>
                <c:pt idx="20">
                  <c:v>536.91</c:v>
                </c:pt>
                <c:pt idx="21">
                  <c:v>537.51</c:v>
                </c:pt>
                <c:pt idx="22">
                  <c:v>538.03</c:v>
                </c:pt>
                <c:pt idx="23">
                  <c:v>538.1</c:v>
                </c:pt>
                <c:pt idx="24">
                  <c:v>537.95000000000005</c:v>
                </c:pt>
                <c:pt idx="25">
                  <c:v>538.05999999999995</c:v>
                </c:pt>
                <c:pt idx="26">
                  <c:v>538.1</c:v>
                </c:pt>
                <c:pt idx="27">
                  <c:v>537.99</c:v>
                </c:pt>
                <c:pt idx="28">
                  <c:v>537.89</c:v>
                </c:pt>
                <c:pt idx="29">
                  <c:v>537.75</c:v>
                </c:pt>
                <c:pt idx="30">
                  <c:v>537.83000000000004</c:v>
                </c:pt>
                <c:pt idx="31">
                  <c:v>537.89</c:v>
                </c:pt>
                <c:pt idx="32">
                  <c:v>537.63</c:v>
                </c:pt>
                <c:pt idx="33">
                  <c:v>537.71</c:v>
                </c:pt>
                <c:pt idx="34">
                  <c:v>537.79</c:v>
                </c:pt>
                <c:pt idx="35">
                  <c:v>537.79999999999995</c:v>
                </c:pt>
                <c:pt idx="36">
                  <c:v>537.69000000000005</c:v>
                </c:pt>
                <c:pt idx="37">
                  <c:v>537.67999999999995</c:v>
                </c:pt>
                <c:pt idx="38">
                  <c:v>537.58000000000004</c:v>
                </c:pt>
                <c:pt idx="39">
                  <c:v>537.49</c:v>
                </c:pt>
                <c:pt idx="40">
                  <c:v>537.45000000000005</c:v>
                </c:pt>
                <c:pt idx="41">
                  <c:v>537.45000000000005</c:v>
                </c:pt>
                <c:pt idx="42">
                  <c:v>537.34</c:v>
                </c:pt>
                <c:pt idx="43">
                  <c:v>537.53</c:v>
                </c:pt>
                <c:pt idx="44">
                  <c:v>537.46</c:v>
                </c:pt>
                <c:pt idx="45">
                  <c:v>537.44000000000005</c:v>
                </c:pt>
                <c:pt idx="46">
                  <c:v>537.41</c:v>
                </c:pt>
                <c:pt idx="47">
                  <c:v>537.4</c:v>
                </c:pt>
                <c:pt idx="48">
                  <c:v>537.52</c:v>
                </c:pt>
                <c:pt idx="49">
                  <c:v>537.36</c:v>
                </c:pt>
                <c:pt idx="50">
                  <c:v>537.29999999999995</c:v>
                </c:pt>
                <c:pt idx="51">
                  <c:v>537.42999999999995</c:v>
                </c:pt>
                <c:pt idx="52">
                  <c:v>537.28</c:v>
                </c:pt>
                <c:pt idx="53">
                  <c:v>537.36</c:v>
                </c:pt>
                <c:pt idx="54">
                  <c:v>537.30999999999995</c:v>
                </c:pt>
                <c:pt idx="55">
                  <c:v>537.39</c:v>
                </c:pt>
                <c:pt idx="56">
                  <c:v>537.21</c:v>
                </c:pt>
                <c:pt idx="57">
                  <c:v>537.29999999999995</c:v>
                </c:pt>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535'!$H$2:$H$59</c:f>
              <c:numCache>
                <c:formatCode>General</c:formatCode>
                <c:ptCount val="58"/>
                <c:pt idx="0">
                  <c:v>491.95</c:v>
                </c:pt>
                <c:pt idx="1">
                  <c:v>494.44</c:v>
                </c:pt>
                <c:pt idx="2">
                  <c:v>496.99</c:v>
                </c:pt>
                <c:pt idx="3">
                  <c:v>499.39</c:v>
                </c:pt>
                <c:pt idx="4">
                  <c:v>501.76</c:v>
                </c:pt>
                <c:pt idx="5">
                  <c:v>504.18</c:v>
                </c:pt>
                <c:pt idx="6">
                  <c:v>506.65</c:v>
                </c:pt>
                <c:pt idx="7">
                  <c:v>508.96</c:v>
                </c:pt>
                <c:pt idx="8">
                  <c:v>511.36</c:v>
                </c:pt>
                <c:pt idx="9">
                  <c:v>513.64</c:v>
                </c:pt>
                <c:pt idx="10">
                  <c:v>516.13</c:v>
                </c:pt>
                <c:pt idx="11">
                  <c:v>518.29999999999995</c:v>
                </c:pt>
                <c:pt idx="12">
                  <c:v>520.57000000000005</c:v>
                </c:pt>
                <c:pt idx="13">
                  <c:v>522.9</c:v>
                </c:pt>
                <c:pt idx="14">
                  <c:v>525.22</c:v>
                </c:pt>
                <c:pt idx="15">
                  <c:v>527.5</c:v>
                </c:pt>
                <c:pt idx="16">
                  <c:v>529.85</c:v>
                </c:pt>
                <c:pt idx="17">
                  <c:v>531.77</c:v>
                </c:pt>
                <c:pt idx="18">
                  <c:v>533.12</c:v>
                </c:pt>
                <c:pt idx="19">
                  <c:v>534.28</c:v>
                </c:pt>
                <c:pt idx="20">
                  <c:v>535.27</c:v>
                </c:pt>
                <c:pt idx="21">
                  <c:v>535.9</c:v>
                </c:pt>
                <c:pt idx="22">
                  <c:v>536.5</c:v>
                </c:pt>
                <c:pt idx="23">
                  <c:v>536.69000000000005</c:v>
                </c:pt>
                <c:pt idx="24">
                  <c:v>536.77</c:v>
                </c:pt>
                <c:pt idx="25">
                  <c:v>536.79</c:v>
                </c:pt>
                <c:pt idx="26">
                  <c:v>536.87</c:v>
                </c:pt>
                <c:pt idx="27">
                  <c:v>536.87</c:v>
                </c:pt>
                <c:pt idx="28">
                  <c:v>536.78</c:v>
                </c:pt>
                <c:pt idx="29">
                  <c:v>536.73</c:v>
                </c:pt>
                <c:pt idx="30">
                  <c:v>536.66999999999996</c:v>
                </c:pt>
                <c:pt idx="31">
                  <c:v>536.75</c:v>
                </c:pt>
                <c:pt idx="32">
                  <c:v>536.64</c:v>
                </c:pt>
                <c:pt idx="33">
                  <c:v>536.77</c:v>
                </c:pt>
                <c:pt idx="34">
                  <c:v>536.77</c:v>
                </c:pt>
                <c:pt idx="35">
                  <c:v>536.74</c:v>
                </c:pt>
                <c:pt idx="36">
                  <c:v>536.69000000000005</c:v>
                </c:pt>
                <c:pt idx="37">
                  <c:v>536.70000000000005</c:v>
                </c:pt>
                <c:pt idx="38">
                  <c:v>536.52</c:v>
                </c:pt>
                <c:pt idx="39">
                  <c:v>536.54999999999995</c:v>
                </c:pt>
                <c:pt idx="40">
                  <c:v>536.46</c:v>
                </c:pt>
                <c:pt idx="41">
                  <c:v>536.57000000000005</c:v>
                </c:pt>
                <c:pt idx="42">
                  <c:v>536.42999999999995</c:v>
                </c:pt>
                <c:pt idx="43">
                  <c:v>536.6</c:v>
                </c:pt>
                <c:pt idx="44">
                  <c:v>536.52</c:v>
                </c:pt>
                <c:pt idx="45">
                  <c:v>536.51</c:v>
                </c:pt>
                <c:pt idx="46">
                  <c:v>536.49</c:v>
                </c:pt>
                <c:pt idx="47">
                  <c:v>536.48</c:v>
                </c:pt>
                <c:pt idx="48">
                  <c:v>536.54</c:v>
                </c:pt>
                <c:pt idx="49">
                  <c:v>536.47</c:v>
                </c:pt>
                <c:pt idx="50">
                  <c:v>536.33000000000004</c:v>
                </c:pt>
                <c:pt idx="51">
                  <c:v>536.51</c:v>
                </c:pt>
                <c:pt idx="52">
                  <c:v>536.35</c:v>
                </c:pt>
                <c:pt idx="53">
                  <c:v>536.39</c:v>
                </c:pt>
                <c:pt idx="54">
                  <c:v>536.36</c:v>
                </c:pt>
                <c:pt idx="55">
                  <c:v>536.39</c:v>
                </c:pt>
                <c:pt idx="56">
                  <c:v>536.28</c:v>
                </c:pt>
                <c:pt idx="57">
                  <c:v>536.36</c:v>
                </c:pt>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535'!$I$2:$I$59</c:f>
              <c:numCache>
                <c:formatCode>General</c:formatCode>
                <c:ptCount val="58"/>
                <c:pt idx="0">
                  <c:v>495.53</c:v>
                </c:pt>
                <c:pt idx="1">
                  <c:v>497.93</c:v>
                </c:pt>
                <c:pt idx="2">
                  <c:v>500.37</c:v>
                </c:pt>
                <c:pt idx="3">
                  <c:v>502.77</c:v>
                </c:pt>
                <c:pt idx="4">
                  <c:v>505.15</c:v>
                </c:pt>
                <c:pt idx="5">
                  <c:v>507.59</c:v>
                </c:pt>
                <c:pt idx="6">
                  <c:v>509.9</c:v>
                </c:pt>
                <c:pt idx="7">
                  <c:v>512.34</c:v>
                </c:pt>
                <c:pt idx="8">
                  <c:v>514.66</c:v>
                </c:pt>
                <c:pt idx="9">
                  <c:v>516.9</c:v>
                </c:pt>
                <c:pt idx="10">
                  <c:v>519.42999999999995</c:v>
                </c:pt>
                <c:pt idx="11">
                  <c:v>521.6</c:v>
                </c:pt>
                <c:pt idx="12">
                  <c:v>523.94000000000005</c:v>
                </c:pt>
                <c:pt idx="13">
                  <c:v>526.12</c:v>
                </c:pt>
                <c:pt idx="14">
                  <c:v>528.5</c:v>
                </c:pt>
                <c:pt idx="15">
                  <c:v>530.69000000000005</c:v>
                </c:pt>
                <c:pt idx="16">
                  <c:v>532.99</c:v>
                </c:pt>
                <c:pt idx="17">
                  <c:v>534.69000000000005</c:v>
                </c:pt>
                <c:pt idx="18">
                  <c:v>535.9</c:v>
                </c:pt>
                <c:pt idx="19">
                  <c:v>536.89</c:v>
                </c:pt>
                <c:pt idx="20">
                  <c:v>537.53</c:v>
                </c:pt>
                <c:pt idx="21">
                  <c:v>537.94000000000005</c:v>
                </c:pt>
                <c:pt idx="22">
                  <c:v>538.26</c:v>
                </c:pt>
                <c:pt idx="23">
                  <c:v>538.36</c:v>
                </c:pt>
                <c:pt idx="24">
                  <c:v>538.20000000000005</c:v>
                </c:pt>
                <c:pt idx="25">
                  <c:v>537.99</c:v>
                </c:pt>
                <c:pt idx="26">
                  <c:v>538.11</c:v>
                </c:pt>
                <c:pt idx="27">
                  <c:v>537.99</c:v>
                </c:pt>
                <c:pt idx="28">
                  <c:v>537.87</c:v>
                </c:pt>
                <c:pt idx="29">
                  <c:v>537.76</c:v>
                </c:pt>
                <c:pt idx="30">
                  <c:v>537.53</c:v>
                </c:pt>
                <c:pt idx="31">
                  <c:v>537.72</c:v>
                </c:pt>
                <c:pt idx="32">
                  <c:v>537.54999999999995</c:v>
                </c:pt>
                <c:pt idx="33">
                  <c:v>537.66999999999996</c:v>
                </c:pt>
                <c:pt idx="34">
                  <c:v>537.69000000000005</c:v>
                </c:pt>
                <c:pt idx="35">
                  <c:v>537.62</c:v>
                </c:pt>
                <c:pt idx="36">
                  <c:v>537.46</c:v>
                </c:pt>
                <c:pt idx="37">
                  <c:v>537.57000000000005</c:v>
                </c:pt>
                <c:pt idx="38">
                  <c:v>537.37</c:v>
                </c:pt>
                <c:pt idx="39">
                  <c:v>537.4</c:v>
                </c:pt>
                <c:pt idx="40">
                  <c:v>537.24</c:v>
                </c:pt>
                <c:pt idx="41">
                  <c:v>537.35</c:v>
                </c:pt>
                <c:pt idx="42">
                  <c:v>537.22</c:v>
                </c:pt>
                <c:pt idx="43">
                  <c:v>537.39</c:v>
                </c:pt>
                <c:pt idx="44">
                  <c:v>537.41999999999996</c:v>
                </c:pt>
                <c:pt idx="45">
                  <c:v>537.29</c:v>
                </c:pt>
                <c:pt idx="46">
                  <c:v>537.29999999999995</c:v>
                </c:pt>
                <c:pt idx="47">
                  <c:v>537.23</c:v>
                </c:pt>
                <c:pt idx="48">
                  <c:v>537.42999999999995</c:v>
                </c:pt>
                <c:pt idx="49">
                  <c:v>537.29</c:v>
                </c:pt>
                <c:pt idx="50">
                  <c:v>537.07000000000005</c:v>
                </c:pt>
                <c:pt idx="51">
                  <c:v>537.32000000000005</c:v>
                </c:pt>
                <c:pt idx="52">
                  <c:v>537.14</c:v>
                </c:pt>
                <c:pt idx="53">
                  <c:v>537.16999999999996</c:v>
                </c:pt>
                <c:pt idx="54">
                  <c:v>537.16999999999996</c:v>
                </c:pt>
                <c:pt idx="55">
                  <c:v>537.24</c:v>
                </c:pt>
                <c:pt idx="56">
                  <c:v>537.07000000000005</c:v>
                </c:pt>
                <c:pt idx="57">
                  <c:v>537.22</c:v>
                </c:pt>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535'!$J$2:$J$59</c:f>
              <c:numCache>
                <c:formatCode>General</c:formatCode>
                <c:ptCount val="58"/>
                <c:pt idx="0">
                  <c:v>492.21</c:v>
                </c:pt>
                <c:pt idx="1">
                  <c:v>494.77</c:v>
                </c:pt>
                <c:pt idx="2">
                  <c:v>497.15</c:v>
                </c:pt>
                <c:pt idx="3">
                  <c:v>499.64</c:v>
                </c:pt>
                <c:pt idx="4">
                  <c:v>502.11</c:v>
                </c:pt>
                <c:pt idx="5">
                  <c:v>504.47</c:v>
                </c:pt>
                <c:pt idx="6">
                  <c:v>506.82</c:v>
                </c:pt>
                <c:pt idx="7">
                  <c:v>509.27</c:v>
                </c:pt>
                <c:pt idx="8">
                  <c:v>511.6</c:v>
                </c:pt>
                <c:pt idx="9">
                  <c:v>514.01</c:v>
                </c:pt>
                <c:pt idx="10">
                  <c:v>516.30999999999995</c:v>
                </c:pt>
                <c:pt idx="11">
                  <c:v>518.66</c:v>
                </c:pt>
                <c:pt idx="12">
                  <c:v>520.91999999999996</c:v>
                </c:pt>
                <c:pt idx="13">
                  <c:v>523.20000000000005</c:v>
                </c:pt>
                <c:pt idx="14">
                  <c:v>525.62</c:v>
                </c:pt>
                <c:pt idx="15">
                  <c:v>527.83000000000004</c:v>
                </c:pt>
                <c:pt idx="16">
                  <c:v>530.17999999999995</c:v>
                </c:pt>
                <c:pt idx="17">
                  <c:v>532.03</c:v>
                </c:pt>
                <c:pt idx="18">
                  <c:v>533.33000000000004</c:v>
                </c:pt>
                <c:pt idx="19">
                  <c:v>534.54999999999995</c:v>
                </c:pt>
                <c:pt idx="20">
                  <c:v>535.41999999999996</c:v>
                </c:pt>
                <c:pt idx="21">
                  <c:v>535.98</c:v>
                </c:pt>
                <c:pt idx="22">
                  <c:v>536.53</c:v>
                </c:pt>
                <c:pt idx="23">
                  <c:v>536.75</c:v>
                </c:pt>
                <c:pt idx="24">
                  <c:v>536.72</c:v>
                </c:pt>
                <c:pt idx="25">
                  <c:v>536.73</c:v>
                </c:pt>
                <c:pt idx="26">
                  <c:v>536.91999999999996</c:v>
                </c:pt>
                <c:pt idx="27">
                  <c:v>536.9</c:v>
                </c:pt>
                <c:pt idx="28">
                  <c:v>536.86</c:v>
                </c:pt>
                <c:pt idx="29">
                  <c:v>536.79</c:v>
                </c:pt>
                <c:pt idx="30">
                  <c:v>536.72</c:v>
                </c:pt>
                <c:pt idx="31">
                  <c:v>536.86</c:v>
                </c:pt>
                <c:pt idx="32">
                  <c:v>536.73</c:v>
                </c:pt>
                <c:pt idx="33">
                  <c:v>536.86</c:v>
                </c:pt>
                <c:pt idx="34">
                  <c:v>536.9</c:v>
                </c:pt>
                <c:pt idx="35">
                  <c:v>536.86</c:v>
                </c:pt>
                <c:pt idx="36">
                  <c:v>536.74</c:v>
                </c:pt>
                <c:pt idx="37">
                  <c:v>536.82000000000005</c:v>
                </c:pt>
                <c:pt idx="38">
                  <c:v>536.66</c:v>
                </c:pt>
                <c:pt idx="39">
                  <c:v>536.69000000000005</c:v>
                </c:pt>
                <c:pt idx="40">
                  <c:v>536.54</c:v>
                </c:pt>
                <c:pt idx="41">
                  <c:v>536.66999999999996</c:v>
                </c:pt>
                <c:pt idx="42">
                  <c:v>536.57000000000005</c:v>
                </c:pt>
                <c:pt idx="43">
                  <c:v>536.69000000000005</c:v>
                </c:pt>
                <c:pt idx="44">
                  <c:v>536.66999999999996</c:v>
                </c:pt>
                <c:pt idx="45">
                  <c:v>536.66999999999996</c:v>
                </c:pt>
                <c:pt idx="46">
                  <c:v>536.66</c:v>
                </c:pt>
                <c:pt idx="47">
                  <c:v>536.57000000000005</c:v>
                </c:pt>
                <c:pt idx="48">
                  <c:v>536.76</c:v>
                </c:pt>
                <c:pt idx="49">
                  <c:v>536.59</c:v>
                </c:pt>
                <c:pt idx="50">
                  <c:v>536.5</c:v>
                </c:pt>
                <c:pt idx="51">
                  <c:v>536.69000000000005</c:v>
                </c:pt>
                <c:pt idx="52">
                  <c:v>536.54</c:v>
                </c:pt>
                <c:pt idx="53">
                  <c:v>536.54999999999995</c:v>
                </c:pt>
                <c:pt idx="54">
                  <c:v>536.5</c:v>
                </c:pt>
                <c:pt idx="55">
                  <c:v>536.59</c:v>
                </c:pt>
                <c:pt idx="56">
                  <c:v>536.46</c:v>
                </c:pt>
                <c:pt idx="57">
                  <c:v>536.51</c:v>
                </c:pt>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80'!$B$1</c:f>
              <c:strCache>
                <c:ptCount val="1"/>
                <c:pt idx="0">
                  <c:v>Connecteur 1</c:v>
                </c:pt>
              </c:strCache>
            </c:strRef>
          </c:tx>
          <c:marker>
            <c:symbol val="none"/>
          </c:marker>
          <c:val>
            <c:numRef>
              <c:f>'transfert 80'!$B$2:$B$176</c:f>
              <c:numCache>
                <c:formatCode>General</c:formatCode>
                <c:ptCount val="175"/>
                <c:pt idx="0">
                  <c:v>41.4</c:v>
                </c:pt>
                <c:pt idx="1">
                  <c:v>41.68</c:v>
                </c:pt>
                <c:pt idx="2">
                  <c:v>41.78</c:v>
                </c:pt>
                <c:pt idx="3">
                  <c:v>42</c:v>
                </c:pt>
                <c:pt idx="4">
                  <c:v>42.2</c:v>
                </c:pt>
                <c:pt idx="5">
                  <c:v>42.22</c:v>
                </c:pt>
                <c:pt idx="6">
                  <c:v>42.4</c:v>
                </c:pt>
                <c:pt idx="7">
                  <c:v>42.53</c:v>
                </c:pt>
                <c:pt idx="8">
                  <c:v>42.62</c:v>
                </c:pt>
                <c:pt idx="9">
                  <c:v>42.82</c:v>
                </c:pt>
                <c:pt idx="10">
                  <c:v>42.84</c:v>
                </c:pt>
                <c:pt idx="11">
                  <c:v>42.93</c:v>
                </c:pt>
                <c:pt idx="12">
                  <c:v>43.09</c:v>
                </c:pt>
                <c:pt idx="13">
                  <c:v>43.18</c:v>
                </c:pt>
                <c:pt idx="14">
                  <c:v>43.29</c:v>
                </c:pt>
                <c:pt idx="15">
                  <c:v>43.45</c:v>
                </c:pt>
                <c:pt idx="16">
                  <c:v>43.5</c:v>
                </c:pt>
                <c:pt idx="17">
                  <c:v>43.6</c:v>
                </c:pt>
                <c:pt idx="18">
                  <c:v>43.72</c:v>
                </c:pt>
                <c:pt idx="19">
                  <c:v>43.81</c:v>
                </c:pt>
                <c:pt idx="20">
                  <c:v>43.89</c:v>
                </c:pt>
                <c:pt idx="21">
                  <c:v>43.97</c:v>
                </c:pt>
                <c:pt idx="22">
                  <c:v>44.12</c:v>
                </c:pt>
                <c:pt idx="23">
                  <c:v>44.14</c:v>
                </c:pt>
                <c:pt idx="24">
                  <c:v>44.23</c:v>
                </c:pt>
                <c:pt idx="25">
                  <c:v>44.32</c:v>
                </c:pt>
                <c:pt idx="26">
                  <c:v>44.48</c:v>
                </c:pt>
                <c:pt idx="27">
                  <c:v>44.57</c:v>
                </c:pt>
                <c:pt idx="28">
                  <c:v>44.63</c:v>
                </c:pt>
                <c:pt idx="29">
                  <c:v>44.73</c:v>
                </c:pt>
                <c:pt idx="30">
                  <c:v>44.76</c:v>
                </c:pt>
                <c:pt idx="31">
                  <c:v>44.84</c:v>
                </c:pt>
                <c:pt idx="32">
                  <c:v>44.93</c:v>
                </c:pt>
                <c:pt idx="33">
                  <c:v>44.97</c:v>
                </c:pt>
                <c:pt idx="34">
                  <c:v>45.07</c:v>
                </c:pt>
                <c:pt idx="35">
                  <c:v>45.14</c:v>
                </c:pt>
                <c:pt idx="36">
                  <c:v>45.21</c:v>
                </c:pt>
                <c:pt idx="37">
                  <c:v>45.3</c:v>
                </c:pt>
                <c:pt idx="38">
                  <c:v>45.33</c:v>
                </c:pt>
                <c:pt idx="39">
                  <c:v>45.46</c:v>
                </c:pt>
                <c:pt idx="40">
                  <c:v>45.53</c:v>
                </c:pt>
                <c:pt idx="41">
                  <c:v>45.62</c:v>
                </c:pt>
                <c:pt idx="42">
                  <c:v>45.65</c:v>
                </c:pt>
                <c:pt idx="43">
                  <c:v>45.78</c:v>
                </c:pt>
                <c:pt idx="44">
                  <c:v>45.76</c:v>
                </c:pt>
                <c:pt idx="45">
                  <c:v>45.91</c:v>
                </c:pt>
                <c:pt idx="46">
                  <c:v>45.86</c:v>
                </c:pt>
                <c:pt idx="47">
                  <c:v>46.01</c:v>
                </c:pt>
                <c:pt idx="48">
                  <c:v>46.03</c:v>
                </c:pt>
                <c:pt idx="49">
                  <c:v>46.1</c:v>
                </c:pt>
                <c:pt idx="50">
                  <c:v>46.24</c:v>
                </c:pt>
                <c:pt idx="51">
                  <c:v>46.24</c:v>
                </c:pt>
                <c:pt idx="52">
                  <c:v>46.55</c:v>
                </c:pt>
                <c:pt idx="53">
                  <c:v>47.33</c:v>
                </c:pt>
                <c:pt idx="54">
                  <c:v>48.52</c:v>
                </c:pt>
                <c:pt idx="55">
                  <c:v>49.88</c:v>
                </c:pt>
                <c:pt idx="56">
                  <c:v>51.08</c:v>
                </c:pt>
                <c:pt idx="57">
                  <c:v>52.45</c:v>
                </c:pt>
                <c:pt idx="58">
                  <c:v>53.53</c:v>
                </c:pt>
                <c:pt idx="59">
                  <c:v>54.5</c:v>
                </c:pt>
                <c:pt idx="60">
                  <c:v>55.37</c:v>
                </c:pt>
                <c:pt idx="61">
                  <c:v>56.02</c:v>
                </c:pt>
                <c:pt idx="62">
                  <c:v>56.6</c:v>
                </c:pt>
                <c:pt idx="63">
                  <c:v>57.19</c:v>
                </c:pt>
                <c:pt idx="64">
                  <c:v>57.67</c:v>
                </c:pt>
                <c:pt idx="65">
                  <c:v>58.11</c:v>
                </c:pt>
                <c:pt idx="66">
                  <c:v>58.49</c:v>
                </c:pt>
                <c:pt idx="67">
                  <c:v>58.83</c:v>
                </c:pt>
                <c:pt idx="68">
                  <c:v>59.31</c:v>
                </c:pt>
                <c:pt idx="69">
                  <c:v>59.47</c:v>
                </c:pt>
                <c:pt idx="70">
                  <c:v>59.74</c:v>
                </c:pt>
                <c:pt idx="71">
                  <c:v>60.07</c:v>
                </c:pt>
                <c:pt idx="72">
                  <c:v>60.35</c:v>
                </c:pt>
                <c:pt idx="73">
                  <c:v>60.73</c:v>
                </c:pt>
                <c:pt idx="74">
                  <c:v>61</c:v>
                </c:pt>
                <c:pt idx="75">
                  <c:v>61.32</c:v>
                </c:pt>
                <c:pt idx="76">
                  <c:v>61.68</c:v>
                </c:pt>
                <c:pt idx="77">
                  <c:v>62.03</c:v>
                </c:pt>
                <c:pt idx="78">
                  <c:v>62.34</c:v>
                </c:pt>
                <c:pt idx="79">
                  <c:v>62.6</c:v>
                </c:pt>
                <c:pt idx="80">
                  <c:v>62.89</c:v>
                </c:pt>
                <c:pt idx="81">
                  <c:v>63.33</c:v>
                </c:pt>
                <c:pt idx="82">
                  <c:v>63.57</c:v>
                </c:pt>
                <c:pt idx="83">
                  <c:v>63.92</c:v>
                </c:pt>
                <c:pt idx="84">
                  <c:v>64.23</c:v>
                </c:pt>
                <c:pt idx="85">
                  <c:v>64.48</c:v>
                </c:pt>
                <c:pt idx="86">
                  <c:v>64.819999999999993</c:v>
                </c:pt>
                <c:pt idx="87">
                  <c:v>65.09</c:v>
                </c:pt>
                <c:pt idx="88">
                  <c:v>65.5</c:v>
                </c:pt>
                <c:pt idx="89">
                  <c:v>65.8</c:v>
                </c:pt>
                <c:pt idx="90">
                  <c:v>66.150000000000006</c:v>
                </c:pt>
                <c:pt idx="91">
                  <c:v>66.42</c:v>
                </c:pt>
                <c:pt idx="92">
                  <c:v>66.87</c:v>
                </c:pt>
                <c:pt idx="93">
                  <c:v>67.11</c:v>
                </c:pt>
                <c:pt idx="94">
                  <c:v>67.5</c:v>
                </c:pt>
                <c:pt idx="95">
                  <c:v>67.760000000000005</c:v>
                </c:pt>
                <c:pt idx="96">
                  <c:v>68.099999999999994</c:v>
                </c:pt>
                <c:pt idx="97">
                  <c:v>68.45</c:v>
                </c:pt>
                <c:pt idx="98">
                  <c:v>68.77</c:v>
                </c:pt>
                <c:pt idx="99">
                  <c:v>69.22</c:v>
                </c:pt>
                <c:pt idx="100">
                  <c:v>69.45</c:v>
                </c:pt>
                <c:pt idx="101">
                  <c:v>69.75</c:v>
                </c:pt>
                <c:pt idx="102">
                  <c:v>70.14</c:v>
                </c:pt>
                <c:pt idx="103">
                  <c:v>70.400000000000006</c:v>
                </c:pt>
                <c:pt idx="104">
                  <c:v>70.73</c:v>
                </c:pt>
                <c:pt idx="105">
                  <c:v>71.08</c:v>
                </c:pt>
                <c:pt idx="106">
                  <c:v>71.430000000000007</c:v>
                </c:pt>
                <c:pt idx="107">
                  <c:v>71.7</c:v>
                </c:pt>
                <c:pt idx="108">
                  <c:v>72.209999999999994</c:v>
                </c:pt>
                <c:pt idx="109">
                  <c:v>72.47</c:v>
                </c:pt>
                <c:pt idx="110">
                  <c:v>72.81</c:v>
                </c:pt>
                <c:pt idx="111">
                  <c:v>73.16</c:v>
                </c:pt>
                <c:pt idx="112">
                  <c:v>73.52</c:v>
                </c:pt>
                <c:pt idx="113">
                  <c:v>73.86</c:v>
                </c:pt>
                <c:pt idx="114">
                  <c:v>74.13</c:v>
                </c:pt>
                <c:pt idx="115">
                  <c:v>74.5</c:v>
                </c:pt>
                <c:pt idx="116">
                  <c:v>74.790000000000006</c:v>
                </c:pt>
                <c:pt idx="117">
                  <c:v>75.13</c:v>
                </c:pt>
                <c:pt idx="118">
                  <c:v>75.400000000000006</c:v>
                </c:pt>
                <c:pt idx="119">
                  <c:v>75.84</c:v>
                </c:pt>
                <c:pt idx="120">
                  <c:v>76.209999999999994</c:v>
                </c:pt>
                <c:pt idx="121">
                  <c:v>76.489999999999995</c:v>
                </c:pt>
                <c:pt idx="122">
                  <c:v>76.790000000000006</c:v>
                </c:pt>
                <c:pt idx="123">
                  <c:v>77.08</c:v>
                </c:pt>
                <c:pt idx="124">
                  <c:v>77.45</c:v>
                </c:pt>
                <c:pt idx="125">
                  <c:v>77.790000000000006</c:v>
                </c:pt>
                <c:pt idx="126">
                  <c:v>78.14</c:v>
                </c:pt>
                <c:pt idx="127">
                  <c:v>78.42</c:v>
                </c:pt>
                <c:pt idx="128">
                  <c:v>78.739999999999995</c:v>
                </c:pt>
                <c:pt idx="129">
                  <c:v>79.09</c:v>
                </c:pt>
                <c:pt idx="130">
                  <c:v>79.48</c:v>
                </c:pt>
                <c:pt idx="131">
                  <c:v>79.83</c:v>
                </c:pt>
                <c:pt idx="132">
                  <c:v>80.180000000000007</c:v>
                </c:pt>
                <c:pt idx="133">
                  <c:v>80.459999999999994</c:v>
                </c:pt>
                <c:pt idx="134">
                  <c:v>80.83</c:v>
                </c:pt>
                <c:pt idx="135">
                  <c:v>81.09</c:v>
                </c:pt>
                <c:pt idx="136">
                  <c:v>81.42</c:v>
                </c:pt>
                <c:pt idx="137">
                  <c:v>81.37</c:v>
                </c:pt>
                <c:pt idx="138">
                  <c:v>81.400000000000006</c:v>
                </c:pt>
                <c:pt idx="139">
                  <c:v>81.37</c:v>
                </c:pt>
                <c:pt idx="140">
                  <c:v>81.260000000000005</c:v>
                </c:pt>
                <c:pt idx="141">
                  <c:v>81.14</c:v>
                </c:pt>
                <c:pt idx="142">
                  <c:v>81.099999999999994</c:v>
                </c:pt>
                <c:pt idx="143">
                  <c:v>81.03</c:v>
                </c:pt>
                <c:pt idx="144">
                  <c:v>80.959999999999994</c:v>
                </c:pt>
                <c:pt idx="145">
                  <c:v>80.92</c:v>
                </c:pt>
                <c:pt idx="146">
                  <c:v>80.819999999999993</c:v>
                </c:pt>
                <c:pt idx="147">
                  <c:v>80.78</c:v>
                </c:pt>
                <c:pt idx="148">
                  <c:v>80.77</c:v>
                </c:pt>
                <c:pt idx="149">
                  <c:v>80.739999999999995</c:v>
                </c:pt>
                <c:pt idx="150">
                  <c:v>80.73</c:v>
                </c:pt>
                <c:pt idx="151">
                  <c:v>80.72</c:v>
                </c:pt>
                <c:pt idx="152">
                  <c:v>80.77</c:v>
                </c:pt>
                <c:pt idx="153">
                  <c:v>80.72</c:v>
                </c:pt>
                <c:pt idx="154">
                  <c:v>80.709999999999994</c:v>
                </c:pt>
                <c:pt idx="155">
                  <c:v>80.760000000000005</c:v>
                </c:pt>
                <c:pt idx="156">
                  <c:v>80.69</c:v>
                </c:pt>
                <c:pt idx="157">
                  <c:v>80.66</c:v>
                </c:pt>
                <c:pt idx="158">
                  <c:v>80.67</c:v>
                </c:pt>
                <c:pt idx="159">
                  <c:v>80.69</c:v>
                </c:pt>
                <c:pt idx="160">
                  <c:v>80.680000000000007</c:v>
                </c:pt>
                <c:pt idx="161">
                  <c:v>80.760000000000005</c:v>
                </c:pt>
                <c:pt idx="162">
                  <c:v>80.77</c:v>
                </c:pt>
                <c:pt idx="163">
                  <c:v>80.73</c:v>
                </c:pt>
                <c:pt idx="164">
                  <c:v>80.7</c:v>
                </c:pt>
                <c:pt idx="165">
                  <c:v>80.59</c:v>
                </c:pt>
                <c:pt idx="166">
                  <c:v>80.64</c:v>
                </c:pt>
                <c:pt idx="167">
                  <c:v>80.67</c:v>
                </c:pt>
                <c:pt idx="168">
                  <c:v>80.67</c:v>
                </c:pt>
                <c:pt idx="169">
                  <c:v>80.62</c:v>
                </c:pt>
                <c:pt idx="170">
                  <c:v>80.709999999999994</c:v>
                </c:pt>
                <c:pt idx="171">
                  <c:v>80.75</c:v>
                </c:pt>
                <c:pt idx="172">
                  <c:v>80.760000000000005</c:v>
                </c:pt>
                <c:pt idx="173">
                  <c:v>80.739999999999995</c:v>
                </c:pt>
                <c:pt idx="174">
                  <c:v>80.78</c:v>
                </c:pt>
              </c:numCache>
            </c:numRef>
          </c:val>
          <c:smooth val="0"/>
          <c:extLst xmlns:c15="http://schemas.microsoft.com/office/drawing/2012/char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0-F3A7-4533-956A-A326472CF84D}"/>
            </c:ext>
          </c:extLst>
        </c:ser>
        <c:ser>
          <c:idx val="1"/>
          <c:order val="1"/>
          <c:tx>
            <c:strRef>
              <c:f>'transfert 80'!$C$1</c:f>
              <c:strCache>
                <c:ptCount val="1"/>
                <c:pt idx="0">
                  <c:v>Connecteur 2</c:v>
                </c:pt>
              </c:strCache>
            </c:strRef>
          </c:tx>
          <c:marker>
            <c:symbol val="none"/>
          </c:marker>
          <c:val>
            <c:numRef>
              <c:f>'transfert 80'!$C$2:$C$176</c:f>
              <c:numCache>
                <c:formatCode>General</c:formatCode>
                <c:ptCount val="175"/>
                <c:pt idx="0">
                  <c:v>41.28</c:v>
                </c:pt>
                <c:pt idx="1">
                  <c:v>41.6</c:v>
                </c:pt>
                <c:pt idx="2">
                  <c:v>41.75</c:v>
                </c:pt>
                <c:pt idx="3">
                  <c:v>41.87</c:v>
                </c:pt>
                <c:pt idx="4">
                  <c:v>42.01</c:v>
                </c:pt>
                <c:pt idx="5">
                  <c:v>42.16</c:v>
                </c:pt>
                <c:pt idx="6">
                  <c:v>42.29</c:v>
                </c:pt>
                <c:pt idx="7">
                  <c:v>42.42</c:v>
                </c:pt>
                <c:pt idx="8">
                  <c:v>42.49</c:v>
                </c:pt>
                <c:pt idx="9">
                  <c:v>42.67</c:v>
                </c:pt>
                <c:pt idx="10">
                  <c:v>42.72</c:v>
                </c:pt>
                <c:pt idx="11">
                  <c:v>42.86</c:v>
                </c:pt>
                <c:pt idx="12">
                  <c:v>42.99</c:v>
                </c:pt>
                <c:pt idx="13">
                  <c:v>43.1</c:v>
                </c:pt>
                <c:pt idx="14">
                  <c:v>43.18</c:v>
                </c:pt>
                <c:pt idx="15">
                  <c:v>43.35</c:v>
                </c:pt>
                <c:pt idx="16">
                  <c:v>43.4</c:v>
                </c:pt>
                <c:pt idx="17">
                  <c:v>43.51</c:v>
                </c:pt>
                <c:pt idx="18">
                  <c:v>43.61</c:v>
                </c:pt>
                <c:pt idx="19">
                  <c:v>43.74</c:v>
                </c:pt>
                <c:pt idx="20">
                  <c:v>43.81</c:v>
                </c:pt>
                <c:pt idx="21">
                  <c:v>43.92</c:v>
                </c:pt>
                <c:pt idx="22">
                  <c:v>44</c:v>
                </c:pt>
                <c:pt idx="23">
                  <c:v>44.07</c:v>
                </c:pt>
                <c:pt idx="24">
                  <c:v>44.17</c:v>
                </c:pt>
                <c:pt idx="25">
                  <c:v>44.27</c:v>
                </c:pt>
                <c:pt idx="26">
                  <c:v>44.35</c:v>
                </c:pt>
                <c:pt idx="27">
                  <c:v>44.44</c:v>
                </c:pt>
                <c:pt idx="28">
                  <c:v>44.52</c:v>
                </c:pt>
                <c:pt idx="29">
                  <c:v>44.59</c:v>
                </c:pt>
                <c:pt idx="30">
                  <c:v>44.7</c:v>
                </c:pt>
                <c:pt idx="31">
                  <c:v>44.77</c:v>
                </c:pt>
                <c:pt idx="32">
                  <c:v>44.86</c:v>
                </c:pt>
                <c:pt idx="33">
                  <c:v>44.93</c:v>
                </c:pt>
                <c:pt idx="34">
                  <c:v>45.01</c:v>
                </c:pt>
                <c:pt idx="35">
                  <c:v>45.06</c:v>
                </c:pt>
                <c:pt idx="36">
                  <c:v>45.16</c:v>
                </c:pt>
                <c:pt idx="37">
                  <c:v>45.24</c:v>
                </c:pt>
                <c:pt idx="38">
                  <c:v>45.3</c:v>
                </c:pt>
                <c:pt idx="39">
                  <c:v>45.36</c:v>
                </c:pt>
                <c:pt idx="40">
                  <c:v>45.46</c:v>
                </c:pt>
                <c:pt idx="41">
                  <c:v>45.52</c:v>
                </c:pt>
                <c:pt idx="42">
                  <c:v>45.59</c:v>
                </c:pt>
                <c:pt idx="43">
                  <c:v>45.66</c:v>
                </c:pt>
                <c:pt idx="44">
                  <c:v>45.7</c:v>
                </c:pt>
                <c:pt idx="45">
                  <c:v>45.77</c:v>
                </c:pt>
                <c:pt idx="46">
                  <c:v>45.85</c:v>
                </c:pt>
                <c:pt idx="47">
                  <c:v>45.91</c:v>
                </c:pt>
                <c:pt idx="48">
                  <c:v>45.96</c:v>
                </c:pt>
                <c:pt idx="49">
                  <c:v>46.04</c:v>
                </c:pt>
                <c:pt idx="50">
                  <c:v>46.13</c:v>
                </c:pt>
                <c:pt idx="51">
                  <c:v>46.15</c:v>
                </c:pt>
                <c:pt idx="52">
                  <c:v>46.39</c:v>
                </c:pt>
                <c:pt idx="53">
                  <c:v>47.11</c:v>
                </c:pt>
                <c:pt idx="54">
                  <c:v>48.24</c:v>
                </c:pt>
                <c:pt idx="55">
                  <c:v>49.53</c:v>
                </c:pt>
                <c:pt idx="56">
                  <c:v>50.78</c:v>
                </c:pt>
                <c:pt idx="57">
                  <c:v>52.05</c:v>
                </c:pt>
                <c:pt idx="58">
                  <c:v>53.14</c:v>
                </c:pt>
                <c:pt idx="59">
                  <c:v>54.19</c:v>
                </c:pt>
                <c:pt idx="60">
                  <c:v>55</c:v>
                </c:pt>
                <c:pt idx="61">
                  <c:v>55.64</c:v>
                </c:pt>
                <c:pt idx="62">
                  <c:v>56.29</c:v>
                </c:pt>
                <c:pt idx="63">
                  <c:v>56.83</c:v>
                </c:pt>
                <c:pt idx="64">
                  <c:v>57.39</c:v>
                </c:pt>
                <c:pt idx="65">
                  <c:v>57.8</c:v>
                </c:pt>
                <c:pt idx="66">
                  <c:v>58.12</c:v>
                </c:pt>
                <c:pt idx="67">
                  <c:v>58.51</c:v>
                </c:pt>
                <c:pt idx="68">
                  <c:v>58.88</c:v>
                </c:pt>
                <c:pt idx="69">
                  <c:v>59.23</c:v>
                </c:pt>
                <c:pt idx="70">
                  <c:v>59.57</c:v>
                </c:pt>
                <c:pt idx="71">
                  <c:v>59.82</c:v>
                </c:pt>
                <c:pt idx="72">
                  <c:v>60.12</c:v>
                </c:pt>
                <c:pt idx="73">
                  <c:v>60.45</c:v>
                </c:pt>
                <c:pt idx="74">
                  <c:v>60.78</c:v>
                </c:pt>
                <c:pt idx="75">
                  <c:v>61.05</c:v>
                </c:pt>
                <c:pt idx="76">
                  <c:v>61.32</c:v>
                </c:pt>
                <c:pt idx="77">
                  <c:v>61.71</c:v>
                </c:pt>
                <c:pt idx="78">
                  <c:v>62.02</c:v>
                </c:pt>
                <c:pt idx="79">
                  <c:v>62.33</c:v>
                </c:pt>
                <c:pt idx="80">
                  <c:v>62.72</c:v>
                </c:pt>
                <c:pt idx="81">
                  <c:v>63.01</c:v>
                </c:pt>
                <c:pt idx="82">
                  <c:v>63.26</c:v>
                </c:pt>
                <c:pt idx="83">
                  <c:v>63.6</c:v>
                </c:pt>
                <c:pt idx="84">
                  <c:v>63.97</c:v>
                </c:pt>
                <c:pt idx="85">
                  <c:v>64.23</c:v>
                </c:pt>
                <c:pt idx="86">
                  <c:v>64.569999999999993</c:v>
                </c:pt>
                <c:pt idx="87">
                  <c:v>64.900000000000006</c:v>
                </c:pt>
                <c:pt idx="88">
                  <c:v>65.27</c:v>
                </c:pt>
                <c:pt idx="89">
                  <c:v>65.58</c:v>
                </c:pt>
                <c:pt idx="90">
                  <c:v>65.849999999999994</c:v>
                </c:pt>
                <c:pt idx="91">
                  <c:v>66.2</c:v>
                </c:pt>
                <c:pt idx="92">
                  <c:v>66.59</c:v>
                </c:pt>
                <c:pt idx="93">
                  <c:v>66.87</c:v>
                </c:pt>
                <c:pt idx="94">
                  <c:v>67.239999999999995</c:v>
                </c:pt>
                <c:pt idx="95">
                  <c:v>67.59</c:v>
                </c:pt>
                <c:pt idx="96">
                  <c:v>67.87</c:v>
                </c:pt>
                <c:pt idx="97">
                  <c:v>68.19</c:v>
                </c:pt>
                <c:pt idx="98">
                  <c:v>68.52</c:v>
                </c:pt>
                <c:pt idx="99">
                  <c:v>68.92</c:v>
                </c:pt>
                <c:pt idx="100">
                  <c:v>69.23</c:v>
                </c:pt>
                <c:pt idx="101">
                  <c:v>69.52</c:v>
                </c:pt>
                <c:pt idx="102">
                  <c:v>69.86</c:v>
                </c:pt>
                <c:pt idx="103">
                  <c:v>70.16</c:v>
                </c:pt>
                <c:pt idx="104">
                  <c:v>70.540000000000006</c:v>
                </c:pt>
                <c:pt idx="105">
                  <c:v>70.86</c:v>
                </c:pt>
                <c:pt idx="106">
                  <c:v>71.23</c:v>
                </c:pt>
                <c:pt idx="107">
                  <c:v>71.540000000000006</c:v>
                </c:pt>
                <c:pt idx="108">
                  <c:v>71.89</c:v>
                </c:pt>
                <c:pt idx="109">
                  <c:v>72.2</c:v>
                </c:pt>
                <c:pt idx="110">
                  <c:v>72.569999999999993</c:v>
                </c:pt>
                <c:pt idx="111">
                  <c:v>72.900000000000006</c:v>
                </c:pt>
                <c:pt idx="112">
                  <c:v>73.239999999999995</c:v>
                </c:pt>
                <c:pt idx="113">
                  <c:v>73.540000000000006</c:v>
                </c:pt>
                <c:pt idx="114">
                  <c:v>73.89</c:v>
                </c:pt>
                <c:pt idx="115">
                  <c:v>74.239999999999995</c:v>
                </c:pt>
                <c:pt idx="116">
                  <c:v>74.53</c:v>
                </c:pt>
                <c:pt idx="117">
                  <c:v>74.83</c:v>
                </c:pt>
                <c:pt idx="118">
                  <c:v>75.19</c:v>
                </c:pt>
                <c:pt idx="119">
                  <c:v>75.540000000000006</c:v>
                </c:pt>
                <c:pt idx="120">
                  <c:v>75.89</c:v>
                </c:pt>
                <c:pt idx="121">
                  <c:v>76.239999999999995</c:v>
                </c:pt>
                <c:pt idx="122">
                  <c:v>76.569999999999993</c:v>
                </c:pt>
                <c:pt idx="123">
                  <c:v>76.83</c:v>
                </c:pt>
                <c:pt idx="124">
                  <c:v>77.14</c:v>
                </c:pt>
                <c:pt idx="125">
                  <c:v>77.45</c:v>
                </c:pt>
                <c:pt idx="126">
                  <c:v>77.88</c:v>
                </c:pt>
                <c:pt idx="127">
                  <c:v>78.16</c:v>
                </c:pt>
                <c:pt idx="128">
                  <c:v>78.489999999999995</c:v>
                </c:pt>
                <c:pt idx="129">
                  <c:v>78.86</c:v>
                </c:pt>
                <c:pt idx="130">
                  <c:v>79.209999999999994</c:v>
                </c:pt>
                <c:pt idx="131">
                  <c:v>79.569999999999993</c:v>
                </c:pt>
                <c:pt idx="132">
                  <c:v>79.92</c:v>
                </c:pt>
                <c:pt idx="133">
                  <c:v>80.180000000000007</c:v>
                </c:pt>
                <c:pt idx="134">
                  <c:v>80.52</c:v>
                </c:pt>
                <c:pt idx="135">
                  <c:v>80.819999999999993</c:v>
                </c:pt>
                <c:pt idx="136">
                  <c:v>81.08</c:v>
                </c:pt>
                <c:pt idx="137">
                  <c:v>81.180000000000007</c:v>
                </c:pt>
                <c:pt idx="138">
                  <c:v>81.14</c:v>
                </c:pt>
                <c:pt idx="139">
                  <c:v>81.13</c:v>
                </c:pt>
                <c:pt idx="140">
                  <c:v>81.069999999999993</c:v>
                </c:pt>
                <c:pt idx="141">
                  <c:v>80.97</c:v>
                </c:pt>
                <c:pt idx="142">
                  <c:v>80.92</c:v>
                </c:pt>
                <c:pt idx="143">
                  <c:v>80.88</c:v>
                </c:pt>
                <c:pt idx="144">
                  <c:v>80.77</c:v>
                </c:pt>
                <c:pt idx="145">
                  <c:v>80.73</c:v>
                </c:pt>
                <c:pt idx="146">
                  <c:v>80.7</c:v>
                </c:pt>
                <c:pt idx="147">
                  <c:v>80.67</c:v>
                </c:pt>
                <c:pt idx="148">
                  <c:v>80.64</c:v>
                </c:pt>
                <c:pt idx="149">
                  <c:v>80.63</c:v>
                </c:pt>
                <c:pt idx="150">
                  <c:v>80.61</c:v>
                </c:pt>
                <c:pt idx="151">
                  <c:v>80.599999999999994</c:v>
                </c:pt>
                <c:pt idx="152">
                  <c:v>80.56</c:v>
                </c:pt>
                <c:pt idx="153">
                  <c:v>80.58</c:v>
                </c:pt>
                <c:pt idx="154">
                  <c:v>80.569999999999993</c:v>
                </c:pt>
                <c:pt idx="155">
                  <c:v>80.66</c:v>
                </c:pt>
                <c:pt idx="156">
                  <c:v>80.62</c:v>
                </c:pt>
                <c:pt idx="157">
                  <c:v>80.59</c:v>
                </c:pt>
                <c:pt idx="158">
                  <c:v>80.55</c:v>
                </c:pt>
                <c:pt idx="159">
                  <c:v>80.650000000000006</c:v>
                </c:pt>
                <c:pt idx="160">
                  <c:v>80.599999999999994</c:v>
                </c:pt>
                <c:pt idx="161">
                  <c:v>80.569999999999993</c:v>
                </c:pt>
                <c:pt idx="162">
                  <c:v>80.63</c:v>
                </c:pt>
                <c:pt idx="163">
                  <c:v>80.64</c:v>
                </c:pt>
                <c:pt idx="164">
                  <c:v>80.599999999999994</c:v>
                </c:pt>
                <c:pt idx="165">
                  <c:v>80.540000000000006</c:v>
                </c:pt>
                <c:pt idx="166">
                  <c:v>80.569999999999993</c:v>
                </c:pt>
                <c:pt idx="167">
                  <c:v>80.599999999999994</c:v>
                </c:pt>
                <c:pt idx="168">
                  <c:v>80.59</c:v>
                </c:pt>
                <c:pt idx="169">
                  <c:v>80.52</c:v>
                </c:pt>
                <c:pt idx="170">
                  <c:v>80.62</c:v>
                </c:pt>
                <c:pt idx="171">
                  <c:v>80.62</c:v>
                </c:pt>
                <c:pt idx="172">
                  <c:v>80.62</c:v>
                </c:pt>
                <c:pt idx="173">
                  <c:v>80.63</c:v>
                </c:pt>
                <c:pt idx="174">
                  <c:v>80.650000000000006</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1-F3A7-4533-956A-A326472CF84D}"/>
            </c:ext>
          </c:extLst>
        </c:ser>
        <c:ser>
          <c:idx val="2"/>
          <c:order val="2"/>
          <c:tx>
            <c:strRef>
              <c:f>'transfert 80'!$D$1</c:f>
              <c:strCache>
                <c:ptCount val="1"/>
                <c:pt idx="0">
                  <c:v>Connecteur 3</c:v>
                </c:pt>
              </c:strCache>
            </c:strRef>
          </c:tx>
          <c:marker>
            <c:symbol val="none"/>
          </c:marker>
          <c:val>
            <c:numRef>
              <c:f>'transfert 80'!$D$2:$D$176</c:f>
              <c:numCache>
                <c:formatCode>General</c:formatCode>
                <c:ptCount val="175"/>
                <c:pt idx="0">
                  <c:v>41.19</c:v>
                </c:pt>
                <c:pt idx="1">
                  <c:v>41.53</c:v>
                </c:pt>
                <c:pt idx="2">
                  <c:v>41.69</c:v>
                </c:pt>
                <c:pt idx="3">
                  <c:v>41.83</c:v>
                </c:pt>
                <c:pt idx="4">
                  <c:v>42</c:v>
                </c:pt>
                <c:pt idx="5">
                  <c:v>42.06</c:v>
                </c:pt>
                <c:pt idx="6">
                  <c:v>42.26</c:v>
                </c:pt>
                <c:pt idx="7">
                  <c:v>42.38</c:v>
                </c:pt>
                <c:pt idx="8">
                  <c:v>42.46</c:v>
                </c:pt>
                <c:pt idx="9">
                  <c:v>42.62</c:v>
                </c:pt>
                <c:pt idx="10">
                  <c:v>42.71</c:v>
                </c:pt>
                <c:pt idx="11">
                  <c:v>42.82</c:v>
                </c:pt>
                <c:pt idx="12">
                  <c:v>42.93</c:v>
                </c:pt>
                <c:pt idx="13">
                  <c:v>43.05</c:v>
                </c:pt>
                <c:pt idx="14">
                  <c:v>43.16</c:v>
                </c:pt>
                <c:pt idx="15">
                  <c:v>43.26</c:v>
                </c:pt>
                <c:pt idx="16">
                  <c:v>43.35</c:v>
                </c:pt>
                <c:pt idx="17">
                  <c:v>43.49</c:v>
                </c:pt>
                <c:pt idx="18">
                  <c:v>43.57</c:v>
                </c:pt>
                <c:pt idx="19">
                  <c:v>43.67</c:v>
                </c:pt>
                <c:pt idx="20">
                  <c:v>43.78</c:v>
                </c:pt>
                <c:pt idx="21">
                  <c:v>43.87</c:v>
                </c:pt>
                <c:pt idx="22">
                  <c:v>43.93</c:v>
                </c:pt>
                <c:pt idx="23">
                  <c:v>44.01</c:v>
                </c:pt>
                <c:pt idx="24">
                  <c:v>44.09</c:v>
                </c:pt>
                <c:pt idx="25">
                  <c:v>44.2</c:v>
                </c:pt>
                <c:pt idx="26">
                  <c:v>44.29</c:v>
                </c:pt>
                <c:pt idx="27">
                  <c:v>44.39</c:v>
                </c:pt>
                <c:pt idx="28">
                  <c:v>44.47</c:v>
                </c:pt>
                <c:pt idx="29">
                  <c:v>44.52</c:v>
                </c:pt>
                <c:pt idx="30">
                  <c:v>44.63</c:v>
                </c:pt>
                <c:pt idx="31">
                  <c:v>44.67</c:v>
                </c:pt>
                <c:pt idx="32">
                  <c:v>44.78</c:v>
                </c:pt>
                <c:pt idx="33">
                  <c:v>44.87</c:v>
                </c:pt>
                <c:pt idx="34">
                  <c:v>44.91</c:v>
                </c:pt>
                <c:pt idx="35">
                  <c:v>45.01</c:v>
                </c:pt>
                <c:pt idx="36">
                  <c:v>45.1</c:v>
                </c:pt>
                <c:pt idx="37">
                  <c:v>45.16</c:v>
                </c:pt>
                <c:pt idx="38">
                  <c:v>45.24</c:v>
                </c:pt>
                <c:pt idx="39">
                  <c:v>45.29</c:v>
                </c:pt>
                <c:pt idx="40">
                  <c:v>45.37</c:v>
                </c:pt>
                <c:pt idx="41">
                  <c:v>45.47</c:v>
                </c:pt>
                <c:pt idx="42">
                  <c:v>45.54</c:v>
                </c:pt>
                <c:pt idx="43">
                  <c:v>45.61</c:v>
                </c:pt>
                <c:pt idx="44">
                  <c:v>45.67</c:v>
                </c:pt>
                <c:pt idx="45">
                  <c:v>45.74</c:v>
                </c:pt>
                <c:pt idx="46">
                  <c:v>45.76</c:v>
                </c:pt>
                <c:pt idx="47">
                  <c:v>45.84</c:v>
                </c:pt>
                <c:pt idx="48">
                  <c:v>45.93</c:v>
                </c:pt>
                <c:pt idx="49">
                  <c:v>45.98</c:v>
                </c:pt>
                <c:pt idx="50">
                  <c:v>46.06</c:v>
                </c:pt>
                <c:pt idx="51">
                  <c:v>46.08</c:v>
                </c:pt>
                <c:pt idx="52">
                  <c:v>46.36</c:v>
                </c:pt>
                <c:pt idx="53">
                  <c:v>47.11</c:v>
                </c:pt>
                <c:pt idx="54">
                  <c:v>48.24</c:v>
                </c:pt>
                <c:pt idx="55">
                  <c:v>49.61</c:v>
                </c:pt>
                <c:pt idx="56">
                  <c:v>50.84</c:v>
                </c:pt>
                <c:pt idx="57">
                  <c:v>52.06</c:v>
                </c:pt>
                <c:pt idx="58">
                  <c:v>53.13</c:v>
                </c:pt>
                <c:pt idx="59">
                  <c:v>54.11</c:v>
                </c:pt>
                <c:pt idx="60">
                  <c:v>54.95</c:v>
                </c:pt>
                <c:pt idx="61">
                  <c:v>55.66</c:v>
                </c:pt>
                <c:pt idx="62">
                  <c:v>56.28</c:v>
                </c:pt>
                <c:pt idx="63">
                  <c:v>56.82</c:v>
                </c:pt>
                <c:pt idx="64">
                  <c:v>57.27</c:v>
                </c:pt>
                <c:pt idx="65">
                  <c:v>57.78</c:v>
                </c:pt>
                <c:pt idx="66">
                  <c:v>58.11</c:v>
                </c:pt>
                <c:pt idx="67">
                  <c:v>58.46</c:v>
                </c:pt>
                <c:pt idx="68">
                  <c:v>58.83</c:v>
                </c:pt>
                <c:pt idx="69">
                  <c:v>59.19</c:v>
                </c:pt>
                <c:pt idx="70">
                  <c:v>59.48</c:v>
                </c:pt>
                <c:pt idx="71">
                  <c:v>59.75</c:v>
                </c:pt>
                <c:pt idx="72">
                  <c:v>60.08</c:v>
                </c:pt>
                <c:pt idx="73">
                  <c:v>60.37</c:v>
                </c:pt>
                <c:pt idx="74">
                  <c:v>60.72</c:v>
                </c:pt>
                <c:pt idx="75">
                  <c:v>60.97</c:v>
                </c:pt>
                <c:pt idx="76">
                  <c:v>61.28</c:v>
                </c:pt>
                <c:pt idx="77">
                  <c:v>61.67</c:v>
                </c:pt>
                <c:pt idx="78">
                  <c:v>61.96</c:v>
                </c:pt>
                <c:pt idx="79">
                  <c:v>62.32</c:v>
                </c:pt>
                <c:pt idx="80">
                  <c:v>62.62</c:v>
                </c:pt>
                <c:pt idx="81">
                  <c:v>62.96</c:v>
                </c:pt>
                <c:pt idx="82">
                  <c:v>63.23</c:v>
                </c:pt>
                <c:pt idx="83">
                  <c:v>63.56</c:v>
                </c:pt>
                <c:pt idx="84">
                  <c:v>63.89</c:v>
                </c:pt>
                <c:pt idx="85">
                  <c:v>64.25</c:v>
                </c:pt>
                <c:pt idx="86">
                  <c:v>64.52</c:v>
                </c:pt>
                <c:pt idx="87">
                  <c:v>64.86</c:v>
                </c:pt>
                <c:pt idx="88">
                  <c:v>65.19</c:v>
                </c:pt>
                <c:pt idx="89">
                  <c:v>65.52</c:v>
                </c:pt>
                <c:pt idx="90">
                  <c:v>65.87</c:v>
                </c:pt>
                <c:pt idx="91">
                  <c:v>66.17</c:v>
                </c:pt>
                <c:pt idx="92">
                  <c:v>66.56</c:v>
                </c:pt>
                <c:pt idx="93">
                  <c:v>66.84</c:v>
                </c:pt>
                <c:pt idx="94">
                  <c:v>67.25</c:v>
                </c:pt>
                <c:pt idx="95">
                  <c:v>67.53</c:v>
                </c:pt>
                <c:pt idx="96">
                  <c:v>67.81</c:v>
                </c:pt>
                <c:pt idx="97">
                  <c:v>68.150000000000006</c:v>
                </c:pt>
                <c:pt idx="98">
                  <c:v>68.489999999999995</c:v>
                </c:pt>
                <c:pt idx="99">
                  <c:v>68.88</c:v>
                </c:pt>
                <c:pt idx="100">
                  <c:v>69.17</c:v>
                </c:pt>
                <c:pt idx="101">
                  <c:v>69.48</c:v>
                </c:pt>
                <c:pt idx="102">
                  <c:v>69.83</c:v>
                </c:pt>
                <c:pt idx="103">
                  <c:v>70.09</c:v>
                </c:pt>
                <c:pt idx="104">
                  <c:v>70.5</c:v>
                </c:pt>
                <c:pt idx="105">
                  <c:v>70.84</c:v>
                </c:pt>
                <c:pt idx="106">
                  <c:v>71.180000000000007</c:v>
                </c:pt>
                <c:pt idx="107">
                  <c:v>71.510000000000005</c:v>
                </c:pt>
                <c:pt idx="108">
                  <c:v>71.84</c:v>
                </c:pt>
                <c:pt idx="109">
                  <c:v>72.2</c:v>
                </c:pt>
                <c:pt idx="110">
                  <c:v>72.53</c:v>
                </c:pt>
                <c:pt idx="111">
                  <c:v>72.84</c:v>
                </c:pt>
                <c:pt idx="112">
                  <c:v>73.2</c:v>
                </c:pt>
                <c:pt idx="113">
                  <c:v>73.52</c:v>
                </c:pt>
                <c:pt idx="114">
                  <c:v>73.849999999999994</c:v>
                </c:pt>
                <c:pt idx="115">
                  <c:v>74.14</c:v>
                </c:pt>
                <c:pt idx="116">
                  <c:v>74.459999999999994</c:v>
                </c:pt>
                <c:pt idx="117">
                  <c:v>74.790000000000006</c:v>
                </c:pt>
                <c:pt idx="118">
                  <c:v>75.14</c:v>
                </c:pt>
                <c:pt idx="119">
                  <c:v>75.47</c:v>
                </c:pt>
                <c:pt idx="120">
                  <c:v>75.81</c:v>
                </c:pt>
                <c:pt idx="121">
                  <c:v>76.16</c:v>
                </c:pt>
                <c:pt idx="122">
                  <c:v>76.48</c:v>
                </c:pt>
                <c:pt idx="123">
                  <c:v>76.790000000000006</c:v>
                </c:pt>
                <c:pt idx="124">
                  <c:v>77.08</c:v>
                </c:pt>
                <c:pt idx="125">
                  <c:v>77.45</c:v>
                </c:pt>
                <c:pt idx="126">
                  <c:v>77.790000000000006</c:v>
                </c:pt>
                <c:pt idx="127">
                  <c:v>78.13</c:v>
                </c:pt>
                <c:pt idx="128">
                  <c:v>78.44</c:v>
                </c:pt>
                <c:pt idx="129">
                  <c:v>78.790000000000006</c:v>
                </c:pt>
                <c:pt idx="130">
                  <c:v>79.14</c:v>
                </c:pt>
                <c:pt idx="131">
                  <c:v>79.510000000000005</c:v>
                </c:pt>
                <c:pt idx="132">
                  <c:v>79.86</c:v>
                </c:pt>
                <c:pt idx="133">
                  <c:v>80.14</c:v>
                </c:pt>
                <c:pt idx="134">
                  <c:v>80.47</c:v>
                </c:pt>
                <c:pt idx="135">
                  <c:v>80.790000000000006</c:v>
                </c:pt>
                <c:pt idx="136">
                  <c:v>81</c:v>
                </c:pt>
                <c:pt idx="137">
                  <c:v>81.09</c:v>
                </c:pt>
                <c:pt idx="138">
                  <c:v>81.069999999999993</c:v>
                </c:pt>
                <c:pt idx="139">
                  <c:v>81.040000000000006</c:v>
                </c:pt>
                <c:pt idx="140">
                  <c:v>81.010000000000005</c:v>
                </c:pt>
                <c:pt idx="141">
                  <c:v>80.86</c:v>
                </c:pt>
                <c:pt idx="142">
                  <c:v>80.86</c:v>
                </c:pt>
                <c:pt idx="143">
                  <c:v>80.75</c:v>
                </c:pt>
                <c:pt idx="144">
                  <c:v>80.680000000000007</c:v>
                </c:pt>
                <c:pt idx="145">
                  <c:v>80.69</c:v>
                </c:pt>
                <c:pt idx="146">
                  <c:v>80.62</c:v>
                </c:pt>
                <c:pt idx="147">
                  <c:v>80.61</c:v>
                </c:pt>
                <c:pt idx="148">
                  <c:v>80.55</c:v>
                </c:pt>
                <c:pt idx="149">
                  <c:v>80.569999999999993</c:v>
                </c:pt>
                <c:pt idx="150">
                  <c:v>80.510000000000005</c:v>
                </c:pt>
                <c:pt idx="151">
                  <c:v>80.489999999999995</c:v>
                </c:pt>
                <c:pt idx="152">
                  <c:v>80.459999999999994</c:v>
                </c:pt>
                <c:pt idx="153">
                  <c:v>80.53</c:v>
                </c:pt>
                <c:pt idx="154">
                  <c:v>80.56</c:v>
                </c:pt>
                <c:pt idx="155">
                  <c:v>80.56</c:v>
                </c:pt>
                <c:pt idx="156">
                  <c:v>80.540000000000006</c:v>
                </c:pt>
                <c:pt idx="157">
                  <c:v>80.489999999999995</c:v>
                </c:pt>
                <c:pt idx="158">
                  <c:v>80.53</c:v>
                </c:pt>
                <c:pt idx="159">
                  <c:v>80.53</c:v>
                </c:pt>
                <c:pt idx="160">
                  <c:v>80.55</c:v>
                </c:pt>
                <c:pt idx="161">
                  <c:v>80.510000000000005</c:v>
                </c:pt>
                <c:pt idx="162">
                  <c:v>80.540000000000006</c:v>
                </c:pt>
                <c:pt idx="163">
                  <c:v>80.55</c:v>
                </c:pt>
                <c:pt idx="164">
                  <c:v>80.53</c:v>
                </c:pt>
                <c:pt idx="165">
                  <c:v>80.44</c:v>
                </c:pt>
                <c:pt idx="166">
                  <c:v>80.489999999999995</c:v>
                </c:pt>
                <c:pt idx="167">
                  <c:v>80.52</c:v>
                </c:pt>
                <c:pt idx="168">
                  <c:v>80.52</c:v>
                </c:pt>
                <c:pt idx="169">
                  <c:v>80.47</c:v>
                </c:pt>
                <c:pt idx="170">
                  <c:v>80.55</c:v>
                </c:pt>
                <c:pt idx="171">
                  <c:v>80.55</c:v>
                </c:pt>
                <c:pt idx="172">
                  <c:v>80.55</c:v>
                </c:pt>
                <c:pt idx="173">
                  <c:v>80.55</c:v>
                </c:pt>
                <c:pt idx="174">
                  <c:v>80.55</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2-F3A7-4533-956A-A326472CF84D}"/>
            </c:ext>
          </c:extLst>
        </c:ser>
        <c:ser>
          <c:idx val="3"/>
          <c:order val="3"/>
          <c:tx>
            <c:strRef>
              <c:f>'transfert 80'!$E$1</c:f>
              <c:strCache>
                <c:ptCount val="1"/>
                <c:pt idx="0">
                  <c:v>Connecteur 4</c:v>
                </c:pt>
              </c:strCache>
            </c:strRef>
          </c:tx>
          <c:marker>
            <c:symbol val="none"/>
          </c:marker>
          <c:val>
            <c:numRef>
              <c:f>'transfert 80'!$E$2:$E$176</c:f>
              <c:numCache>
                <c:formatCode>General</c:formatCode>
                <c:ptCount val="175"/>
                <c:pt idx="0">
                  <c:v>41.35</c:v>
                </c:pt>
                <c:pt idx="1">
                  <c:v>41.66</c:v>
                </c:pt>
                <c:pt idx="2">
                  <c:v>41.82</c:v>
                </c:pt>
                <c:pt idx="3">
                  <c:v>41.95</c:v>
                </c:pt>
                <c:pt idx="4">
                  <c:v>42.15</c:v>
                </c:pt>
                <c:pt idx="5">
                  <c:v>42.22</c:v>
                </c:pt>
                <c:pt idx="6">
                  <c:v>42.39</c:v>
                </c:pt>
                <c:pt idx="7">
                  <c:v>42.49</c:v>
                </c:pt>
                <c:pt idx="8">
                  <c:v>42.57</c:v>
                </c:pt>
                <c:pt idx="9">
                  <c:v>42.76</c:v>
                </c:pt>
                <c:pt idx="10">
                  <c:v>42.81</c:v>
                </c:pt>
                <c:pt idx="11">
                  <c:v>42.94</c:v>
                </c:pt>
                <c:pt idx="12">
                  <c:v>43.06</c:v>
                </c:pt>
                <c:pt idx="13">
                  <c:v>43.21</c:v>
                </c:pt>
                <c:pt idx="14">
                  <c:v>43.31</c:v>
                </c:pt>
                <c:pt idx="15">
                  <c:v>43.41</c:v>
                </c:pt>
                <c:pt idx="16">
                  <c:v>43.5</c:v>
                </c:pt>
                <c:pt idx="17">
                  <c:v>43.62</c:v>
                </c:pt>
                <c:pt idx="18">
                  <c:v>43.7</c:v>
                </c:pt>
                <c:pt idx="19">
                  <c:v>43.79</c:v>
                </c:pt>
                <c:pt idx="20">
                  <c:v>43.9</c:v>
                </c:pt>
                <c:pt idx="21">
                  <c:v>44</c:v>
                </c:pt>
                <c:pt idx="22">
                  <c:v>44.05</c:v>
                </c:pt>
                <c:pt idx="23">
                  <c:v>44.17</c:v>
                </c:pt>
                <c:pt idx="24">
                  <c:v>44.22</c:v>
                </c:pt>
                <c:pt idx="25">
                  <c:v>44.32</c:v>
                </c:pt>
                <c:pt idx="26">
                  <c:v>44.43</c:v>
                </c:pt>
                <c:pt idx="27">
                  <c:v>44.48</c:v>
                </c:pt>
                <c:pt idx="28">
                  <c:v>44.6</c:v>
                </c:pt>
                <c:pt idx="29">
                  <c:v>44.63</c:v>
                </c:pt>
                <c:pt idx="30">
                  <c:v>44.72</c:v>
                </c:pt>
                <c:pt idx="31">
                  <c:v>44.8</c:v>
                </c:pt>
                <c:pt idx="32">
                  <c:v>44.87</c:v>
                </c:pt>
                <c:pt idx="33">
                  <c:v>44.99</c:v>
                </c:pt>
                <c:pt idx="34">
                  <c:v>45.03</c:v>
                </c:pt>
                <c:pt idx="35">
                  <c:v>45.12</c:v>
                </c:pt>
                <c:pt idx="36">
                  <c:v>45.19</c:v>
                </c:pt>
                <c:pt idx="37">
                  <c:v>45.26</c:v>
                </c:pt>
                <c:pt idx="38">
                  <c:v>45.35</c:v>
                </c:pt>
                <c:pt idx="39">
                  <c:v>45.42</c:v>
                </c:pt>
                <c:pt idx="40">
                  <c:v>45.46</c:v>
                </c:pt>
                <c:pt idx="41">
                  <c:v>45.57</c:v>
                </c:pt>
                <c:pt idx="42">
                  <c:v>45.61</c:v>
                </c:pt>
                <c:pt idx="43">
                  <c:v>45.72</c:v>
                </c:pt>
                <c:pt idx="44">
                  <c:v>45.74</c:v>
                </c:pt>
                <c:pt idx="45">
                  <c:v>45.81</c:v>
                </c:pt>
                <c:pt idx="46">
                  <c:v>45.86</c:v>
                </c:pt>
                <c:pt idx="47">
                  <c:v>45.95</c:v>
                </c:pt>
                <c:pt idx="48">
                  <c:v>45.97</c:v>
                </c:pt>
                <c:pt idx="49">
                  <c:v>46.08</c:v>
                </c:pt>
                <c:pt idx="50">
                  <c:v>46.15</c:v>
                </c:pt>
                <c:pt idx="51">
                  <c:v>46.2</c:v>
                </c:pt>
                <c:pt idx="52">
                  <c:v>46.5</c:v>
                </c:pt>
                <c:pt idx="53">
                  <c:v>47.33</c:v>
                </c:pt>
                <c:pt idx="54">
                  <c:v>48.63</c:v>
                </c:pt>
                <c:pt idx="55">
                  <c:v>50.03</c:v>
                </c:pt>
                <c:pt idx="56">
                  <c:v>51.45</c:v>
                </c:pt>
                <c:pt idx="57">
                  <c:v>52.76</c:v>
                </c:pt>
                <c:pt idx="58">
                  <c:v>54.01</c:v>
                </c:pt>
                <c:pt idx="59">
                  <c:v>54.99</c:v>
                </c:pt>
                <c:pt idx="60">
                  <c:v>55.79</c:v>
                </c:pt>
                <c:pt idx="61">
                  <c:v>56.51</c:v>
                </c:pt>
                <c:pt idx="62">
                  <c:v>57.12</c:v>
                </c:pt>
                <c:pt idx="63">
                  <c:v>57.6</c:v>
                </c:pt>
                <c:pt idx="64">
                  <c:v>58.09</c:v>
                </c:pt>
                <c:pt idx="65">
                  <c:v>58.48</c:v>
                </c:pt>
                <c:pt idx="66">
                  <c:v>58.85</c:v>
                </c:pt>
                <c:pt idx="67">
                  <c:v>59.25</c:v>
                </c:pt>
                <c:pt idx="68">
                  <c:v>59.58</c:v>
                </c:pt>
                <c:pt idx="69">
                  <c:v>59.83</c:v>
                </c:pt>
                <c:pt idx="70">
                  <c:v>60.07</c:v>
                </c:pt>
                <c:pt idx="71">
                  <c:v>60.37</c:v>
                </c:pt>
                <c:pt idx="72">
                  <c:v>60.66</c:v>
                </c:pt>
                <c:pt idx="73">
                  <c:v>60.96</c:v>
                </c:pt>
                <c:pt idx="74">
                  <c:v>61.27</c:v>
                </c:pt>
                <c:pt idx="75">
                  <c:v>61.5</c:v>
                </c:pt>
                <c:pt idx="76">
                  <c:v>61.84</c:v>
                </c:pt>
                <c:pt idx="77">
                  <c:v>62.18</c:v>
                </c:pt>
                <c:pt idx="78">
                  <c:v>62.5</c:v>
                </c:pt>
                <c:pt idx="79">
                  <c:v>62.79</c:v>
                </c:pt>
                <c:pt idx="80">
                  <c:v>63.13</c:v>
                </c:pt>
                <c:pt idx="81">
                  <c:v>63.44</c:v>
                </c:pt>
                <c:pt idx="82">
                  <c:v>63.75</c:v>
                </c:pt>
                <c:pt idx="83">
                  <c:v>64.03</c:v>
                </c:pt>
                <c:pt idx="84">
                  <c:v>64.349999999999994</c:v>
                </c:pt>
                <c:pt idx="85">
                  <c:v>64.680000000000007</c:v>
                </c:pt>
                <c:pt idx="86">
                  <c:v>64.989999999999995</c:v>
                </c:pt>
                <c:pt idx="87">
                  <c:v>65.349999999999994</c:v>
                </c:pt>
                <c:pt idx="88">
                  <c:v>65.66</c:v>
                </c:pt>
                <c:pt idx="89">
                  <c:v>65.959999999999994</c:v>
                </c:pt>
                <c:pt idx="90">
                  <c:v>66.31</c:v>
                </c:pt>
                <c:pt idx="91">
                  <c:v>66.66</c:v>
                </c:pt>
                <c:pt idx="92">
                  <c:v>66.989999999999995</c:v>
                </c:pt>
                <c:pt idx="93">
                  <c:v>67.260000000000005</c:v>
                </c:pt>
                <c:pt idx="94">
                  <c:v>67.67</c:v>
                </c:pt>
                <c:pt idx="95">
                  <c:v>67.959999999999994</c:v>
                </c:pt>
                <c:pt idx="96">
                  <c:v>68.3</c:v>
                </c:pt>
                <c:pt idx="97">
                  <c:v>68.64</c:v>
                </c:pt>
                <c:pt idx="98">
                  <c:v>68.94</c:v>
                </c:pt>
                <c:pt idx="99">
                  <c:v>69.34</c:v>
                </c:pt>
                <c:pt idx="100">
                  <c:v>69.63</c:v>
                </c:pt>
                <c:pt idx="101">
                  <c:v>69.92</c:v>
                </c:pt>
                <c:pt idx="102">
                  <c:v>70.31</c:v>
                </c:pt>
                <c:pt idx="103">
                  <c:v>70.55</c:v>
                </c:pt>
                <c:pt idx="104">
                  <c:v>70.92</c:v>
                </c:pt>
                <c:pt idx="105">
                  <c:v>71.23</c:v>
                </c:pt>
                <c:pt idx="106">
                  <c:v>71.64</c:v>
                </c:pt>
                <c:pt idx="107">
                  <c:v>71.930000000000007</c:v>
                </c:pt>
                <c:pt idx="108">
                  <c:v>72.319999999999993</c:v>
                </c:pt>
                <c:pt idx="109">
                  <c:v>72.680000000000007</c:v>
                </c:pt>
                <c:pt idx="110">
                  <c:v>73.010000000000005</c:v>
                </c:pt>
                <c:pt idx="111">
                  <c:v>73.34</c:v>
                </c:pt>
                <c:pt idx="112">
                  <c:v>73.680000000000007</c:v>
                </c:pt>
                <c:pt idx="113">
                  <c:v>73.98</c:v>
                </c:pt>
                <c:pt idx="114">
                  <c:v>74.3</c:v>
                </c:pt>
                <c:pt idx="115">
                  <c:v>74.599999999999994</c:v>
                </c:pt>
                <c:pt idx="116">
                  <c:v>74.900000000000006</c:v>
                </c:pt>
                <c:pt idx="117">
                  <c:v>75.260000000000005</c:v>
                </c:pt>
                <c:pt idx="118">
                  <c:v>75.59</c:v>
                </c:pt>
                <c:pt idx="119">
                  <c:v>75.959999999999994</c:v>
                </c:pt>
                <c:pt idx="120">
                  <c:v>76.290000000000006</c:v>
                </c:pt>
                <c:pt idx="121">
                  <c:v>76.62</c:v>
                </c:pt>
                <c:pt idx="122">
                  <c:v>76.95</c:v>
                </c:pt>
                <c:pt idx="123">
                  <c:v>77.28</c:v>
                </c:pt>
                <c:pt idx="124">
                  <c:v>77.56</c:v>
                </c:pt>
                <c:pt idx="125">
                  <c:v>77.92</c:v>
                </c:pt>
                <c:pt idx="126">
                  <c:v>78.33</c:v>
                </c:pt>
                <c:pt idx="127">
                  <c:v>78.59</c:v>
                </c:pt>
                <c:pt idx="128">
                  <c:v>78.92</c:v>
                </c:pt>
                <c:pt idx="129">
                  <c:v>79.27</c:v>
                </c:pt>
                <c:pt idx="130">
                  <c:v>79.66</c:v>
                </c:pt>
                <c:pt idx="131">
                  <c:v>79.98</c:v>
                </c:pt>
                <c:pt idx="132">
                  <c:v>80.349999999999994</c:v>
                </c:pt>
                <c:pt idx="133">
                  <c:v>80.650000000000006</c:v>
                </c:pt>
                <c:pt idx="134">
                  <c:v>81</c:v>
                </c:pt>
                <c:pt idx="135">
                  <c:v>81.31</c:v>
                </c:pt>
                <c:pt idx="136">
                  <c:v>81.47</c:v>
                </c:pt>
                <c:pt idx="137">
                  <c:v>81.47</c:v>
                </c:pt>
                <c:pt idx="138">
                  <c:v>81.48</c:v>
                </c:pt>
                <c:pt idx="139">
                  <c:v>81.400000000000006</c:v>
                </c:pt>
                <c:pt idx="140">
                  <c:v>81.28</c:v>
                </c:pt>
                <c:pt idx="141">
                  <c:v>81.12</c:v>
                </c:pt>
                <c:pt idx="142">
                  <c:v>81.06</c:v>
                </c:pt>
                <c:pt idx="143">
                  <c:v>80.989999999999995</c:v>
                </c:pt>
                <c:pt idx="144">
                  <c:v>80.88</c:v>
                </c:pt>
                <c:pt idx="145">
                  <c:v>80.83</c:v>
                </c:pt>
                <c:pt idx="146">
                  <c:v>80.739999999999995</c:v>
                </c:pt>
                <c:pt idx="147">
                  <c:v>80.73</c:v>
                </c:pt>
                <c:pt idx="148">
                  <c:v>80.72</c:v>
                </c:pt>
                <c:pt idx="149">
                  <c:v>80.680000000000007</c:v>
                </c:pt>
                <c:pt idx="150">
                  <c:v>80.650000000000006</c:v>
                </c:pt>
                <c:pt idx="151">
                  <c:v>80.62</c:v>
                </c:pt>
                <c:pt idx="152">
                  <c:v>80.58</c:v>
                </c:pt>
                <c:pt idx="153">
                  <c:v>80.599999999999994</c:v>
                </c:pt>
                <c:pt idx="154">
                  <c:v>80.650000000000006</c:v>
                </c:pt>
                <c:pt idx="155">
                  <c:v>80.67</c:v>
                </c:pt>
                <c:pt idx="156">
                  <c:v>80.59</c:v>
                </c:pt>
                <c:pt idx="157">
                  <c:v>80.56</c:v>
                </c:pt>
                <c:pt idx="158">
                  <c:v>80.61</c:v>
                </c:pt>
                <c:pt idx="159">
                  <c:v>80.599999999999994</c:v>
                </c:pt>
                <c:pt idx="160">
                  <c:v>80.599999999999994</c:v>
                </c:pt>
                <c:pt idx="161">
                  <c:v>80.59</c:v>
                </c:pt>
                <c:pt idx="162">
                  <c:v>80.64</c:v>
                </c:pt>
                <c:pt idx="163">
                  <c:v>80.599999999999994</c:v>
                </c:pt>
                <c:pt idx="164">
                  <c:v>80.55</c:v>
                </c:pt>
                <c:pt idx="165">
                  <c:v>80.52</c:v>
                </c:pt>
                <c:pt idx="166">
                  <c:v>80.55</c:v>
                </c:pt>
                <c:pt idx="167">
                  <c:v>80.59</c:v>
                </c:pt>
                <c:pt idx="168">
                  <c:v>80.62</c:v>
                </c:pt>
                <c:pt idx="169">
                  <c:v>80.489999999999995</c:v>
                </c:pt>
                <c:pt idx="170">
                  <c:v>80.62</c:v>
                </c:pt>
                <c:pt idx="171">
                  <c:v>80.61</c:v>
                </c:pt>
                <c:pt idx="172">
                  <c:v>80.64</c:v>
                </c:pt>
                <c:pt idx="173">
                  <c:v>80.61</c:v>
                </c:pt>
                <c:pt idx="174">
                  <c:v>80.599999999999994</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3-F3A7-4533-956A-A326472CF84D}"/>
            </c:ext>
          </c:extLst>
        </c:ser>
        <c:ser>
          <c:idx val="4"/>
          <c:order val="4"/>
          <c:tx>
            <c:strRef>
              <c:f>'transfert 80'!$F$1</c:f>
              <c:strCache>
                <c:ptCount val="1"/>
                <c:pt idx="0">
                  <c:v>Connecteur 5</c:v>
                </c:pt>
              </c:strCache>
            </c:strRef>
          </c:tx>
          <c:marker>
            <c:symbol val="none"/>
          </c:marker>
          <c:val>
            <c:numRef>
              <c:f>'transfert 80'!$F$2:$F$176</c:f>
              <c:numCache>
                <c:formatCode>General</c:formatCode>
                <c:ptCount val="175"/>
                <c:pt idx="0">
                  <c:v>41.22</c:v>
                </c:pt>
                <c:pt idx="1">
                  <c:v>41.69</c:v>
                </c:pt>
                <c:pt idx="2">
                  <c:v>41.75</c:v>
                </c:pt>
                <c:pt idx="3">
                  <c:v>41.95</c:v>
                </c:pt>
                <c:pt idx="4">
                  <c:v>42.13</c:v>
                </c:pt>
                <c:pt idx="5">
                  <c:v>42.17</c:v>
                </c:pt>
                <c:pt idx="6">
                  <c:v>42.35</c:v>
                </c:pt>
                <c:pt idx="7">
                  <c:v>42.47</c:v>
                </c:pt>
                <c:pt idx="8">
                  <c:v>42.54</c:v>
                </c:pt>
                <c:pt idx="9">
                  <c:v>42.69</c:v>
                </c:pt>
                <c:pt idx="10">
                  <c:v>42.87</c:v>
                </c:pt>
                <c:pt idx="11">
                  <c:v>42.96</c:v>
                </c:pt>
                <c:pt idx="12">
                  <c:v>43.07</c:v>
                </c:pt>
                <c:pt idx="13">
                  <c:v>43.18</c:v>
                </c:pt>
                <c:pt idx="14">
                  <c:v>43.24</c:v>
                </c:pt>
                <c:pt idx="15">
                  <c:v>43.37</c:v>
                </c:pt>
                <c:pt idx="16">
                  <c:v>43.47</c:v>
                </c:pt>
                <c:pt idx="17">
                  <c:v>43.54</c:v>
                </c:pt>
                <c:pt idx="18">
                  <c:v>43.65</c:v>
                </c:pt>
                <c:pt idx="19">
                  <c:v>43.7</c:v>
                </c:pt>
                <c:pt idx="20">
                  <c:v>43.82</c:v>
                </c:pt>
                <c:pt idx="21">
                  <c:v>43.97</c:v>
                </c:pt>
                <c:pt idx="22">
                  <c:v>44.01</c:v>
                </c:pt>
                <c:pt idx="23">
                  <c:v>44.14</c:v>
                </c:pt>
                <c:pt idx="24">
                  <c:v>44.19</c:v>
                </c:pt>
                <c:pt idx="25">
                  <c:v>44.27</c:v>
                </c:pt>
                <c:pt idx="26">
                  <c:v>44.43</c:v>
                </c:pt>
                <c:pt idx="27">
                  <c:v>44.47</c:v>
                </c:pt>
                <c:pt idx="28">
                  <c:v>44.56</c:v>
                </c:pt>
                <c:pt idx="29">
                  <c:v>44.62</c:v>
                </c:pt>
                <c:pt idx="30">
                  <c:v>44.73</c:v>
                </c:pt>
                <c:pt idx="31">
                  <c:v>44.78</c:v>
                </c:pt>
                <c:pt idx="32">
                  <c:v>44.79</c:v>
                </c:pt>
                <c:pt idx="33">
                  <c:v>45.05</c:v>
                </c:pt>
                <c:pt idx="34">
                  <c:v>45.04</c:v>
                </c:pt>
                <c:pt idx="35">
                  <c:v>45.1</c:v>
                </c:pt>
                <c:pt idx="36">
                  <c:v>45.17</c:v>
                </c:pt>
                <c:pt idx="37">
                  <c:v>45.24</c:v>
                </c:pt>
                <c:pt idx="38">
                  <c:v>45.27</c:v>
                </c:pt>
                <c:pt idx="39">
                  <c:v>45.42</c:v>
                </c:pt>
                <c:pt idx="40">
                  <c:v>45.44</c:v>
                </c:pt>
                <c:pt idx="41">
                  <c:v>45.52</c:v>
                </c:pt>
                <c:pt idx="42">
                  <c:v>45.6</c:v>
                </c:pt>
                <c:pt idx="43">
                  <c:v>45.61</c:v>
                </c:pt>
                <c:pt idx="44">
                  <c:v>45.69</c:v>
                </c:pt>
                <c:pt idx="45">
                  <c:v>45.69</c:v>
                </c:pt>
                <c:pt idx="46">
                  <c:v>45.82</c:v>
                </c:pt>
                <c:pt idx="47">
                  <c:v>45.8</c:v>
                </c:pt>
                <c:pt idx="48">
                  <c:v>45.95</c:v>
                </c:pt>
                <c:pt idx="49">
                  <c:v>45.93</c:v>
                </c:pt>
                <c:pt idx="50">
                  <c:v>45.99</c:v>
                </c:pt>
                <c:pt idx="51">
                  <c:v>46.09</c:v>
                </c:pt>
                <c:pt idx="52">
                  <c:v>46.48</c:v>
                </c:pt>
                <c:pt idx="53">
                  <c:v>47.51</c:v>
                </c:pt>
                <c:pt idx="54">
                  <c:v>48.96</c:v>
                </c:pt>
                <c:pt idx="55">
                  <c:v>50.6</c:v>
                </c:pt>
                <c:pt idx="56">
                  <c:v>52.16</c:v>
                </c:pt>
                <c:pt idx="57">
                  <c:v>53.46</c:v>
                </c:pt>
                <c:pt idx="58">
                  <c:v>54.72</c:v>
                </c:pt>
                <c:pt idx="59">
                  <c:v>55.85</c:v>
                </c:pt>
                <c:pt idx="60">
                  <c:v>56.63</c:v>
                </c:pt>
                <c:pt idx="61">
                  <c:v>57.38</c:v>
                </c:pt>
                <c:pt idx="62">
                  <c:v>57.99</c:v>
                </c:pt>
                <c:pt idx="63">
                  <c:v>58.4</c:v>
                </c:pt>
                <c:pt idx="64">
                  <c:v>58.76</c:v>
                </c:pt>
                <c:pt idx="65">
                  <c:v>59.13</c:v>
                </c:pt>
                <c:pt idx="66">
                  <c:v>59.45</c:v>
                </c:pt>
                <c:pt idx="67">
                  <c:v>59.75</c:v>
                </c:pt>
                <c:pt idx="68">
                  <c:v>60</c:v>
                </c:pt>
                <c:pt idx="69">
                  <c:v>60.24</c:v>
                </c:pt>
                <c:pt idx="70">
                  <c:v>60.58</c:v>
                </c:pt>
                <c:pt idx="71">
                  <c:v>60.83</c:v>
                </c:pt>
                <c:pt idx="72">
                  <c:v>60.97</c:v>
                </c:pt>
                <c:pt idx="73">
                  <c:v>61.35</c:v>
                </c:pt>
                <c:pt idx="74">
                  <c:v>61.65</c:v>
                </c:pt>
                <c:pt idx="75">
                  <c:v>61.85</c:v>
                </c:pt>
                <c:pt idx="76">
                  <c:v>62.13</c:v>
                </c:pt>
                <c:pt idx="77">
                  <c:v>62.45</c:v>
                </c:pt>
                <c:pt idx="78">
                  <c:v>62.72</c:v>
                </c:pt>
                <c:pt idx="79">
                  <c:v>63.01</c:v>
                </c:pt>
                <c:pt idx="80">
                  <c:v>63.34</c:v>
                </c:pt>
                <c:pt idx="81">
                  <c:v>63.66</c:v>
                </c:pt>
                <c:pt idx="82">
                  <c:v>63.91</c:v>
                </c:pt>
                <c:pt idx="83">
                  <c:v>64.31</c:v>
                </c:pt>
                <c:pt idx="84">
                  <c:v>64.56</c:v>
                </c:pt>
                <c:pt idx="85">
                  <c:v>64.900000000000006</c:v>
                </c:pt>
                <c:pt idx="86">
                  <c:v>65.239999999999995</c:v>
                </c:pt>
                <c:pt idx="87">
                  <c:v>65.58</c:v>
                </c:pt>
                <c:pt idx="88">
                  <c:v>65.88</c:v>
                </c:pt>
                <c:pt idx="89">
                  <c:v>66.180000000000007</c:v>
                </c:pt>
                <c:pt idx="90">
                  <c:v>66.5</c:v>
                </c:pt>
                <c:pt idx="91">
                  <c:v>66.75</c:v>
                </c:pt>
                <c:pt idx="92">
                  <c:v>67.2</c:v>
                </c:pt>
                <c:pt idx="93">
                  <c:v>67.44</c:v>
                </c:pt>
                <c:pt idx="94">
                  <c:v>67.87</c:v>
                </c:pt>
                <c:pt idx="95">
                  <c:v>68.180000000000007</c:v>
                </c:pt>
                <c:pt idx="96">
                  <c:v>68.540000000000006</c:v>
                </c:pt>
                <c:pt idx="97">
                  <c:v>68.849999999999994</c:v>
                </c:pt>
                <c:pt idx="98">
                  <c:v>69.239999999999995</c:v>
                </c:pt>
                <c:pt idx="99">
                  <c:v>69.489999999999995</c:v>
                </c:pt>
                <c:pt idx="100">
                  <c:v>69.739999999999995</c:v>
                </c:pt>
                <c:pt idx="101">
                  <c:v>70.040000000000006</c:v>
                </c:pt>
                <c:pt idx="102">
                  <c:v>70.38</c:v>
                </c:pt>
                <c:pt idx="103">
                  <c:v>70.680000000000007</c:v>
                </c:pt>
                <c:pt idx="104">
                  <c:v>71.13</c:v>
                </c:pt>
                <c:pt idx="105">
                  <c:v>71.430000000000007</c:v>
                </c:pt>
                <c:pt idx="106">
                  <c:v>71.73</c:v>
                </c:pt>
                <c:pt idx="107">
                  <c:v>72.13</c:v>
                </c:pt>
                <c:pt idx="108">
                  <c:v>72.459999999999994</c:v>
                </c:pt>
                <c:pt idx="109">
                  <c:v>72.81</c:v>
                </c:pt>
                <c:pt idx="110">
                  <c:v>73.08</c:v>
                </c:pt>
                <c:pt idx="111">
                  <c:v>73.400000000000006</c:v>
                </c:pt>
                <c:pt idx="112">
                  <c:v>73.760000000000005</c:v>
                </c:pt>
                <c:pt idx="113">
                  <c:v>74.069999999999993</c:v>
                </c:pt>
                <c:pt idx="114">
                  <c:v>74.53</c:v>
                </c:pt>
                <c:pt idx="115">
                  <c:v>74.8</c:v>
                </c:pt>
                <c:pt idx="116">
                  <c:v>75.14</c:v>
                </c:pt>
                <c:pt idx="117">
                  <c:v>75.48</c:v>
                </c:pt>
                <c:pt idx="118">
                  <c:v>75.819999999999993</c:v>
                </c:pt>
                <c:pt idx="119">
                  <c:v>76.13</c:v>
                </c:pt>
                <c:pt idx="120">
                  <c:v>76.44</c:v>
                </c:pt>
                <c:pt idx="121">
                  <c:v>76.83</c:v>
                </c:pt>
                <c:pt idx="122">
                  <c:v>77.14</c:v>
                </c:pt>
                <c:pt idx="123">
                  <c:v>77.38</c:v>
                </c:pt>
                <c:pt idx="124">
                  <c:v>77.73</c:v>
                </c:pt>
                <c:pt idx="125">
                  <c:v>78.09</c:v>
                </c:pt>
                <c:pt idx="126">
                  <c:v>78.38</c:v>
                </c:pt>
                <c:pt idx="127">
                  <c:v>78.62</c:v>
                </c:pt>
                <c:pt idx="128">
                  <c:v>79.06</c:v>
                </c:pt>
                <c:pt idx="129">
                  <c:v>79.459999999999994</c:v>
                </c:pt>
                <c:pt idx="130">
                  <c:v>79.72</c:v>
                </c:pt>
                <c:pt idx="131">
                  <c:v>80.14</c:v>
                </c:pt>
                <c:pt idx="132">
                  <c:v>80.42</c:v>
                </c:pt>
                <c:pt idx="133">
                  <c:v>80.73</c:v>
                </c:pt>
                <c:pt idx="134">
                  <c:v>81.150000000000006</c:v>
                </c:pt>
                <c:pt idx="135">
                  <c:v>81.34</c:v>
                </c:pt>
                <c:pt idx="136">
                  <c:v>81.459999999999994</c:v>
                </c:pt>
                <c:pt idx="137">
                  <c:v>81.540000000000006</c:v>
                </c:pt>
                <c:pt idx="138">
                  <c:v>81.349999999999994</c:v>
                </c:pt>
                <c:pt idx="139">
                  <c:v>81.209999999999994</c:v>
                </c:pt>
                <c:pt idx="140">
                  <c:v>81.06</c:v>
                </c:pt>
                <c:pt idx="141">
                  <c:v>80.95</c:v>
                </c:pt>
                <c:pt idx="142">
                  <c:v>80.849999999999994</c:v>
                </c:pt>
                <c:pt idx="143">
                  <c:v>80.67</c:v>
                </c:pt>
                <c:pt idx="144">
                  <c:v>80.56</c:v>
                </c:pt>
                <c:pt idx="145">
                  <c:v>80.44</c:v>
                </c:pt>
                <c:pt idx="146">
                  <c:v>80.459999999999994</c:v>
                </c:pt>
                <c:pt idx="147">
                  <c:v>80.38</c:v>
                </c:pt>
                <c:pt idx="148">
                  <c:v>80.37</c:v>
                </c:pt>
                <c:pt idx="149">
                  <c:v>80.23</c:v>
                </c:pt>
                <c:pt idx="150">
                  <c:v>80.180000000000007</c:v>
                </c:pt>
                <c:pt idx="151">
                  <c:v>80.17</c:v>
                </c:pt>
                <c:pt idx="152">
                  <c:v>80.17</c:v>
                </c:pt>
                <c:pt idx="153">
                  <c:v>80.2</c:v>
                </c:pt>
                <c:pt idx="154">
                  <c:v>80.27</c:v>
                </c:pt>
                <c:pt idx="155">
                  <c:v>80.209999999999994</c:v>
                </c:pt>
                <c:pt idx="156">
                  <c:v>80.2</c:v>
                </c:pt>
                <c:pt idx="157">
                  <c:v>80.17</c:v>
                </c:pt>
                <c:pt idx="158">
                  <c:v>80.19</c:v>
                </c:pt>
                <c:pt idx="159">
                  <c:v>80.14</c:v>
                </c:pt>
                <c:pt idx="160">
                  <c:v>80.17</c:v>
                </c:pt>
                <c:pt idx="161">
                  <c:v>80.16</c:v>
                </c:pt>
                <c:pt idx="162">
                  <c:v>80.16</c:v>
                </c:pt>
                <c:pt idx="163">
                  <c:v>80.22</c:v>
                </c:pt>
                <c:pt idx="164">
                  <c:v>80.150000000000006</c:v>
                </c:pt>
                <c:pt idx="165">
                  <c:v>80.13</c:v>
                </c:pt>
                <c:pt idx="166">
                  <c:v>80.17</c:v>
                </c:pt>
                <c:pt idx="167">
                  <c:v>80.19</c:v>
                </c:pt>
                <c:pt idx="168">
                  <c:v>80.13</c:v>
                </c:pt>
                <c:pt idx="169">
                  <c:v>80.13</c:v>
                </c:pt>
                <c:pt idx="170">
                  <c:v>80.09</c:v>
                </c:pt>
                <c:pt idx="171">
                  <c:v>80.209999999999994</c:v>
                </c:pt>
                <c:pt idx="172">
                  <c:v>80.180000000000007</c:v>
                </c:pt>
                <c:pt idx="173">
                  <c:v>80.17</c:v>
                </c:pt>
                <c:pt idx="174">
                  <c:v>80.14</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4-F3A7-4533-956A-A326472CF84D}"/>
            </c:ext>
          </c:extLst>
        </c:ser>
        <c:ser>
          <c:idx val="5"/>
          <c:order val="5"/>
          <c:tx>
            <c:strRef>
              <c:f>'transfert 80'!$G$1</c:f>
              <c:strCache>
                <c:ptCount val="1"/>
                <c:pt idx="0">
                  <c:v>Connecteur 6</c:v>
                </c:pt>
              </c:strCache>
            </c:strRef>
          </c:tx>
          <c:marker>
            <c:symbol val="none"/>
          </c:marker>
          <c:val>
            <c:numRef>
              <c:f>'transfert 80'!$G$2:$G$176</c:f>
              <c:numCache>
                <c:formatCode>General</c:formatCode>
                <c:ptCount val="175"/>
                <c:pt idx="0">
                  <c:v>41.42</c:v>
                </c:pt>
                <c:pt idx="1">
                  <c:v>41.63</c:v>
                </c:pt>
                <c:pt idx="2">
                  <c:v>41.83</c:v>
                </c:pt>
                <c:pt idx="3">
                  <c:v>41.92</c:v>
                </c:pt>
                <c:pt idx="4">
                  <c:v>42.06</c:v>
                </c:pt>
                <c:pt idx="5">
                  <c:v>42.26</c:v>
                </c:pt>
                <c:pt idx="6">
                  <c:v>42.32</c:v>
                </c:pt>
                <c:pt idx="7">
                  <c:v>42.52</c:v>
                </c:pt>
                <c:pt idx="8">
                  <c:v>42.62</c:v>
                </c:pt>
                <c:pt idx="9">
                  <c:v>42.8</c:v>
                </c:pt>
                <c:pt idx="10">
                  <c:v>42.83</c:v>
                </c:pt>
                <c:pt idx="11">
                  <c:v>42.97</c:v>
                </c:pt>
                <c:pt idx="12">
                  <c:v>43.1</c:v>
                </c:pt>
                <c:pt idx="13">
                  <c:v>43.23</c:v>
                </c:pt>
                <c:pt idx="14">
                  <c:v>43.32</c:v>
                </c:pt>
                <c:pt idx="15">
                  <c:v>43.46</c:v>
                </c:pt>
                <c:pt idx="16">
                  <c:v>43.53</c:v>
                </c:pt>
                <c:pt idx="17">
                  <c:v>43.6</c:v>
                </c:pt>
                <c:pt idx="18">
                  <c:v>43.71</c:v>
                </c:pt>
                <c:pt idx="19">
                  <c:v>43.83</c:v>
                </c:pt>
                <c:pt idx="20">
                  <c:v>43.9</c:v>
                </c:pt>
                <c:pt idx="21">
                  <c:v>44.04</c:v>
                </c:pt>
                <c:pt idx="22">
                  <c:v>44.14</c:v>
                </c:pt>
                <c:pt idx="23">
                  <c:v>44.26</c:v>
                </c:pt>
                <c:pt idx="24">
                  <c:v>44.29</c:v>
                </c:pt>
                <c:pt idx="25">
                  <c:v>44.45</c:v>
                </c:pt>
                <c:pt idx="26">
                  <c:v>44.51</c:v>
                </c:pt>
                <c:pt idx="27">
                  <c:v>44.55</c:v>
                </c:pt>
                <c:pt idx="28">
                  <c:v>44.67</c:v>
                </c:pt>
                <c:pt idx="29">
                  <c:v>44.75</c:v>
                </c:pt>
                <c:pt idx="30">
                  <c:v>44.86</c:v>
                </c:pt>
                <c:pt idx="31">
                  <c:v>44.92</c:v>
                </c:pt>
                <c:pt idx="32">
                  <c:v>44.96</c:v>
                </c:pt>
                <c:pt idx="33">
                  <c:v>45.05</c:v>
                </c:pt>
                <c:pt idx="34">
                  <c:v>45.16</c:v>
                </c:pt>
                <c:pt idx="35">
                  <c:v>45.22</c:v>
                </c:pt>
                <c:pt idx="36">
                  <c:v>45.29</c:v>
                </c:pt>
                <c:pt idx="37">
                  <c:v>45.44</c:v>
                </c:pt>
                <c:pt idx="38">
                  <c:v>45.46</c:v>
                </c:pt>
                <c:pt idx="39">
                  <c:v>45.5</c:v>
                </c:pt>
                <c:pt idx="40">
                  <c:v>45.57</c:v>
                </c:pt>
                <c:pt idx="41">
                  <c:v>45.68</c:v>
                </c:pt>
                <c:pt idx="42">
                  <c:v>45.77</c:v>
                </c:pt>
                <c:pt idx="43">
                  <c:v>45.79</c:v>
                </c:pt>
                <c:pt idx="44">
                  <c:v>45.87</c:v>
                </c:pt>
                <c:pt idx="45">
                  <c:v>45.94</c:v>
                </c:pt>
                <c:pt idx="46">
                  <c:v>45.98</c:v>
                </c:pt>
                <c:pt idx="47">
                  <c:v>46.1</c:v>
                </c:pt>
                <c:pt idx="48">
                  <c:v>46.16</c:v>
                </c:pt>
                <c:pt idx="49">
                  <c:v>46.2</c:v>
                </c:pt>
                <c:pt idx="50">
                  <c:v>46.28</c:v>
                </c:pt>
                <c:pt idx="51">
                  <c:v>46.33</c:v>
                </c:pt>
                <c:pt idx="52">
                  <c:v>46.67</c:v>
                </c:pt>
                <c:pt idx="53">
                  <c:v>47.67</c:v>
                </c:pt>
                <c:pt idx="54">
                  <c:v>48.98</c:v>
                </c:pt>
                <c:pt idx="55">
                  <c:v>50.49</c:v>
                </c:pt>
                <c:pt idx="56">
                  <c:v>51.9</c:v>
                </c:pt>
                <c:pt idx="57">
                  <c:v>53.08</c:v>
                </c:pt>
                <c:pt idx="58">
                  <c:v>54.19</c:v>
                </c:pt>
                <c:pt idx="59">
                  <c:v>55.29</c:v>
                </c:pt>
                <c:pt idx="60">
                  <c:v>56.14</c:v>
                </c:pt>
                <c:pt idx="61">
                  <c:v>56.88</c:v>
                </c:pt>
                <c:pt idx="62">
                  <c:v>57.41</c:v>
                </c:pt>
                <c:pt idx="63">
                  <c:v>57.97</c:v>
                </c:pt>
                <c:pt idx="64">
                  <c:v>58.36</c:v>
                </c:pt>
                <c:pt idx="65">
                  <c:v>58.71</c:v>
                </c:pt>
                <c:pt idx="66">
                  <c:v>59.18</c:v>
                </c:pt>
                <c:pt idx="67">
                  <c:v>59.47</c:v>
                </c:pt>
                <c:pt idx="68">
                  <c:v>59.84</c:v>
                </c:pt>
                <c:pt idx="69">
                  <c:v>60.16</c:v>
                </c:pt>
                <c:pt idx="70">
                  <c:v>60.38</c:v>
                </c:pt>
                <c:pt idx="71">
                  <c:v>60.7</c:v>
                </c:pt>
                <c:pt idx="72">
                  <c:v>60.99</c:v>
                </c:pt>
                <c:pt idx="73">
                  <c:v>61.34</c:v>
                </c:pt>
                <c:pt idx="74">
                  <c:v>61.58</c:v>
                </c:pt>
                <c:pt idx="75">
                  <c:v>61.89</c:v>
                </c:pt>
                <c:pt idx="76">
                  <c:v>62.26</c:v>
                </c:pt>
                <c:pt idx="77">
                  <c:v>62.58</c:v>
                </c:pt>
                <c:pt idx="78">
                  <c:v>62.87</c:v>
                </c:pt>
                <c:pt idx="79">
                  <c:v>63.16</c:v>
                </c:pt>
                <c:pt idx="80">
                  <c:v>63.52</c:v>
                </c:pt>
                <c:pt idx="81">
                  <c:v>63.85</c:v>
                </c:pt>
                <c:pt idx="82">
                  <c:v>64.099999999999994</c:v>
                </c:pt>
                <c:pt idx="83">
                  <c:v>64.42</c:v>
                </c:pt>
                <c:pt idx="84">
                  <c:v>64.709999999999994</c:v>
                </c:pt>
                <c:pt idx="85">
                  <c:v>65.099999999999994</c:v>
                </c:pt>
                <c:pt idx="86">
                  <c:v>65.430000000000007</c:v>
                </c:pt>
                <c:pt idx="87">
                  <c:v>65.73</c:v>
                </c:pt>
                <c:pt idx="88">
                  <c:v>66.12</c:v>
                </c:pt>
                <c:pt idx="89">
                  <c:v>66.38</c:v>
                </c:pt>
                <c:pt idx="90">
                  <c:v>66.709999999999994</c:v>
                </c:pt>
                <c:pt idx="91">
                  <c:v>67.09</c:v>
                </c:pt>
                <c:pt idx="92">
                  <c:v>67.44</c:v>
                </c:pt>
                <c:pt idx="93">
                  <c:v>67.739999999999995</c:v>
                </c:pt>
                <c:pt idx="94">
                  <c:v>68.08</c:v>
                </c:pt>
                <c:pt idx="95">
                  <c:v>68.48</c:v>
                </c:pt>
                <c:pt idx="96">
                  <c:v>68.78</c:v>
                </c:pt>
                <c:pt idx="97">
                  <c:v>69.14</c:v>
                </c:pt>
                <c:pt idx="98">
                  <c:v>69.45</c:v>
                </c:pt>
                <c:pt idx="99">
                  <c:v>69.78</c:v>
                </c:pt>
                <c:pt idx="100">
                  <c:v>70.08</c:v>
                </c:pt>
                <c:pt idx="101">
                  <c:v>70.39</c:v>
                </c:pt>
                <c:pt idx="102">
                  <c:v>70.73</c:v>
                </c:pt>
                <c:pt idx="103">
                  <c:v>71.06</c:v>
                </c:pt>
                <c:pt idx="104">
                  <c:v>71.47</c:v>
                </c:pt>
                <c:pt idx="105">
                  <c:v>71.83</c:v>
                </c:pt>
                <c:pt idx="106">
                  <c:v>72.16</c:v>
                </c:pt>
                <c:pt idx="107">
                  <c:v>72.44</c:v>
                </c:pt>
                <c:pt idx="108">
                  <c:v>72.86</c:v>
                </c:pt>
                <c:pt idx="109">
                  <c:v>73.13</c:v>
                </c:pt>
                <c:pt idx="110">
                  <c:v>73.52</c:v>
                </c:pt>
                <c:pt idx="111">
                  <c:v>73.849999999999994</c:v>
                </c:pt>
                <c:pt idx="112">
                  <c:v>74.040000000000006</c:v>
                </c:pt>
                <c:pt idx="113">
                  <c:v>74.53</c:v>
                </c:pt>
                <c:pt idx="114">
                  <c:v>74.81</c:v>
                </c:pt>
                <c:pt idx="115">
                  <c:v>75.2</c:v>
                </c:pt>
                <c:pt idx="116">
                  <c:v>75.48</c:v>
                </c:pt>
                <c:pt idx="117">
                  <c:v>75.819999999999993</c:v>
                </c:pt>
                <c:pt idx="118">
                  <c:v>76.23</c:v>
                </c:pt>
                <c:pt idx="119">
                  <c:v>76.489999999999995</c:v>
                </c:pt>
                <c:pt idx="120">
                  <c:v>76.91</c:v>
                </c:pt>
                <c:pt idx="121">
                  <c:v>77.17</c:v>
                </c:pt>
                <c:pt idx="122">
                  <c:v>77.61</c:v>
                </c:pt>
                <c:pt idx="123">
                  <c:v>77.83</c:v>
                </c:pt>
                <c:pt idx="124">
                  <c:v>78.14</c:v>
                </c:pt>
                <c:pt idx="125">
                  <c:v>78.53</c:v>
                </c:pt>
                <c:pt idx="126">
                  <c:v>78.849999999999994</c:v>
                </c:pt>
                <c:pt idx="127">
                  <c:v>79.22</c:v>
                </c:pt>
                <c:pt idx="128">
                  <c:v>79.489999999999995</c:v>
                </c:pt>
                <c:pt idx="129">
                  <c:v>79.930000000000007</c:v>
                </c:pt>
                <c:pt idx="130">
                  <c:v>80.209999999999994</c:v>
                </c:pt>
                <c:pt idx="131">
                  <c:v>80.63</c:v>
                </c:pt>
                <c:pt idx="132">
                  <c:v>80.87</c:v>
                </c:pt>
                <c:pt idx="133">
                  <c:v>81.260000000000005</c:v>
                </c:pt>
                <c:pt idx="134">
                  <c:v>81.61</c:v>
                </c:pt>
                <c:pt idx="135">
                  <c:v>81.89</c:v>
                </c:pt>
                <c:pt idx="136">
                  <c:v>82.09</c:v>
                </c:pt>
                <c:pt idx="137">
                  <c:v>82.11</c:v>
                </c:pt>
                <c:pt idx="138">
                  <c:v>82.04</c:v>
                </c:pt>
                <c:pt idx="139">
                  <c:v>81.92</c:v>
                </c:pt>
                <c:pt idx="140">
                  <c:v>81.819999999999993</c:v>
                </c:pt>
                <c:pt idx="141">
                  <c:v>81.709999999999994</c:v>
                </c:pt>
                <c:pt idx="142">
                  <c:v>81.62</c:v>
                </c:pt>
                <c:pt idx="143">
                  <c:v>81.56</c:v>
                </c:pt>
                <c:pt idx="144">
                  <c:v>81.459999999999994</c:v>
                </c:pt>
                <c:pt idx="145">
                  <c:v>81.400000000000006</c:v>
                </c:pt>
                <c:pt idx="146">
                  <c:v>81.37</c:v>
                </c:pt>
                <c:pt idx="147">
                  <c:v>81.31</c:v>
                </c:pt>
                <c:pt idx="148">
                  <c:v>81.3</c:v>
                </c:pt>
                <c:pt idx="149">
                  <c:v>81.23</c:v>
                </c:pt>
                <c:pt idx="150">
                  <c:v>81.19</c:v>
                </c:pt>
                <c:pt idx="151">
                  <c:v>81.17</c:v>
                </c:pt>
                <c:pt idx="152">
                  <c:v>81.14</c:v>
                </c:pt>
                <c:pt idx="153">
                  <c:v>81.17</c:v>
                </c:pt>
                <c:pt idx="154">
                  <c:v>81.19</c:v>
                </c:pt>
                <c:pt idx="155">
                  <c:v>81.22</c:v>
                </c:pt>
                <c:pt idx="156">
                  <c:v>81.17</c:v>
                </c:pt>
                <c:pt idx="157">
                  <c:v>81.13</c:v>
                </c:pt>
                <c:pt idx="158">
                  <c:v>81.19</c:v>
                </c:pt>
                <c:pt idx="159">
                  <c:v>81.19</c:v>
                </c:pt>
                <c:pt idx="160">
                  <c:v>81.12</c:v>
                </c:pt>
                <c:pt idx="161">
                  <c:v>81.14</c:v>
                </c:pt>
                <c:pt idx="162">
                  <c:v>81.17</c:v>
                </c:pt>
                <c:pt idx="163">
                  <c:v>81.14</c:v>
                </c:pt>
                <c:pt idx="164">
                  <c:v>81.13</c:v>
                </c:pt>
                <c:pt idx="165">
                  <c:v>81.08</c:v>
                </c:pt>
                <c:pt idx="166">
                  <c:v>81.08</c:v>
                </c:pt>
                <c:pt idx="167">
                  <c:v>81.11</c:v>
                </c:pt>
                <c:pt idx="168">
                  <c:v>81.09</c:v>
                </c:pt>
                <c:pt idx="169">
                  <c:v>81.069999999999993</c:v>
                </c:pt>
                <c:pt idx="170">
                  <c:v>81.099999999999994</c:v>
                </c:pt>
                <c:pt idx="171">
                  <c:v>81.16</c:v>
                </c:pt>
                <c:pt idx="172">
                  <c:v>81.19</c:v>
                </c:pt>
                <c:pt idx="173">
                  <c:v>81.14</c:v>
                </c:pt>
                <c:pt idx="174">
                  <c:v>81.13</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0-DEC7-47D1-8F69-25A6FABEA01E}"/>
            </c:ext>
          </c:extLst>
        </c:ser>
        <c:ser>
          <c:idx val="6"/>
          <c:order val="6"/>
          <c:tx>
            <c:strRef>
              <c:f>'transfert 80'!$H$1</c:f>
              <c:strCache>
                <c:ptCount val="1"/>
                <c:pt idx="0">
                  <c:v>Connecteur 7</c:v>
                </c:pt>
              </c:strCache>
            </c:strRef>
          </c:tx>
          <c:marker>
            <c:symbol val="none"/>
          </c:marker>
          <c:val>
            <c:numRef>
              <c:f>'transfert 80'!$H$2:$H$176</c:f>
              <c:numCache>
                <c:formatCode>General</c:formatCode>
                <c:ptCount val="175"/>
                <c:pt idx="0">
                  <c:v>41.37</c:v>
                </c:pt>
                <c:pt idx="1">
                  <c:v>41.67</c:v>
                </c:pt>
                <c:pt idx="2">
                  <c:v>41.8</c:v>
                </c:pt>
                <c:pt idx="3">
                  <c:v>41.97</c:v>
                </c:pt>
                <c:pt idx="4">
                  <c:v>42.13</c:v>
                </c:pt>
                <c:pt idx="5">
                  <c:v>42.3</c:v>
                </c:pt>
                <c:pt idx="6">
                  <c:v>42.36</c:v>
                </c:pt>
                <c:pt idx="7">
                  <c:v>42.56</c:v>
                </c:pt>
                <c:pt idx="8">
                  <c:v>42.64</c:v>
                </c:pt>
                <c:pt idx="9">
                  <c:v>42.78</c:v>
                </c:pt>
                <c:pt idx="10">
                  <c:v>42.88</c:v>
                </c:pt>
                <c:pt idx="11">
                  <c:v>42.97</c:v>
                </c:pt>
                <c:pt idx="12">
                  <c:v>43.1</c:v>
                </c:pt>
                <c:pt idx="13">
                  <c:v>43.26</c:v>
                </c:pt>
                <c:pt idx="14">
                  <c:v>43.34</c:v>
                </c:pt>
                <c:pt idx="15">
                  <c:v>43.42</c:v>
                </c:pt>
                <c:pt idx="16">
                  <c:v>43.52</c:v>
                </c:pt>
                <c:pt idx="17">
                  <c:v>43.6</c:v>
                </c:pt>
                <c:pt idx="18">
                  <c:v>43.74</c:v>
                </c:pt>
                <c:pt idx="19">
                  <c:v>43.86</c:v>
                </c:pt>
                <c:pt idx="20">
                  <c:v>43.93</c:v>
                </c:pt>
                <c:pt idx="21">
                  <c:v>44.07</c:v>
                </c:pt>
                <c:pt idx="22">
                  <c:v>44.13</c:v>
                </c:pt>
                <c:pt idx="23">
                  <c:v>44.23</c:v>
                </c:pt>
                <c:pt idx="24">
                  <c:v>44.29</c:v>
                </c:pt>
                <c:pt idx="25">
                  <c:v>44.4</c:v>
                </c:pt>
                <c:pt idx="26">
                  <c:v>44.48</c:v>
                </c:pt>
                <c:pt idx="27">
                  <c:v>44.57</c:v>
                </c:pt>
                <c:pt idx="28">
                  <c:v>44.68</c:v>
                </c:pt>
                <c:pt idx="29">
                  <c:v>44.75</c:v>
                </c:pt>
                <c:pt idx="30">
                  <c:v>44.82</c:v>
                </c:pt>
                <c:pt idx="31">
                  <c:v>44.91</c:v>
                </c:pt>
                <c:pt idx="32">
                  <c:v>44.98</c:v>
                </c:pt>
                <c:pt idx="33">
                  <c:v>45.05</c:v>
                </c:pt>
                <c:pt idx="34">
                  <c:v>45.13</c:v>
                </c:pt>
                <c:pt idx="35">
                  <c:v>45.22</c:v>
                </c:pt>
                <c:pt idx="36">
                  <c:v>45.29</c:v>
                </c:pt>
                <c:pt idx="37">
                  <c:v>45.35</c:v>
                </c:pt>
                <c:pt idx="38">
                  <c:v>45.45</c:v>
                </c:pt>
                <c:pt idx="39">
                  <c:v>45.48</c:v>
                </c:pt>
                <c:pt idx="40">
                  <c:v>45.55</c:v>
                </c:pt>
                <c:pt idx="41">
                  <c:v>45.66</c:v>
                </c:pt>
                <c:pt idx="42">
                  <c:v>45.69</c:v>
                </c:pt>
                <c:pt idx="43">
                  <c:v>45.8</c:v>
                </c:pt>
                <c:pt idx="44">
                  <c:v>45.87</c:v>
                </c:pt>
                <c:pt idx="45">
                  <c:v>45.9</c:v>
                </c:pt>
                <c:pt idx="46">
                  <c:v>45.98</c:v>
                </c:pt>
                <c:pt idx="47">
                  <c:v>46.09</c:v>
                </c:pt>
                <c:pt idx="48">
                  <c:v>46.12</c:v>
                </c:pt>
                <c:pt idx="49">
                  <c:v>46.17</c:v>
                </c:pt>
                <c:pt idx="50">
                  <c:v>46.2</c:v>
                </c:pt>
                <c:pt idx="51">
                  <c:v>46.31</c:v>
                </c:pt>
                <c:pt idx="52">
                  <c:v>46.58</c:v>
                </c:pt>
                <c:pt idx="53">
                  <c:v>47.4</c:v>
                </c:pt>
                <c:pt idx="54">
                  <c:v>48.65</c:v>
                </c:pt>
                <c:pt idx="55">
                  <c:v>50.11</c:v>
                </c:pt>
                <c:pt idx="56">
                  <c:v>51.55</c:v>
                </c:pt>
                <c:pt idx="57">
                  <c:v>52.87</c:v>
                </c:pt>
                <c:pt idx="58">
                  <c:v>54.01</c:v>
                </c:pt>
                <c:pt idx="59">
                  <c:v>55.03</c:v>
                </c:pt>
                <c:pt idx="60">
                  <c:v>55.87</c:v>
                </c:pt>
                <c:pt idx="61">
                  <c:v>56.55</c:v>
                </c:pt>
                <c:pt idx="62">
                  <c:v>57.24</c:v>
                </c:pt>
                <c:pt idx="63">
                  <c:v>57.81</c:v>
                </c:pt>
                <c:pt idx="64">
                  <c:v>58.33</c:v>
                </c:pt>
                <c:pt idx="65">
                  <c:v>58.65</c:v>
                </c:pt>
                <c:pt idx="66">
                  <c:v>59.05</c:v>
                </c:pt>
                <c:pt idx="67">
                  <c:v>59.29</c:v>
                </c:pt>
                <c:pt idx="68">
                  <c:v>59.69</c:v>
                </c:pt>
                <c:pt idx="69">
                  <c:v>60.06</c:v>
                </c:pt>
                <c:pt idx="70">
                  <c:v>60.34</c:v>
                </c:pt>
                <c:pt idx="71">
                  <c:v>60.64</c:v>
                </c:pt>
                <c:pt idx="72">
                  <c:v>60.91</c:v>
                </c:pt>
                <c:pt idx="73">
                  <c:v>61.2</c:v>
                </c:pt>
                <c:pt idx="74">
                  <c:v>61.49</c:v>
                </c:pt>
                <c:pt idx="75">
                  <c:v>61.77</c:v>
                </c:pt>
                <c:pt idx="76">
                  <c:v>62.08</c:v>
                </c:pt>
                <c:pt idx="77">
                  <c:v>62.39</c:v>
                </c:pt>
                <c:pt idx="78">
                  <c:v>62.7</c:v>
                </c:pt>
                <c:pt idx="79">
                  <c:v>63.11</c:v>
                </c:pt>
                <c:pt idx="80">
                  <c:v>63.33</c:v>
                </c:pt>
                <c:pt idx="81">
                  <c:v>63.64</c:v>
                </c:pt>
                <c:pt idx="82">
                  <c:v>63.97</c:v>
                </c:pt>
                <c:pt idx="83">
                  <c:v>64.25</c:v>
                </c:pt>
                <c:pt idx="84">
                  <c:v>64.510000000000005</c:v>
                </c:pt>
                <c:pt idx="85">
                  <c:v>64.91</c:v>
                </c:pt>
                <c:pt idx="86">
                  <c:v>65.260000000000005</c:v>
                </c:pt>
                <c:pt idx="87">
                  <c:v>65.55</c:v>
                </c:pt>
                <c:pt idx="88">
                  <c:v>65.89</c:v>
                </c:pt>
                <c:pt idx="89">
                  <c:v>66.19</c:v>
                </c:pt>
                <c:pt idx="90">
                  <c:v>66.540000000000006</c:v>
                </c:pt>
                <c:pt idx="91">
                  <c:v>66.89</c:v>
                </c:pt>
                <c:pt idx="92">
                  <c:v>67.22</c:v>
                </c:pt>
                <c:pt idx="93">
                  <c:v>67.55</c:v>
                </c:pt>
                <c:pt idx="94">
                  <c:v>67.92</c:v>
                </c:pt>
                <c:pt idx="95">
                  <c:v>68.23</c:v>
                </c:pt>
                <c:pt idx="96">
                  <c:v>68.55</c:v>
                </c:pt>
                <c:pt idx="97">
                  <c:v>68.89</c:v>
                </c:pt>
                <c:pt idx="98">
                  <c:v>69.22</c:v>
                </c:pt>
                <c:pt idx="99">
                  <c:v>69.599999999999994</c:v>
                </c:pt>
                <c:pt idx="100">
                  <c:v>69.88</c:v>
                </c:pt>
                <c:pt idx="101">
                  <c:v>70.180000000000007</c:v>
                </c:pt>
                <c:pt idx="102">
                  <c:v>70.52</c:v>
                </c:pt>
                <c:pt idx="103">
                  <c:v>70.86</c:v>
                </c:pt>
                <c:pt idx="104">
                  <c:v>71.22</c:v>
                </c:pt>
                <c:pt idx="105">
                  <c:v>71.55</c:v>
                </c:pt>
                <c:pt idx="106">
                  <c:v>71.91</c:v>
                </c:pt>
                <c:pt idx="107">
                  <c:v>72.27</c:v>
                </c:pt>
                <c:pt idx="108">
                  <c:v>72.540000000000006</c:v>
                </c:pt>
                <c:pt idx="109">
                  <c:v>72.94</c:v>
                </c:pt>
                <c:pt idx="110">
                  <c:v>73.27</c:v>
                </c:pt>
                <c:pt idx="111">
                  <c:v>73.61</c:v>
                </c:pt>
                <c:pt idx="112">
                  <c:v>73.900000000000006</c:v>
                </c:pt>
                <c:pt idx="113">
                  <c:v>74.239999999999995</c:v>
                </c:pt>
                <c:pt idx="114">
                  <c:v>74.56</c:v>
                </c:pt>
                <c:pt idx="115">
                  <c:v>74.930000000000007</c:v>
                </c:pt>
                <c:pt idx="116">
                  <c:v>75.22</c:v>
                </c:pt>
                <c:pt idx="117">
                  <c:v>75.599999999999994</c:v>
                </c:pt>
                <c:pt idx="118">
                  <c:v>75.86</c:v>
                </c:pt>
                <c:pt idx="119">
                  <c:v>76.239999999999995</c:v>
                </c:pt>
                <c:pt idx="120">
                  <c:v>76.58</c:v>
                </c:pt>
                <c:pt idx="121">
                  <c:v>76.930000000000007</c:v>
                </c:pt>
                <c:pt idx="122">
                  <c:v>77.27</c:v>
                </c:pt>
                <c:pt idx="123">
                  <c:v>77.52</c:v>
                </c:pt>
                <c:pt idx="124">
                  <c:v>77.88</c:v>
                </c:pt>
                <c:pt idx="125">
                  <c:v>78.25</c:v>
                </c:pt>
                <c:pt idx="126">
                  <c:v>78.59</c:v>
                </c:pt>
                <c:pt idx="127">
                  <c:v>78.89</c:v>
                </c:pt>
                <c:pt idx="128">
                  <c:v>79.22</c:v>
                </c:pt>
                <c:pt idx="129">
                  <c:v>79.61</c:v>
                </c:pt>
                <c:pt idx="130">
                  <c:v>79.92</c:v>
                </c:pt>
                <c:pt idx="131">
                  <c:v>80.33</c:v>
                </c:pt>
                <c:pt idx="132">
                  <c:v>80.62</c:v>
                </c:pt>
                <c:pt idx="133">
                  <c:v>80.97</c:v>
                </c:pt>
                <c:pt idx="134">
                  <c:v>81.27</c:v>
                </c:pt>
                <c:pt idx="135">
                  <c:v>81.59</c:v>
                </c:pt>
                <c:pt idx="136">
                  <c:v>81.8</c:v>
                </c:pt>
                <c:pt idx="137">
                  <c:v>81.81</c:v>
                </c:pt>
                <c:pt idx="138">
                  <c:v>81.78</c:v>
                </c:pt>
                <c:pt idx="139">
                  <c:v>81.73</c:v>
                </c:pt>
                <c:pt idx="140">
                  <c:v>81.63</c:v>
                </c:pt>
                <c:pt idx="141">
                  <c:v>81.5</c:v>
                </c:pt>
                <c:pt idx="142">
                  <c:v>81.39</c:v>
                </c:pt>
                <c:pt idx="143">
                  <c:v>81.349999999999994</c:v>
                </c:pt>
                <c:pt idx="144">
                  <c:v>81.239999999999995</c:v>
                </c:pt>
                <c:pt idx="145">
                  <c:v>81.17</c:v>
                </c:pt>
                <c:pt idx="146">
                  <c:v>81.09</c:v>
                </c:pt>
                <c:pt idx="147">
                  <c:v>81.040000000000006</c:v>
                </c:pt>
                <c:pt idx="148">
                  <c:v>81.05</c:v>
                </c:pt>
                <c:pt idx="149">
                  <c:v>80.98</c:v>
                </c:pt>
                <c:pt idx="150">
                  <c:v>80.94</c:v>
                </c:pt>
                <c:pt idx="151">
                  <c:v>80.91</c:v>
                </c:pt>
                <c:pt idx="152">
                  <c:v>80.89</c:v>
                </c:pt>
                <c:pt idx="153">
                  <c:v>80.900000000000006</c:v>
                </c:pt>
                <c:pt idx="154">
                  <c:v>80.91</c:v>
                </c:pt>
                <c:pt idx="155">
                  <c:v>80.95</c:v>
                </c:pt>
                <c:pt idx="156">
                  <c:v>80.89</c:v>
                </c:pt>
                <c:pt idx="157">
                  <c:v>80.87</c:v>
                </c:pt>
                <c:pt idx="158">
                  <c:v>80.900000000000006</c:v>
                </c:pt>
                <c:pt idx="159">
                  <c:v>80.900000000000006</c:v>
                </c:pt>
                <c:pt idx="160">
                  <c:v>80.89</c:v>
                </c:pt>
                <c:pt idx="161">
                  <c:v>80.94</c:v>
                </c:pt>
                <c:pt idx="162">
                  <c:v>80.900000000000006</c:v>
                </c:pt>
                <c:pt idx="163">
                  <c:v>80.89</c:v>
                </c:pt>
                <c:pt idx="164">
                  <c:v>80.89</c:v>
                </c:pt>
                <c:pt idx="165">
                  <c:v>80.83</c:v>
                </c:pt>
                <c:pt idx="166">
                  <c:v>80.849999999999994</c:v>
                </c:pt>
                <c:pt idx="167">
                  <c:v>80.88</c:v>
                </c:pt>
                <c:pt idx="168">
                  <c:v>80.8</c:v>
                </c:pt>
                <c:pt idx="169">
                  <c:v>80.87</c:v>
                </c:pt>
                <c:pt idx="170">
                  <c:v>80.86</c:v>
                </c:pt>
                <c:pt idx="171">
                  <c:v>80.92</c:v>
                </c:pt>
                <c:pt idx="172">
                  <c:v>80.92</c:v>
                </c:pt>
                <c:pt idx="173">
                  <c:v>80.91</c:v>
                </c:pt>
                <c:pt idx="174">
                  <c:v>80.87</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1-DEC7-47D1-8F69-25A6FABEA01E}"/>
            </c:ext>
          </c:extLst>
        </c:ser>
        <c:ser>
          <c:idx val="7"/>
          <c:order val="7"/>
          <c:tx>
            <c:strRef>
              <c:f>'transfert 80'!$I$1</c:f>
              <c:strCache>
                <c:ptCount val="1"/>
                <c:pt idx="0">
                  <c:v>Connecteur 8</c:v>
                </c:pt>
              </c:strCache>
            </c:strRef>
          </c:tx>
          <c:marker>
            <c:symbol val="none"/>
          </c:marker>
          <c:val>
            <c:numRef>
              <c:f>'transfert 80'!$I$2:$I$176</c:f>
              <c:numCache>
                <c:formatCode>General</c:formatCode>
                <c:ptCount val="175"/>
                <c:pt idx="0">
                  <c:v>41.58</c:v>
                </c:pt>
                <c:pt idx="1">
                  <c:v>41.85</c:v>
                </c:pt>
                <c:pt idx="2">
                  <c:v>42</c:v>
                </c:pt>
                <c:pt idx="3">
                  <c:v>42.14</c:v>
                </c:pt>
                <c:pt idx="4">
                  <c:v>42.24</c:v>
                </c:pt>
                <c:pt idx="5">
                  <c:v>42.44</c:v>
                </c:pt>
                <c:pt idx="6">
                  <c:v>42.51</c:v>
                </c:pt>
                <c:pt idx="7">
                  <c:v>42.64</c:v>
                </c:pt>
                <c:pt idx="8">
                  <c:v>42.77</c:v>
                </c:pt>
                <c:pt idx="9">
                  <c:v>42.89</c:v>
                </c:pt>
                <c:pt idx="10">
                  <c:v>42.97</c:v>
                </c:pt>
                <c:pt idx="11">
                  <c:v>43.12</c:v>
                </c:pt>
                <c:pt idx="12">
                  <c:v>43.22</c:v>
                </c:pt>
                <c:pt idx="13">
                  <c:v>43.4</c:v>
                </c:pt>
                <c:pt idx="14">
                  <c:v>43.46</c:v>
                </c:pt>
                <c:pt idx="15">
                  <c:v>43.54</c:v>
                </c:pt>
                <c:pt idx="16">
                  <c:v>43.61</c:v>
                </c:pt>
                <c:pt idx="17">
                  <c:v>43.65</c:v>
                </c:pt>
                <c:pt idx="18">
                  <c:v>43.79</c:v>
                </c:pt>
                <c:pt idx="19">
                  <c:v>43.94</c:v>
                </c:pt>
                <c:pt idx="20">
                  <c:v>43.97</c:v>
                </c:pt>
                <c:pt idx="21">
                  <c:v>44.13</c:v>
                </c:pt>
                <c:pt idx="22">
                  <c:v>44.24</c:v>
                </c:pt>
                <c:pt idx="23">
                  <c:v>44.34</c:v>
                </c:pt>
                <c:pt idx="24">
                  <c:v>44.37</c:v>
                </c:pt>
                <c:pt idx="25">
                  <c:v>44.46</c:v>
                </c:pt>
                <c:pt idx="26">
                  <c:v>44.55</c:v>
                </c:pt>
                <c:pt idx="27">
                  <c:v>44.59</c:v>
                </c:pt>
                <c:pt idx="28">
                  <c:v>44.71</c:v>
                </c:pt>
                <c:pt idx="29">
                  <c:v>44.8</c:v>
                </c:pt>
                <c:pt idx="30">
                  <c:v>44.88</c:v>
                </c:pt>
                <c:pt idx="31">
                  <c:v>44.93</c:v>
                </c:pt>
                <c:pt idx="32">
                  <c:v>45.02</c:v>
                </c:pt>
                <c:pt idx="33">
                  <c:v>45.08</c:v>
                </c:pt>
                <c:pt idx="34">
                  <c:v>45.16</c:v>
                </c:pt>
                <c:pt idx="35">
                  <c:v>45.26</c:v>
                </c:pt>
                <c:pt idx="36">
                  <c:v>45.32</c:v>
                </c:pt>
                <c:pt idx="37">
                  <c:v>45.37</c:v>
                </c:pt>
                <c:pt idx="38">
                  <c:v>45.47</c:v>
                </c:pt>
                <c:pt idx="39">
                  <c:v>45.53</c:v>
                </c:pt>
                <c:pt idx="40">
                  <c:v>45.59</c:v>
                </c:pt>
                <c:pt idx="41">
                  <c:v>45.68</c:v>
                </c:pt>
                <c:pt idx="42">
                  <c:v>45.78</c:v>
                </c:pt>
                <c:pt idx="43">
                  <c:v>45.82</c:v>
                </c:pt>
                <c:pt idx="44">
                  <c:v>45.89</c:v>
                </c:pt>
                <c:pt idx="45">
                  <c:v>45.91</c:v>
                </c:pt>
                <c:pt idx="46">
                  <c:v>46.02</c:v>
                </c:pt>
                <c:pt idx="47">
                  <c:v>46.1</c:v>
                </c:pt>
                <c:pt idx="48">
                  <c:v>46.16</c:v>
                </c:pt>
                <c:pt idx="49">
                  <c:v>46.23</c:v>
                </c:pt>
                <c:pt idx="50">
                  <c:v>46.25</c:v>
                </c:pt>
                <c:pt idx="51">
                  <c:v>46.3</c:v>
                </c:pt>
                <c:pt idx="52">
                  <c:v>46.7</c:v>
                </c:pt>
                <c:pt idx="53">
                  <c:v>47.68</c:v>
                </c:pt>
                <c:pt idx="54">
                  <c:v>49.14</c:v>
                </c:pt>
                <c:pt idx="55">
                  <c:v>50.66</c:v>
                </c:pt>
                <c:pt idx="56">
                  <c:v>52.25</c:v>
                </c:pt>
                <c:pt idx="57">
                  <c:v>53.63</c:v>
                </c:pt>
                <c:pt idx="58">
                  <c:v>54.8</c:v>
                </c:pt>
                <c:pt idx="59">
                  <c:v>55.81</c:v>
                </c:pt>
                <c:pt idx="60">
                  <c:v>56.76</c:v>
                </c:pt>
                <c:pt idx="61">
                  <c:v>57.45</c:v>
                </c:pt>
                <c:pt idx="62">
                  <c:v>58.04</c:v>
                </c:pt>
                <c:pt idx="63">
                  <c:v>58.56</c:v>
                </c:pt>
                <c:pt idx="64">
                  <c:v>59.01</c:v>
                </c:pt>
                <c:pt idx="65">
                  <c:v>59.32</c:v>
                </c:pt>
                <c:pt idx="66">
                  <c:v>59.75</c:v>
                </c:pt>
                <c:pt idx="67">
                  <c:v>59.97</c:v>
                </c:pt>
                <c:pt idx="68">
                  <c:v>60.29</c:v>
                </c:pt>
                <c:pt idx="69">
                  <c:v>60.67</c:v>
                </c:pt>
                <c:pt idx="70">
                  <c:v>60.87</c:v>
                </c:pt>
                <c:pt idx="71">
                  <c:v>61.16</c:v>
                </c:pt>
                <c:pt idx="72">
                  <c:v>61.4</c:v>
                </c:pt>
                <c:pt idx="73">
                  <c:v>61.65</c:v>
                </c:pt>
                <c:pt idx="74">
                  <c:v>61.97</c:v>
                </c:pt>
                <c:pt idx="75">
                  <c:v>62.23</c:v>
                </c:pt>
                <c:pt idx="76">
                  <c:v>62.49</c:v>
                </c:pt>
                <c:pt idx="77">
                  <c:v>62.84</c:v>
                </c:pt>
                <c:pt idx="78">
                  <c:v>63.14</c:v>
                </c:pt>
                <c:pt idx="79">
                  <c:v>63.48</c:v>
                </c:pt>
                <c:pt idx="80">
                  <c:v>63.82</c:v>
                </c:pt>
                <c:pt idx="81">
                  <c:v>64.040000000000006</c:v>
                </c:pt>
                <c:pt idx="82">
                  <c:v>64.37</c:v>
                </c:pt>
                <c:pt idx="83">
                  <c:v>64.680000000000007</c:v>
                </c:pt>
                <c:pt idx="84">
                  <c:v>64.989999999999995</c:v>
                </c:pt>
                <c:pt idx="85">
                  <c:v>65.33</c:v>
                </c:pt>
                <c:pt idx="86">
                  <c:v>65.69</c:v>
                </c:pt>
                <c:pt idx="87">
                  <c:v>65.98</c:v>
                </c:pt>
                <c:pt idx="88">
                  <c:v>66.3</c:v>
                </c:pt>
                <c:pt idx="89">
                  <c:v>66.599999999999994</c:v>
                </c:pt>
                <c:pt idx="90">
                  <c:v>66.930000000000007</c:v>
                </c:pt>
                <c:pt idx="91">
                  <c:v>67.31</c:v>
                </c:pt>
                <c:pt idx="92">
                  <c:v>67.650000000000006</c:v>
                </c:pt>
                <c:pt idx="93">
                  <c:v>68</c:v>
                </c:pt>
                <c:pt idx="94">
                  <c:v>68.33</c:v>
                </c:pt>
                <c:pt idx="95">
                  <c:v>68.650000000000006</c:v>
                </c:pt>
                <c:pt idx="96">
                  <c:v>69.010000000000005</c:v>
                </c:pt>
                <c:pt idx="97">
                  <c:v>69.33</c:v>
                </c:pt>
                <c:pt idx="98">
                  <c:v>69.67</c:v>
                </c:pt>
                <c:pt idx="99">
                  <c:v>70</c:v>
                </c:pt>
                <c:pt idx="100">
                  <c:v>70.290000000000006</c:v>
                </c:pt>
                <c:pt idx="101">
                  <c:v>70.599999999999994</c:v>
                </c:pt>
                <c:pt idx="102">
                  <c:v>70.959999999999994</c:v>
                </c:pt>
                <c:pt idx="103">
                  <c:v>71.28</c:v>
                </c:pt>
                <c:pt idx="104">
                  <c:v>71.69</c:v>
                </c:pt>
                <c:pt idx="105">
                  <c:v>71.989999999999995</c:v>
                </c:pt>
                <c:pt idx="106">
                  <c:v>72.34</c:v>
                </c:pt>
                <c:pt idx="107">
                  <c:v>72.7</c:v>
                </c:pt>
                <c:pt idx="108">
                  <c:v>73.03</c:v>
                </c:pt>
                <c:pt idx="109">
                  <c:v>73.42</c:v>
                </c:pt>
                <c:pt idx="110">
                  <c:v>73.739999999999995</c:v>
                </c:pt>
                <c:pt idx="111">
                  <c:v>74.08</c:v>
                </c:pt>
                <c:pt idx="112">
                  <c:v>74.34</c:v>
                </c:pt>
                <c:pt idx="113">
                  <c:v>74.72</c:v>
                </c:pt>
                <c:pt idx="114">
                  <c:v>75.02</c:v>
                </c:pt>
                <c:pt idx="115">
                  <c:v>75.349999999999994</c:v>
                </c:pt>
                <c:pt idx="116">
                  <c:v>75.709999999999994</c:v>
                </c:pt>
                <c:pt idx="117">
                  <c:v>76.05</c:v>
                </c:pt>
                <c:pt idx="118">
                  <c:v>76.349999999999994</c:v>
                </c:pt>
                <c:pt idx="119">
                  <c:v>76.64</c:v>
                </c:pt>
                <c:pt idx="120">
                  <c:v>77.069999999999993</c:v>
                </c:pt>
                <c:pt idx="121">
                  <c:v>77.39</c:v>
                </c:pt>
                <c:pt idx="122">
                  <c:v>77.72</c:v>
                </c:pt>
                <c:pt idx="123">
                  <c:v>78.02</c:v>
                </c:pt>
                <c:pt idx="124">
                  <c:v>78.36</c:v>
                </c:pt>
                <c:pt idx="125">
                  <c:v>78.709999999999994</c:v>
                </c:pt>
                <c:pt idx="126">
                  <c:v>79.069999999999993</c:v>
                </c:pt>
                <c:pt idx="127">
                  <c:v>79.319999999999993</c:v>
                </c:pt>
                <c:pt idx="128">
                  <c:v>79.73</c:v>
                </c:pt>
                <c:pt idx="129">
                  <c:v>80.13</c:v>
                </c:pt>
                <c:pt idx="130">
                  <c:v>80.39</c:v>
                </c:pt>
                <c:pt idx="131">
                  <c:v>80.78</c:v>
                </c:pt>
                <c:pt idx="132">
                  <c:v>81.08</c:v>
                </c:pt>
                <c:pt idx="133">
                  <c:v>81.45</c:v>
                </c:pt>
                <c:pt idx="134">
                  <c:v>81.790000000000006</c:v>
                </c:pt>
                <c:pt idx="135">
                  <c:v>82.11</c:v>
                </c:pt>
                <c:pt idx="136">
                  <c:v>82.23</c:v>
                </c:pt>
                <c:pt idx="137">
                  <c:v>82.21</c:v>
                </c:pt>
                <c:pt idx="138">
                  <c:v>82.09</c:v>
                </c:pt>
                <c:pt idx="139">
                  <c:v>82.03</c:v>
                </c:pt>
                <c:pt idx="140">
                  <c:v>81.83</c:v>
                </c:pt>
                <c:pt idx="141">
                  <c:v>81.709999999999994</c:v>
                </c:pt>
                <c:pt idx="142">
                  <c:v>81.53</c:v>
                </c:pt>
                <c:pt idx="143">
                  <c:v>81.510000000000005</c:v>
                </c:pt>
                <c:pt idx="144">
                  <c:v>81.38</c:v>
                </c:pt>
                <c:pt idx="145">
                  <c:v>81.31</c:v>
                </c:pt>
                <c:pt idx="146">
                  <c:v>81.209999999999994</c:v>
                </c:pt>
                <c:pt idx="147">
                  <c:v>81.16</c:v>
                </c:pt>
                <c:pt idx="148">
                  <c:v>81.099999999999994</c:v>
                </c:pt>
                <c:pt idx="149">
                  <c:v>81.040000000000006</c:v>
                </c:pt>
                <c:pt idx="150">
                  <c:v>81.040000000000006</c:v>
                </c:pt>
                <c:pt idx="151">
                  <c:v>80.98</c:v>
                </c:pt>
                <c:pt idx="152">
                  <c:v>80.930000000000007</c:v>
                </c:pt>
                <c:pt idx="153">
                  <c:v>80.959999999999994</c:v>
                </c:pt>
                <c:pt idx="154">
                  <c:v>81.02</c:v>
                </c:pt>
                <c:pt idx="155">
                  <c:v>81.03</c:v>
                </c:pt>
                <c:pt idx="156">
                  <c:v>80.959999999999994</c:v>
                </c:pt>
                <c:pt idx="157">
                  <c:v>80.88</c:v>
                </c:pt>
                <c:pt idx="158">
                  <c:v>80.930000000000007</c:v>
                </c:pt>
                <c:pt idx="159">
                  <c:v>80.92</c:v>
                </c:pt>
                <c:pt idx="160">
                  <c:v>80.92</c:v>
                </c:pt>
                <c:pt idx="161">
                  <c:v>80.959999999999994</c:v>
                </c:pt>
                <c:pt idx="162">
                  <c:v>80.95</c:v>
                </c:pt>
                <c:pt idx="163">
                  <c:v>80.98</c:v>
                </c:pt>
                <c:pt idx="164">
                  <c:v>80.91</c:v>
                </c:pt>
                <c:pt idx="165">
                  <c:v>80.849999999999994</c:v>
                </c:pt>
                <c:pt idx="166">
                  <c:v>80.89</c:v>
                </c:pt>
                <c:pt idx="167">
                  <c:v>80.900000000000006</c:v>
                </c:pt>
                <c:pt idx="168">
                  <c:v>80.87</c:v>
                </c:pt>
                <c:pt idx="169">
                  <c:v>80.849999999999994</c:v>
                </c:pt>
                <c:pt idx="170">
                  <c:v>80.900000000000006</c:v>
                </c:pt>
                <c:pt idx="171">
                  <c:v>80.95</c:v>
                </c:pt>
                <c:pt idx="172">
                  <c:v>80.930000000000007</c:v>
                </c:pt>
                <c:pt idx="173">
                  <c:v>80.97</c:v>
                </c:pt>
                <c:pt idx="174">
                  <c:v>80.88</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2-DEC7-47D1-8F69-25A6FABEA01E}"/>
            </c:ext>
          </c:extLst>
        </c:ser>
        <c:ser>
          <c:idx val="8"/>
          <c:order val="8"/>
          <c:tx>
            <c:strRef>
              <c:f>'transfert 80'!$J$1</c:f>
              <c:strCache>
                <c:ptCount val="1"/>
                <c:pt idx="0">
                  <c:v>Connecteur 9</c:v>
                </c:pt>
              </c:strCache>
            </c:strRef>
          </c:tx>
          <c:marker>
            <c:symbol val="none"/>
          </c:marker>
          <c:val>
            <c:numRef>
              <c:f>'transfert 80'!$J$2:$J$176</c:f>
              <c:numCache>
                <c:formatCode>General</c:formatCode>
                <c:ptCount val="175"/>
                <c:pt idx="0">
                  <c:v>41.31</c:v>
                </c:pt>
                <c:pt idx="1">
                  <c:v>41.69</c:v>
                </c:pt>
                <c:pt idx="2">
                  <c:v>41.89</c:v>
                </c:pt>
                <c:pt idx="3">
                  <c:v>42.03</c:v>
                </c:pt>
                <c:pt idx="4">
                  <c:v>42.11</c:v>
                </c:pt>
                <c:pt idx="5">
                  <c:v>42.29</c:v>
                </c:pt>
                <c:pt idx="6">
                  <c:v>42.39</c:v>
                </c:pt>
                <c:pt idx="7">
                  <c:v>42.55</c:v>
                </c:pt>
                <c:pt idx="8">
                  <c:v>42.67</c:v>
                </c:pt>
                <c:pt idx="9">
                  <c:v>42.79</c:v>
                </c:pt>
                <c:pt idx="10">
                  <c:v>42.89</c:v>
                </c:pt>
                <c:pt idx="11">
                  <c:v>42.96</c:v>
                </c:pt>
                <c:pt idx="12">
                  <c:v>43.09</c:v>
                </c:pt>
                <c:pt idx="13">
                  <c:v>43.25</c:v>
                </c:pt>
                <c:pt idx="14">
                  <c:v>43.34</c:v>
                </c:pt>
                <c:pt idx="15">
                  <c:v>43.4</c:v>
                </c:pt>
                <c:pt idx="16">
                  <c:v>43.54</c:v>
                </c:pt>
                <c:pt idx="17">
                  <c:v>43.62</c:v>
                </c:pt>
                <c:pt idx="18">
                  <c:v>43.7</c:v>
                </c:pt>
                <c:pt idx="19">
                  <c:v>43.84</c:v>
                </c:pt>
                <c:pt idx="20">
                  <c:v>43.89</c:v>
                </c:pt>
                <c:pt idx="21">
                  <c:v>44</c:v>
                </c:pt>
                <c:pt idx="22">
                  <c:v>44.1</c:v>
                </c:pt>
                <c:pt idx="23">
                  <c:v>44.22</c:v>
                </c:pt>
                <c:pt idx="24">
                  <c:v>44.25</c:v>
                </c:pt>
                <c:pt idx="25">
                  <c:v>44.35</c:v>
                </c:pt>
                <c:pt idx="26">
                  <c:v>44.48</c:v>
                </c:pt>
                <c:pt idx="27">
                  <c:v>44.52</c:v>
                </c:pt>
                <c:pt idx="28">
                  <c:v>44.63</c:v>
                </c:pt>
                <c:pt idx="29">
                  <c:v>44.71</c:v>
                </c:pt>
                <c:pt idx="30">
                  <c:v>44.79</c:v>
                </c:pt>
                <c:pt idx="31">
                  <c:v>44.84</c:v>
                </c:pt>
                <c:pt idx="32">
                  <c:v>44.95</c:v>
                </c:pt>
                <c:pt idx="33">
                  <c:v>44.99</c:v>
                </c:pt>
                <c:pt idx="34">
                  <c:v>45.1</c:v>
                </c:pt>
                <c:pt idx="35">
                  <c:v>45.13</c:v>
                </c:pt>
                <c:pt idx="36">
                  <c:v>45.18</c:v>
                </c:pt>
                <c:pt idx="37">
                  <c:v>45.3</c:v>
                </c:pt>
                <c:pt idx="38">
                  <c:v>45.39</c:v>
                </c:pt>
                <c:pt idx="39">
                  <c:v>45.44</c:v>
                </c:pt>
                <c:pt idx="40">
                  <c:v>45.49</c:v>
                </c:pt>
                <c:pt idx="41">
                  <c:v>45.6</c:v>
                </c:pt>
                <c:pt idx="42">
                  <c:v>45.69</c:v>
                </c:pt>
                <c:pt idx="43">
                  <c:v>45.71</c:v>
                </c:pt>
                <c:pt idx="44">
                  <c:v>45.79</c:v>
                </c:pt>
                <c:pt idx="45">
                  <c:v>45.82</c:v>
                </c:pt>
                <c:pt idx="46">
                  <c:v>45.92</c:v>
                </c:pt>
                <c:pt idx="47">
                  <c:v>46.02</c:v>
                </c:pt>
                <c:pt idx="48">
                  <c:v>46.06</c:v>
                </c:pt>
                <c:pt idx="49">
                  <c:v>46.12</c:v>
                </c:pt>
                <c:pt idx="50">
                  <c:v>46.11</c:v>
                </c:pt>
                <c:pt idx="51">
                  <c:v>46.23</c:v>
                </c:pt>
                <c:pt idx="52">
                  <c:v>46.45</c:v>
                </c:pt>
                <c:pt idx="53">
                  <c:v>47.36</c:v>
                </c:pt>
                <c:pt idx="54">
                  <c:v>48.69</c:v>
                </c:pt>
                <c:pt idx="55">
                  <c:v>50.21</c:v>
                </c:pt>
                <c:pt idx="56">
                  <c:v>51.68</c:v>
                </c:pt>
                <c:pt idx="57">
                  <c:v>53.05</c:v>
                </c:pt>
                <c:pt idx="58">
                  <c:v>54.2</c:v>
                </c:pt>
                <c:pt idx="59">
                  <c:v>55.33</c:v>
                </c:pt>
                <c:pt idx="60">
                  <c:v>56.18</c:v>
                </c:pt>
                <c:pt idx="61">
                  <c:v>56.94</c:v>
                </c:pt>
                <c:pt idx="62">
                  <c:v>57.47</c:v>
                </c:pt>
                <c:pt idx="63">
                  <c:v>58.07</c:v>
                </c:pt>
                <c:pt idx="64">
                  <c:v>58.44</c:v>
                </c:pt>
                <c:pt idx="65">
                  <c:v>58.76</c:v>
                </c:pt>
                <c:pt idx="66">
                  <c:v>59.17</c:v>
                </c:pt>
                <c:pt idx="67">
                  <c:v>59.51</c:v>
                </c:pt>
                <c:pt idx="68">
                  <c:v>59.76</c:v>
                </c:pt>
                <c:pt idx="69">
                  <c:v>60.1</c:v>
                </c:pt>
                <c:pt idx="70">
                  <c:v>60.35</c:v>
                </c:pt>
                <c:pt idx="71">
                  <c:v>60.6</c:v>
                </c:pt>
                <c:pt idx="72">
                  <c:v>60.92</c:v>
                </c:pt>
                <c:pt idx="73">
                  <c:v>61.2</c:v>
                </c:pt>
                <c:pt idx="74">
                  <c:v>61.48</c:v>
                </c:pt>
                <c:pt idx="75">
                  <c:v>61.75</c:v>
                </c:pt>
                <c:pt idx="76">
                  <c:v>62.08</c:v>
                </c:pt>
                <c:pt idx="77">
                  <c:v>62.39</c:v>
                </c:pt>
                <c:pt idx="78">
                  <c:v>62.65</c:v>
                </c:pt>
                <c:pt idx="79">
                  <c:v>63.04</c:v>
                </c:pt>
                <c:pt idx="80">
                  <c:v>63.31</c:v>
                </c:pt>
                <c:pt idx="81">
                  <c:v>63.6</c:v>
                </c:pt>
                <c:pt idx="82">
                  <c:v>63.89</c:v>
                </c:pt>
                <c:pt idx="83">
                  <c:v>64.19</c:v>
                </c:pt>
                <c:pt idx="84">
                  <c:v>64.56</c:v>
                </c:pt>
                <c:pt idx="85">
                  <c:v>64.88</c:v>
                </c:pt>
                <c:pt idx="86">
                  <c:v>65.180000000000007</c:v>
                </c:pt>
                <c:pt idx="87">
                  <c:v>65.52</c:v>
                </c:pt>
                <c:pt idx="88">
                  <c:v>65.819999999999993</c:v>
                </c:pt>
                <c:pt idx="89">
                  <c:v>66.180000000000007</c:v>
                </c:pt>
                <c:pt idx="90">
                  <c:v>66.489999999999995</c:v>
                </c:pt>
                <c:pt idx="91">
                  <c:v>66.84</c:v>
                </c:pt>
                <c:pt idx="92">
                  <c:v>67.13</c:v>
                </c:pt>
                <c:pt idx="93">
                  <c:v>67.42</c:v>
                </c:pt>
                <c:pt idx="94">
                  <c:v>67.819999999999993</c:v>
                </c:pt>
                <c:pt idx="95">
                  <c:v>68.14</c:v>
                </c:pt>
                <c:pt idx="96">
                  <c:v>68.52</c:v>
                </c:pt>
                <c:pt idx="97">
                  <c:v>68.819999999999993</c:v>
                </c:pt>
                <c:pt idx="98">
                  <c:v>69.17</c:v>
                </c:pt>
                <c:pt idx="99">
                  <c:v>69.489999999999995</c:v>
                </c:pt>
                <c:pt idx="100">
                  <c:v>69.760000000000005</c:v>
                </c:pt>
                <c:pt idx="101">
                  <c:v>70.05</c:v>
                </c:pt>
                <c:pt idx="102">
                  <c:v>70.47</c:v>
                </c:pt>
                <c:pt idx="103">
                  <c:v>70.77</c:v>
                </c:pt>
                <c:pt idx="104">
                  <c:v>71.13</c:v>
                </c:pt>
                <c:pt idx="105">
                  <c:v>71.44</c:v>
                </c:pt>
                <c:pt idx="106">
                  <c:v>71.77</c:v>
                </c:pt>
                <c:pt idx="107">
                  <c:v>72.19</c:v>
                </c:pt>
                <c:pt idx="108">
                  <c:v>72.489999999999995</c:v>
                </c:pt>
                <c:pt idx="109">
                  <c:v>72.86</c:v>
                </c:pt>
                <c:pt idx="110">
                  <c:v>73.19</c:v>
                </c:pt>
                <c:pt idx="111">
                  <c:v>73.5</c:v>
                </c:pt>
                <c:pt idx="112">
                  <c:v>73.77</c:v>
                </c:pt>
                <c:pt idx="113">
                  <c:v>74.13</c:v>
                </c:pt>
                <c:pt idx="114">
                  <c:v>74.42</c:v>
                </c:pt>
                <c:pt idx="115">
                  <c:v>74.81</c:v>
                </c:pt>
                <c:pt idx="116">
                  <c:v>75.099999999999994</c:v>
                </c:pt>
                <c:pt idx="117">
                  <c:v>75.459999999999994</c:v>
                </c:pt>
                <c:pt idx="118">
                  <c:v>75.8</c:v>
                </c:pt>
                <c:pt idx="119">
                  <c:v>76.13</c:v>
                </c:pt>
                <c:pt idx="120">
                  <c:v>76.489999999999995</c:v>
                </c:pt>
                <c:pt idx="121">
                  <c:v>76.78</c:v>
                </c:pt>
                <c:pt idx="122">
                  <c:v>77.11</c:v>
                </c:pt>
                <c:pt idx="123">
                  <c:v>77.489999999999995</c:v>
                </c:pt>
                <c:pt idx="124">
                  <c:v>77.72</c:v>
                </c:pt>
                <c:pt idx="125">
                  <c:v>78.099999999999994</c:v>
                </c:pt>
                <c:pt idx="126">
                  <c:v>78.47</c:v>
                </c:pt>
                <c:pt idx="127">
                  <c:v>78.66</c:v>
                </c:pt>
                <c:pt idx="128">
                  <c:v>79.069999999999993</c:v>
                </c:pt>
                <c:pt idx="129">
                  <c:v>79.48</c:v>
                </c:pt>
                <c:pt idx="130">
                  <c:v>79.78</c:v>
                </c:pt>
                <c:pt idx="131">
                  <c:v>80.180000000000007</c:v>
                </c:pt>
                <c:pt idx="132">
                  <c:v>80.47</c:v>
                </c:pt>
                <c:pt idx="133">
                  <c:v>80.8</c:v>
                </c:pt>
                <c:pt idx="134">
                  <c:v>81.150000000000006</c:v>
                </c:pt>
                <c:pt idx="135">
                  <c:v>81.47</c:v>
                </c:pt>
                <c:pt idx="136">
                  <c:v>81.599999999999994</c:v>
                </c:pt>
                <c:pt idx="137">
                  <c:v>81.62</c:v>
                </c:pt>
                <c:pt idx="138">
                  <c:v>81.58</c:v>
                </c:pt>
                <c:pt idx="139">
                  <c:v>81.48</c:v>
                </c:pt>
                <c:pt idx="140">
                  <c:v>81.33</c:v>
                </c:pt>
                <c:pt idx="141">
                  <c:v>81.239999999999995</c:v>
                </c:pt>
                <c:pt idx="142">
                  <c:v>81.12</c:v>
                </c:pt>
                <c:pt idx="143">
                  <c:v>81.010000000000005</c:v>
                </c:pt>
                <c:pt idx="144">
                  <c:v>80.87</c:v>
                </c:pt>
                <c:pt idx="145">
                  <c:v>80.819999999999993</c:v>
                </c:pt>
                <c:pt idx="146">
                  <c:v>80.760000000000005</c:v>
                </c:pt>
                <c:pt idx="147">
                  <c:v>80.739999999999995</c:v>
                </c:pt>
                <c:pt idx="148">
                  <c:v>80.7</c:v>
                </c:pt>
                <c:pt idx="149">
                  <c:v>80.61</c:v>
                </c:pt>
                <c:pt idx="150">
                  <c:v>80.59</c:v>
                </c:pt>
                <c:pt idx="151">
                  <c:v>80.5</c:v>
                </c:pt>
                <c:pt idx="152">
                  <c:v>80.510000000000005</c:v>
                </c:pt>
                <c:pt idx="153">
                  <c:v>80.510000000000005</c:v>
                </c:pt>
                <c:pt idx="154">
                  <c:v>80.58</c:v>
                </c:pt>
                <c:pt idx="155">
                  <c:v>80.59</c:v>
                </c:pt>
                <c:pt idx="156">
                  <c:v>80.569999999999993</c:v>
                </c:pt>
                <c:pt idx="157">
                  <c:v>80.52</c:v>
                </c:pt>
                <c:pt idx="158">
                  <c:v>80.569999999999993</c:v>
                </c:pt>
                <c:pt idx="159">
                  <c:v>80.55</c:v>
                </c:pt>
                <c:pt idx="160">
                  <c:v>80.510000000000005</c:v>
                </c:pt>
                <c:pt idx="161">
                  <c:v>80.540000000000006</c:v>
                </c:pt>
                <c:pt idx="162">
                  <c:v>80.55</c:v>
                </c:pt>
                <c:pt idx="163">
                  <c:v>80.56</c:v>
                </c:pt>
                <c:pt idx="164">
                  <c:v>80.540000000000006</c:v>
                </c:pt>
                <c:pt idx="165">
                  <c:v>80.489999999999995</c:v>
                </c:pt>
                <c:pt idx="166">
                  <c:v>80.47</c:v>
                </c:pt>
                <c:pt idx="167">
                  <c:v>80.489999999999995</c:v>
                </c:pt>
                <c:pt idx="168">
                  <c:v>80.47</c:v>
                </c:pt>
                <c:pt idx="169">
                  <c:v>80.48</c:v>
                </c:pt>
                <c:pt idx="170">
                  <c:v>80.510000000000005</c:v>
                </c:pt>
                <c:pt idx="171">
                  <c:v>80.56</c:v>
                </c:pt>
                <c:pt idx="172">
                  <c:v>80.569999999999993</c:v>
                </c:pt>
                <c:pt idx="173">
                  <c:v>80.53</c:v>
                </c:pt>
                <c:pt idx="174">
                  <c:v>80.510000000000005</c:v>
                </c:pt>
              </c:numCache>
            </c:numRef>
          </c:val>
          <c:smooth val="0"/>
          <c:extLst>
            <c:ext xmlns:c15="http://schemas.microsoft.com/office/drawing/2012/chart" uri="{02D57815-91ED-43cb-92C2-25804820EDAC}">
              <c15:filteredCategoryTitle>
                <c15:cat>
                  <c:strRef>
                    <c:extLst>
                      <c:ext uri="{02D57815-91ED-43cb-92C2-25804820EDAC}">
                        <c15:formulaRef>
                          <c15:sqref>'transfert 80'!$A$2:$A$176</c15:sqref>
                        </c15:formulaRef>
                      </c:ext>
                    </c:extLst>
                    <c:strCache>
                      <c:ptCount val="175"/>
                      <c:pt idx="0">
                        <c:v>20/02/2024  21:53</c:v>
                      </c:pt>
                      <c:pt idx="1">
                        <c:v>20/02/2024  21:54</c:v>
                      </c:pt>
                      <c:pt idx="2">
                        <c:v>20/02/2024  21:55</c:v>
                      </c:pt>
                      <c:pt idx="3">
                        <c:v>20/02/2024  21:56</c:v>
                      </c:pt>
                      <c:pt idx="4">
                        <c:v>20/02/2024  21:57</c:v>
                      </c:pt>
                      <c:pt idx="5">
                        <c:v>20/02/2024  21:58</c:v>
                      </c:pt>
                      <c:pt idx="6">
                        <c:v>20/02/2024  21:59</c:v>
                      </c:pt>
                      <c:pt idx="7">
                        <c:v>20/02/2024  22:00</c:v>
                      </c:pt>
                      <c:pt idx="8">
                        <c:v>20/02/2024  22:01</c:v>
                      </c:pt>
                      <c:pt idx="9">
                        <c:v>20/02/2024  22:02</c:v>
                      </c:pt>
                      <c:pt idx="10">
                        <c:v>20/02/2024  22:03</c:v>
                      </c:pt>
                      <c:pt idx="11">
                        <c:v>20/02/2024  22:04</c:v>
                      </c:pt>
                      <c:pt idx="12">
                        <c:v>20/02/2024  22:05</c:v>
                      </c:pt>
                      <c:pt idx="13">
                        <c:v>20/02/2024  22:06</c:v>
                      </c:pt>
                      <c:pt idx="14">
                        <c:v>20/02/2024  22:07</c:v>
                      </c:pt>
                      <c:pt idx="15">
                        <c:v>20/02/2024  22:08</c:v>
                      </c:pt>
                      <c:pt idx="16">
                        <c:v>20/02/2024  22:09</c:v>
                      </c:pt>
                      <c:pt idx="17">
                        <c:v>20/02/2024  22:10</c:v>
                      </c:pt>
                      <c:pt idx="18">
                        <c:v>20/02/2024  22:11</c:v>
                      </c:pt>
                      <c:pt idx="19">
                        <c:v>20/02/2024  22:12</c:v>
                      </c:pt>
                      <c:pt idx="20">
                        <c:v>20/02/2024  22:13</c:v>
                      </c:pt>
                      <c:pt idx="21">
                        <c:v>20/02/2024  22:14</c:v>
                      </c:pt>
                      <c:pt idx="22">
                        <c:v>20/02/2024  22:15</c:v>
                      </c:pt>
                      <c:pt idx="23">
                        <c:v>20/02/2024  22:16</c:v>
                      </c:pt>
                      <c:pt idx="24">
                        <c:v>20/02/2024  22:17</c:v>
                      </c:pt>
                      <c:pt idx="25">
                        <c:v>20/02/2024  22:18</c:v>
                      </c:pt>
                      <c:pt idx="26">
                        <c:v>20/02/2024  22:19</c:v>
                      </c:pt>
                      <c:pt idx="27">
                        <c:v>20/02/2024  22:20</c:v>
                      </c:pt>
                      <c:pt idx="28">
                        <c:v>20/02/2024  22:21</c:v>
                      </c:pt>
                      <c:pt idx="29">
                        <c:v>20/02/2024  22:22</c:v>
                      </c:pt>
                      <c:pt idx="30">
                        <c:v>20/02/2024  22:23</c:v>
                      </c:pt>
                      <c:pt idx="31">
                        <c:v>20/02/2024  22:24</c:v>
                      </c:pt>
                      <c:pt idx="32">
                        <c:v>20/02/2024  22:25</c:v>
                      </c:pt>
                      <c:pt idx="33">
                        <c:v>20/02/2024  22:26</c:v>
                      </c:pt>
                      <c:pt idx="34">
                        <c:v>20/02/2024  22:27</c:v>
                      </c:pt>
                      <c:pt idx="35">
                        <c:v>20/02/2024  22:28</c:v>
                      </c:pt>
                      <c:pt idx="36">
                        <c:v>20/02/2024  22:29</c:v>
                      </c:pt>
                      <c:pt idx="37">
                        <c:v>20/02/2024  22:30</c:v>
                      </c:pt>
                      <c:pt idx="38">
                        <c:v>20/02/2024  22:31</c:v>
                      </c:pt>
                      <c:pt idx="39">
                        <c:v>20/02/2024  22:32</c:v>
                      </c:pt>
                      <c:pt idx="40">
                        <c:v>20/02/2024  22:33</c:v>
                      </c:pt>
                      <c:pt idx="41">
                        <c:v>20/02/2024  22:34</c:v>
                      </c:pt>
                      <c:pt idx="42">
                        <c:v>20/02/2024  22:35</c:v>
                      </c:pt>
                      <c:pt idx="43">
                        <c:v>20/02/2024  22:36</c:v>
                      </c:pt>
                      <c:pt idx="44">
                        <c:v>20/02/2024  22:37</c:v>
                      </c:pt>
                      <c:pt idx="45">
                        <c:v>20/02/2024  22:38</c:v>
                      </c:pt>
                      <c:pt idx="46">
                        <c:v>20/02/2024  22:39</c:v>
                      </c:pt>
                      <c:pt idx="47">
                        <c:v>20/02/2024  22:40</c:v>
                      </c:pt>
                      <c:pt idx="48">
                        <c:v>20/02/2024  22:41</c:v>
                      </c:pt>
                      <c:pt idx="49">
                        <c:v>20/02/2024  22:42</c:v>
                      </c:pt>
                      <c:pt idx="50">
                        <c:v>20/02/2024  22:43</c:v>
                      </c:pt>
                      <c:pt idx="51">
                        <c:v>20/02/2024  22:44</c:v>
                      </c:pt>
                      <c:pt idx="52">
                        <c:v>20/02/2024  22:45</c:v>
                      </c:pt>
                      <c:pt idx="53">
                        <c:v>20/02/2024  22:46</c:v>
                      </c:pt>
                      <c:pt idx="54">
                        <c:v>20/02/2024  22:47</c:v>
                      </c:pt>
                      <c:pt idx="55">
                        <c:v>20/02/2024  22:48</c:v>
                      </c:pt>
                      <c:pt idx="56">
                        <c:v>20/02/2024  22:49</c:v>
                      </c:pt>
                      <c:pt idx="57">
                        <c:v>20/02/2024  22:50</c:v>
                      </c:pt>
                      <c:pt idx="58">
                        <c:v>20/02/2024  22:51</c:v>
                      </c:pt>
                      <c:pt idx="59">
                        <c:v>20/02/2024  22:52</c:v>
                      </c:pt>
                      <c:pt idx="60">
                        <c:v>20/02/2024  22:53</c:v>
                      </c:pt>
                      <c:pt idx="61">
                        <c:v>20/02/2024  22:54</c:v>
                      </c:pt>
                      <c:pt idx="62">
                        <c:v>20/02/2024  22:55</c:v>
                      </c:pt>
                      <c:pt idx="63">
                        <c:v>20/02/2024  22:56</c:v>
                      </c:pt>
                      <c:pt idx="64">
                        <c:v>20/02/2024  22:57</c:v>
                      </c:pt>
                      <c:pt idx="65">
                        <c:v>20/02/2024  22:58</c:v>
                      </c:pt>
                      <c:pt idx="66">
                        <c:v>20/02/2024  22:59</c:v>
                      </c:pt>
                      <c:pt idx="67">
                        <c:v>20/02/2024  23:00</c:v>
                      </c:pt>
                      <c:pt idx="68">
                        <c:v>20/02/2024  23:01</c:v>
                      </c:pt>
                      <c:pt idx="69">
                        <c:v>20/02/2024  23:02</c:v>
                      </c:pt>
                      <c:pt idx="70">
                        <c:v>20/02/2024  23:03</c:v>
                      </c:pt>
                      <c:pt idx="71">
                        <c:v>20/02/2024  23:04</c:v>
                      </c:pt>
                      <c:pt idx="72">
                        <c:v>20/02/2024  23:05</c:v>
                      </c:pt>
                      <c:pt idx="73">
                        <c:v>20/02/2024  23:06</c:v>
                      </c:pt>
                      <c:pt idx="74">
                        <c:v>20/02/2024  23:07</c:v>
                      </c:pt>
                      <c:pt idx="75">
                        <c:v>20/02/2024  23:08</c:v>
                      </c:pt>
                      <c:pt idx="76">
                        <c:v>20/02/2024  23:09</c:v>
                      </c:pt>
                      <c:pt idx="77">
                        <c:v>20/02/2024  23:10</c:v>
                      </c:pt>
                      <c:pt idx="78">
                        <c:v>20/02/2024  23:11</c:v>
                      </c:pt>
                      <c:pt idx="79">
                        <c:v>20/02/2024  23:12</c:v>
                      </c:pt>
                      <c:pt idx="80">
                        <c:v>20/02/2024  23:13</c:v>
                      </c:pt>
                      <c:pt idx="81">
                        <c:v>20/02/2024  23:14</c:v>
                      </c:pt>
                      <c:pt idx="82">
                        <c:v>20/02/2024  23:15</c:v>
                      </c:pt>
                      <c:pt idx="83">
                        <c:v>20/02/2024  23:16</c:v>
                      </c:pt>
                      <c:pt idx="84">
                        <c:v>20/02/2024  23:17</c:v>
                      </c:pt>
                      <c:pt idx="85">
                        <c:v>20/02/2024  23:18</c:v>
                      </c:pt>
                      <c:pt idx="86">
                        <c:v>20/02/2024  23:19</c:v>
                      </c:pt>
                      <c:pt idx="87">
                        <c:v>20/02/2024  23:20</c:v>
                      </c:pt>
                      <c:pt idx="88">
                        <c:v>20/02/2024  23:21</c:v>
                      </c:pt>
                      <c:pt idx="89">
                        <c:v>20/02/2024  23:22</c:v>
                      </c:pt>
                      <c:pt idx="90">
                        <c:v>20/02/2024  23:23</c:v>
                      </c:pt>
                      <c:pt idx="91">
                        <c:v>20/02/2024  23:24</c:v>
                      </c:pt>
                      <c:pt idx="92">
                        <c:v>20/02/2024  23:25</c:v>
                      </c:pt>
                      <c:pt idx="93">
                        <c:v>20/02/2024  23:26</c:v>
                      </c:pt>
                      <c:pt idx="94">
                        <c:v>20/02/2024  23:27</c:v>
                      </c:pt>
                      <c:pt idx="95">
                        <c:v>20/02/2024  23:28</c:v>
                      </c:pt>
                      <c:pt idx="96">
                        <c:v>20/02/2024  23:29</c:v>
                      </c:pt>
                      <c:pt idx="97">
                        <c:v>20/02/2024  23:30</c:v>
                      </c:pt>
                      <c:pt idx="98">
                        <c:v>20/02/2024  23:31</c:v>
                      </c:pt>
                      <c:pt idx="99">
                        <c:v>20/02/2024  23:32</c:v>
                      </c:pt>
                      <c:pt idx="100">
                        <c:v>20/02/2024  23:33</c:v>
                      </c:pt>
                      <c:pt idx="101">
                        <c:v>20/02/2024  23:34</c:v>
                      </c:pt>
                      <c:pt idx="102">
                        <c:v>20/02/2024  23:35</c:v>
                      </c:pt>
                      <c:pt idx="103">
                        <c:v>20/02/2024  23:36</c:v>
                      </c:pt>
                      <c:pt idx="104">
                        <c:v>20/02/2024  23:37</c:v>
                      </c:pt>
                      <c:pt idx="105">
                        <c:v>20/02/2024  23:38</c:v>
                      </c:pt>
                      <c:pt idx="106">
                        <c:v>20/02/2024  23:39</c:v>
                      </c:pt>
                      <c:pt idx="107">
                        <c:v>20/02/2024  23:40</c:v>
                      </c:pt>
                      <c:pt idx="108">
                        <c:v>20/02/2024  23:41</c:v>
                      </c:pt>
                      <c:pt idx="109">
                        <c:v>20/02/2024  23:42</c:v>
                      </c:pt>
                      <c:pt idx="110">
                        <c:v>20/02/2024  23:43</c:v>
                      </c:pt>
                      <c:pt idx="111">
                        <c:v>20/02/2024  23:44</c:v>
                      </c:pt>
                      <c:pt idx="112">
                        <c:v>20/02/2024  23:45</c:v>
                      </c:pt>
                      <c:pt idx="113">
                        <c:v>20/02/2024  23:46</c:v>
                      </c:pt>
                      <c:pt idx="114">
                        <c:v>20/02/2024  23:47</c:v>
                      </c:pt>
                      <c:pt idx="115">
                        <c:v>20/02/2024  23:48</c:v>
                      </c:pt>
                      <c:pt idx="116">
                        <c:v>20/02/2024  23:49</c:v>
                      </c:pt>
                      <c:pt idx="117">
                        <c:v>20/02/2024  23:50</c:v>
                      </c:pt>
                      <c:pt idx="118">
                        <c:v>20/02/2024  23:51</c:v>
                      </c:pt>
                      <c:pt idx="119">
                        <c:v>20/02/2024  23:52</c:v>
                      </c:pt>
                      <c:pt idx="120">
                        <c:v>20/02/2024  23:53</c:v>
                      </c:pt>
                      <c:pt idx="121">
                        <c:v>20/02/2024  23:54</c:v>
                      </c:pt>
                      <c:pt idx="122">
                        <c:v>20/02/2024  23:55</c:v>
                      </c:pt>
                      <c:pt idx="123">
                        <c:v>20/02/2024  23:56</c:v>
                      </c:pt>
                      <c:pt idx="124">
                        <c:v>20/02/2024  23:57</c:v>
                      </c:pt>
                      <c:pt idx="125">
                        <c:v>20/02/2024  23:58</c:v>
                      </c:pt>
                      <c:pt idx="126">
                        <c:v>20/02/2024  23:59</c:v>
                      </c:pt>
                      <c:pt idx="127">
                        <c:v>21/02/2024  00:00</c:v>
                      </c:pt>
                      <c:pt idx="128">
                        <c:v>21/02/2024  00:01</c:v>
                      </c:pt>
                      <c:pt idx="129">
                        <c:v>21/02/2024  00:02</c:v>
                      </c:pt>
                      <c:pt idx="130">
                        <c:v>21/02/2024  00:03</c:v>
                      </c:pt>
                      <c:pt idx="131">
                        <c:v>21/02/2024  00:04</c:v>
                      </c:pt>
                      <c:pt idx="132">
                        <c:v>21/02/2024  00:05</c:v>
                      </c:pt>
                      <c:pt idx="133">
                        <c:v>21/02/2024  00:06</c:v>
                      </c:pt>
                      <c:pt idx="134">
                        <c:v>21/02/2024  00:07</c:v>
                      </c:pt>
                      <c:pt idx="135">
                        <c:v>21/02/2024  00:08</c:v>
                      </c:pt>
                      <c:pt idx="136">
                        <c:v>21/02/2024  00:09</c:v>
                      </c:pt>
                      <c:pt idx="137">
                        <c:v>21/02/2024  00:10</c:v>
                      </c:pt>
                      <c:pt idx="138">
                        <c:v>21/02/2024  00:11</c:v>
                      </c:pt>
                      <c:pt idx="139">
                        <c:v>21/02/2024  00:12</c:v>
                      </c:pt>
                      <c:pt idx="140">
                        <c:v>21/02/2024  00:13</c:v>
                      </c:pt>
                      <c:pt idx="141">
                        <c:v>21/02/2024  00:14</c:v>
                      </c:pt>
                      <c:pt idx="142">
                        <c:v>21/02/2024  00:15</c:v>
                      </c:pt>
                      <c:pt idx="143">
                        <c:v>21/02/2024  00:16</c:v>
                      </c:pt>
                      <c:pt idx="144">
                        <c:v>21/02/2024  00:17</c:v>
                      </c:pt>
                      <c:pt idx="145">
                        <c:v>21/02/2024  00:18</c:v>
                      </c:pt>
                      <c:pt idx="146">
                        <c:v>21/02/2024  00:19</c:v>
                      </c:pt>
                      <c:pt idx="147">
                        <c:v>21/02/2024  00:20</c:v>
                      </c:pt>
                      <c:pt idx="148">
                        <c:v>21/02/2024  00:21</c:v>
                      </c:pt>
                      <c:pt idx="149">
                        <c:v>21/02/2024  00:22</c:v>
                      </c:pt>
                      <c:pt idx="150">
                        <c:v>21/02/2024  00:23</c:v>
                      </c:pt>
                      <c:pt idx="151">
                        <c:v>21/02/2024  00:24</c:v>
                      </c:pt>
                      <c:pt idx="152">
                        <c:v>21/02/2024  00:25</c:v>
                      </c:pt>
                      <c:pt idx="153">
                        <c:v>21/02/2024  00:26</c:v>
                      </c:pt>
                      <c:pt idx="154">
                        <c:v>21/02/2024  00:27</c:v>
                      </c:pt>
                      <c:pt idx="155">
                        <c:v>21/02/2024  00:28</c:v>
                      </c:pt>
                      <c:pt idx="156">
                        <c:v>21/02/2024  00:29</c:v>
                      </c:pt>
                      <c:pt idx="157">
                        <c:v>21/02/2024  00:30</c:v>
                      </c:pt>
                      <c:pt idx="158">
                        <c:v>21/02/2024  00:31</c:v>
                      </c:pt>
                      <c:pt idx="159">
                        <c:v>21/02/2024  00:32</c:v>
                      </c:pt>
                      <c:pt idx="160">
                        <c:v>21/02/2024  00:33</c:v>
                      </c:pt>
                      <c:pt idx="161">
                        <c:v>21/02/2024  00:34</c:v>
                      </c:pt>
                      <c:pt idx="162">
                        <c:v>21/02/2024  00:35</c:v>
                      </c:pt>
                      <c:pt idx="163">
                        <c:v>21/02/2024  00:36</c:v>
                      </c:pt>
                      <c:pt idx="164">
                        <c:v>21/02/2024  00:37</c:v>
                      </c:pt>
                      <c:pt idx="165">
                        <c:v>21/02/2024  00:38</c:v>
                      </c:pt>
                      <c:pt idx="166">
                        <c:v>21/02/2024  00:39</c:v>
                      </c:pt>
                      <c:pt idx="167">
                        <c:v>21/02/2024  00:40</c:v>
                      </c:pt>
                      <c:pt idx="168">
                        <c:v>21/02/2024  00:41</c:v>
                      </c:pt>
                      <c:pt idx="169">
                        <c:v>21/02/2024  00:42</c:v>
                      </c:pt>
                      <c:pt idx="170">
                        <c:v>21/02/2024  00:43</c:v>
                      </c:pt>
                      <c:pt idx="171">
                        <c:v>21/02/2024  00:44</c:v>
                      </c:pt>
                      <c:pt idx="172">
                        <c:v>21/02/2024  00:45</c:v>
                      </c:pt>
                      <c:pt idx="173">
                        <c:v>21/02/2024  00:46</c:v>
                      </c:pt>
                      <c:pt idx="174">
                        <c:v>21/02/2024  00:47</c:v>
                      </c:pt>
                    </c:strCache>
                  </c:strRef>
                </c15:cat>
              </c15:filteredCategoryTitle>
            </c:ext>
            <c:ext xmlns:c16="http://schemas.microsoft.com/office/drawing/2014/chart" uri="{C3380CC4-5D6E-409C-BE32-E72D297353CC}">
              <c16:uniqueId val="{00000003-DEC7-47D1-8F69-25A6FABEA01E}"/>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200'!$B$2:$B$93</c:f>
              <c:numCache>
                <c:formatCode>General</c:formatCode>
                <c:ptCount val="92"/>
                <c:pt idx="0">
                  <c:v>161.34</c:v>
                </c:pt>
                <c:pt idx="1">
                  <c:v>166.14</c:v>
                </c:pt>
                <c:pt idx="2">
                  <c:v>170.57</c:v>
                </c:pt>
                <c:pt idx="3">
                  <c:v>175.43</c:v>
                </c:pt>
                <c:pt idx="4">
                  <c:v>179.69</c:v>
                </c:pt>
                <c:pt idx="5">
                  <c:v>184.03</c:v>
                </c:pt>
                <c:pt idx="6">
                  <c:v>188.43</c:v>
                </c:pt>
                <c:pt idx="7">
                  <c:v>190.59</c:v>
                </c:pt>
                <c:pt idx="8">
                  <c:v>191.16</c:v>
                </c:pt>
                <c:pt idx="9">
                  <c:v>191.38</c:v>
                </c:pt>
                <c:pt idx="10">
                  <c:v>191.51</c:v>
                </c:pt>
                <c:pt idx="11">
                  <c:v>191.59</c:v>
                </c:pt>
                <c:pt idx="12">
                  <c:v>191.44</c:v>
                </c:pt>
                <c:pt idx="13">
                  <c:v>191.33</c:v>
                </c:pt>
                <c:pt idx="14">
                  <c:v>191.43</c:v>
                </c:pt>
                <c:pt idx="15">
                  <c:v>191.26</c:v>
                </c:pt>
                <c:pt idx="16">
                  <c:v>191.11</c:v>
                </c:pt>
                <c:pt idx="17">
                  <c:v>191.15</c:v>
                </c:pt>
                <c:pt idx="18">
                  <c:v>191.08</c:v>
                </c:pt>
                <c:pt idx="19">
                  <c:v>191.09</c:v>
                </c:pt>
                <c:pt idx="20">
                  <c:v>191.02</c:v>
                </c:pt>
                <c:pt idx="21">
                  <c:v>190.99</c:v>
                </c:pt>
                <c:pt idx="22">
                  <c:v>190.92</c:v>
                </c:pt>
                <c:pt idx="23">
                  <c:v>190.92</c:v>
                </c:pt>
                <c:pt idx="24">
                  <c:v>190.94</c:v>
                </c:pt>
                <c:pt idx="25">
                  <c:v>190.98</c:v>
                </c:pt>
                <c:pt idx="26">
                  <c:v>190.86</c:v>
                </c:pt>
                <c:pt idx="27">
                  <c:v>190.9</c:v>
                </c:pt>
                <c:pt idx="28">
                  <c:v>190.84</c:v>
                </c:pt>
                <c:pt idx="29">
                  <c:v>190.87</c:v>
                </c:pt>
                <c:pt idx="30">
                  <c:v>190.93</c:v>
                </c:pt>
                <c:pt idx="31">
                  <c:v>190.83</c:v>
                </c:pt>
                <c:pt idx="32">
                  <c:v>190.82</c:v>
                </c:pt>
                <c:pt idx="33">
                  <c:v>190.86</c:v>
                </c:pt>
                <c:pt idx="34">
                  <c:v>190.84</c:v>
                </c:pt>
                <c:pt idx="35">
                  <c:v>190.81</c:v>
                </c:pt>
                <c:pt idx="36">
                  <c:v>190.8</c:v>
                </c:pt>
                <c:pt idx="37">
                  <c:v>190.9</c:v>
                </c:pt>
                <c:pt idx="38">
                  <c:v>191.33</c:v>
                </c:pt>
                <c:pt idx="39">
                  <c:v>192.56</c:v>
                </c:pt>
                <c:pt idx="40">
                  <c:v>193.75</c:v>
                </c:pt>
                <c:pt idx="41">
                  <c:v>194.93</c:v>
                </c:pt>
                <c:pt idx="42">
                  <c:v>196.03</c:v>
                </c:pt>
                <c:pt idx="43">
                  <c:v>197.18</c:v>
                </c:pt>
                <c:pt idx="44">
                  <c:v>198.21</c:v>
                </c:pt>
                <c:pt idx="45">
                  <c:v>199.33</c:v>
                </c:pt>
                <c:pt idx="46">
                  <c:v>200.01</c:v>
                </c:pt>
                <c:pt idx="47">
                  <c:v>200.29</c:v>
                </c:pt>
                <c:pt idx="48">
                  <c:v>200.54</c:v>
                </c:pt>
                <c:pt idx="49">
                  <c:v>200.75</c:v>
                </c:pt>
                <c:pt idx="50">
                  <c:v>201.01</c:v>
                </c:pt>
                <c:pt idx="51">
                  <c:v>201.33</c:v>
                </c:pt>
                <c:pt idx="52">
                  <c:v>201.46</c:v>
                </c:pt>
                <c:pt idx="53">
                  <c:v>201.37</c:v>
                </c:pt>
                <c:pt idx="54">
                  <c:v>201.3</c:v>
                </c:pt>
                <c:pt idx="55">
                  <c:v>201.19</c:v>
                </c:pt>
                <c:pt idx="56">
                  <c:v>201.13</c:v>
                </c:pt>
                <c:pt idx="57">
                  <c:v>201.03</c:v>
                </c:pt>
                <c:pt idx="58">
                  <c:v>201.08</c:v>
                </c:pt>
                <c:pt idx="59">
                  <c:v>201.09</c:v>
                </c:pt>
                <c:pt idx="60">
                  <c:v>201.08</c:v>
                </c:pt>
                <c:pt idx="61">
                  <c:v>201.07</c:v>
                </c:pt>
                <c:pt idx="62">
                  <c:v>201.03</c:v>
                </c:pt>
                <c:pt idx="63">
                  <c:v>201.03</c:v>
                </c:pt>
                <c:pt idx="64">
                  <c:v>201</c:v>
                </c:pt>
                <c:pt idx="65">
                  <c:v>201.03</c:v>
                </c:pt>
                <c:pt idx="66">
                  <c:v>201.04</c:v>
                </c:pt>
                <c:pt idx="67">
                  <c:v>200.99</c:v>
                </c:pt>
                <c:pt idx="68">
                  <c:v>201.01</c:v>
                </c:pt>
                <c:pt idx="69">
                  <c:v>200.98</c:v>
                </c:pt>
                <c:pt idx="70">
                  <c:v>200.96</c:v>
                </c:pt>
                <c:pt idx="71">
                  <c:v>200.96</c:v>
                </c:pt>
                <c:pt idx="72">
                  <c:v>201.01</c:v>
                </c:pt>
                <c:pt idx="73">
                  <c:v>201.05</c:v>
                </c:pt>
                <c:pt idx="74">
                  <c:v>200.99</c:v>
                </c:pt>
                <c:pt idx="75">
                  <c:v>201.08</c:v>
                </c:pt>
                <c:pt idx="76">
                  <c:v>200.95</c:v>
                </c:pt>
                <c:pt idx="77">
                  <c:v>201.02</c:v>
                </c:pt>
                <c:pt idx="78">
                  <c:v>201.02</c:v>
                </c:pt>
                <c:pt idx="79">
                  <c:v>201.01</c:v>
                </c:pt>
                <c:pt idx="80">
                  <c:v>201.01</c:v>
                </c:pt>
                <c:pt idx="81">
                  <c:v>200.94</c:v>
                </c:pt>
                <c:pt idx="82">
                  <c:v>201.09</c:v>
                </c:pt>
                <c:pt idx="83">
                  <c:v>201.02</c:v>
                </c:pt>
                <c:pt idx="84">
                  <c:v>200.94</c:v>
                </c:pt>
                <c:pt idx="85">
                  <c:v>200.98</c:v>
                </c:pt>
                <c:pt idx="86">
                  <c:v>200.97</c:v>
                </c:pt>
                <c:pt idx="87">
                  <c:v>201.07</c:v>
                </c:pt>
                <c:pt idx="88">
                  <c:v>201.01</c:v>
                </c:pt>
                <c:pt idx="89">
                  <c:v>200.95</c:v>
                </c:pt>
                <c:pt idx="90">
                  <c:v>201.03</c:v>
                </c:pt>
                <c:pt idx="91">
                  <c:v>200.99</c:v>
                </c:pt>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200'!$C$2:$C$93</c:f>
              <c:numCache>
                <c:formatCode>General</c:formatCode>
                <c:ptCount val="92"/>
                <c:pt idx="0">
                  <c:v>159.86000000000001</c:v>
                </c:pt>
                <c:pt idx="1">
                  <c:v>164.64</c:v>
                </c:pt>
                <c:pt idx="2">
                  <c:v>168.97</c:v>
                </c:pt>
                <c:pt idx="3">
                  <c:v>173.62</c:v>
                </c:pt>
                <c:pt idx="4">
                  <c:v>177.98</c:v>
                </c:pt>
                <c:pt idx="5">
                  <c:v>182.39</c:v>
                </c:pt>
                <c:pt idx="6">
                  <c:v>186.48</c:v>
                </c:pt>
                <c:pt idx="7">
                  <c:v>189.01</c:v>
                </c:pt>
                <c:pt idx="8">
                  <c:v>189.81</c:v>
                </c:pt>
                <c:pt idx="9">
                  <c:v>190.01</c:v>
                </c:pt>
                <c:pt idx="10">
                  <c:v>190.38</c:v>
                </c:pt>
                <c:pt idx="11">
                  <c:v>190.64</c:v>
                </c:pt>
                <c:pt idx="12">
                  <c:v>190.56</c:v>
                </c:pt>
                <c:pt idx="13">
                  <c:v>190.5</c:v>
                </c:pt>
                <c:pt idx="14">
                  <c:v>190.54</c:v>
                </c:pt>
                <c:pt idx="15">
                  <c:v>190.52</c:v>
                </c:pt>
                <c:pt idx="16">
                  <c:v>190.53</c:v>
                </c:pt>
                <c:pt idx="17">
                  <c:v>190.55</c:v>
                </c:pt>
                <c:pt idx="18">
                  <c:v>190.54</c:v>
                </c:pt>
                <c:pt idx="19">
                  <c:v>190.54</c:v>
                </c:pt>
                <c:pt idx="20">
                  <c:v>190.57</c:v>
                </c:pt>
                <c:pt idx="21">
                  <c:v>190.59</c:v>
                </c:pt>
                <c:pt idx="22">
                  <c:v>190.55</c:v>
                </c:pt>
                <c:pt idx="23">
                  <c:v>190.53</c:v>
                </c:pt>
                <c:pt idx="24">
                  <c:v>190.58</c:v>
                </c:pt>
                <c:pt idx="25">
                  <c:v>190.61</c:v>
                </c:pt>
                <c:pt idx="26">
                  <c:v>190.58</c:v>
                </c:pt>
                <c:pt idx="27">
                  <c:v>190.61</c:v>
                </c:pt>
                <c:pt idx="28">
                  <c:v>190.63</c:v>
                </c:pt>
                <c:pt idx="29">
                  <c:v>190.65</c:v>
                </c:pt>
                <c:pt idx="30">
                  <c:v>190.67</c:v>
                </c:pt>
                <c:pt idx="31">
                  <c:v>190.61</c:v>
                </c:pt>
                <c:pt idx="32">
                  <c:v>190.64</c:v>
                </c:pt>
                <c:pt idx="33">
                  <c:v>190.65</c:v>
                </c:pt>
                <c:pt idx="34">
                  <c:v>190.65</c:v>
                </c:pt>
                <c:pt idx="35">
                  <c:v>190.63</c:v>
                </c:pt>
                <c:pt idx="36">
                  <c:v>190.65</c:v>
                </c:pt>
                <c:pt idx="37">
                  <c:v>190.71</c:v>
                </c:pt>
                <c:pt idx="38">
                  <c:v>191.1</c:v>
                </c:pt>
                <c:pt idx="39">
                  <c:v>192.24</c:v>
                </c:pt>
                <c:pt idx="40">
                  <c:v>193.42</c:v>
                </c:pt>
                <c:pt idx="41">
                  <c:v>194.57</c:v>
                </c:pt>
                <c:pt idx="42">
                  <c:v>195.68</c:v>
                </c:pt>
                <c:pt idx="43">
                  <c:v>196.8</c:v>
                </c:pt>
                <c:pt idx="44">
                  <c:v>197.81</c:v>
                </c:pt>
                <c:pt idx="45">
                  <c:v>198.91</c:v>
                </c:pt>
                <c:pt idx="46">
                  <c:v>199.71</c:v>
                </c:pt>
                <c:pt idx="47">
                  <c:v>199.97</c:v>
                </c:pt>
                <c:pt idx="48">
                  <c:v>200.23</c:v>
                </c:pt>
                <c:pt idx="49">
                  <c:v>200.43</c:v>
                </c:pt>
                <c:pt idx="50">
                  <c:v>200.74</c:v>
                </c:pt>
                <c:pt idx="51">
                  <c:v>201.02</c:v>
                </c:pt>
                <c:pt idx="52">
                  <c:v>201.16</c:v>
                </c:pt>
                <c:pt idx="53">
                  <c:v>201.13</c:v>
                </c:pt>
                <c:pt idx="54">
                  <c:v>201.01</c:v>
                </c:pt>
                <c:pt idx="55">
                  <c:v>200.98</c:v>
                </c:pt>
                <c:pt idx="56">
                  <c:v>200.92</c:v>
                </c:pt>
                <c:pt idx="57">
                  <c:v>200.87</c:v>
                </c:pt>
                <c:pt idx="58">
                  <c:v>200.91</c:v>
                </c:pt>
                <c:pt idx="59">
                  <c:v>200.87</c:v>
                </c:pt>
                <c:pt idx="60">
                  <c:v>200.88</c:v>
                </c:pt>
                <c:pt idx="61">
                  <c:v>200.87</c:v>
                </c:pt>
                <c:pt idx="62">
                  <c:v>200.85</c:v>
                </c:pt>
                <c:pt idx="63">
                  <c:v>200.83</c:v>
                </c:pt>
                <c:pt idx="64">
                  <c:v>200.79</c:v>
                </c:pt>
                <c:pt idx="65">
                  <c:v>200.85</c:v>
                </c:pt>
                <c:pt idx="66">
                  <c:v>200.86</c:v>
                </c:pt>
                <c:pt idx="67">
                  <c:v>200.85</c:v>
                </c:pt>
                <c:pt idx="68">
                  <c:v>200.86</c:v>
                </c:pt>
                <c:pt idx="69">
                  <c:v>200.8</c:v>
                </c:pt>
                <c:pt idx="70">
                  <c:v>200.78</c:v>
                </c:pt>
                <c:pt idx="71">
                  <c:v>200.83</c:v>
                </c:pt>
                <c:pt idx="72">
                  <c:v>200.83</c:v>
                </c:pt>
                <c:pt idx="73">
                  <c:v>200.84</c:v>
                </c:pt>
                <c:pt idx="74">
                  <c:v>200.85</c:v>
                </c:pt>
                <c:pt idx="75">
                  <c:v>200.82</c:v>
                </c:pt>
                <c:pt idx="76">
                  <c:v>200.8</c:v>
                </c:pt>
                <c:pt idx="77">
                  <c:v>200.83</c:v>
                </c:pt>
                <c:pt idx="78">
                  <c:v>200.87</c:v>
                </c:pt>
                <c:pt idx="79">
                  <c:v>200.83</c:v>
                </c:pt>
                <c:pt idx="80">
                  <c:v>200.83</c:v>
                </c:pt>
                <c:pt idx="81">
                  <c:v>200.79</c:v>
                </c:pt>
                <c:pt idx="82">
                  <c:v>200.92</c:v>
                </c:pt>
                <c:pt idx="83">
                  <c:v>200.84</c:v>
                </c:pt>
                <c:pt idx="84">
                  <c:v>200.79</c:v>
                </c:pt>
                <c:pt idx="85">
                  <c:v>200.82</c:v>
                </c:pt>
                <c:pt idx="86">
                  <c:v>200.82</c:v>
                </c:pt>
                <c:pt idx="87">
                  <c:v>200.91</c:v>
                </c:pt>
                <c:pt idx="88">
                  <c:v>200.87</c:v>
                </c:pt>
                <c:pt idx="89">
                  <c:v>200.82</c:v>
                </c:pt>
                <c:pt idx="90">
                  <c:v>200.87</c:v>
                </c:pt>
                <c:pt idx="91">
                  <c:v>200.79</c:v>
                </c:pt>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200'!$D$2:$D$93</c:f>
              <c:numCache>
                <c:formatCode>General</c:formatCode>
                <c:ptCount val="92"/>
                <c:pt idx="0">
                  <c:v>160.16999999999999</c:v>
                </c:pt>
                <c:pt idx="1">
                  <c:v>164.76</c:v>
                </c:pt>
                <c:pt idx="2">
                  <c:v>169.28</c:v>
                </c:pt>
                <c:pt idx="3">
                  <c:v>173.71</c:v>
                </c:pt>
                <c:pt idx="4">
                  <c:v>178.11</c:v>
                </c:pt>
                <c:pt idx="5">
                  <c:v>182.53</c:v>
                </c:pt>
                <c:pt idx="6">
                  <c:v>186.78</c:v>
                </c:pt>
                <c:pt idx="7">
                  <c:v>189.02</c:v>
                </c:pt>
                <c:pt idx="8">
                  <c:v>189.79</c:v>
                </c:pt>
                <c:pt idx="9">
                  <c:v>189.93</c:v>
                </c:pt>
                <c:pt idx="10">
                  <c:v>190.25</c:v>
                </c:pt>
                <c:pt idx="11">
                  <c:v>190.42</c:v>
                </c:pt>
                <c:pt idx="12">
                  <c:v>190.39</c:v>
                </c:pt>
                <c:pt idx="13">
                  <c:v>190.4</c:v>
                </c:pt>
                <c:pt idx="14">
                  <c:v>190.45</c:v>
                </c:pt>
                <c:pt idx="15">
                  <c:v>190.36</c:v>
                </c:pt>
                <c:pt idx="16">
                  <c:v>190.33</c:v>
                </c:pt>
                <c:pt idx="17">
                  <c:v>190.41</c:v>
                </c:pt>
                <c:pt idx="18">
                  <c:v>190.4</c:v>
                </c:pt>
                <c:pt idx="19">
                  <c:v>190.42</c:v>
                </c:pt>
                <c:pt idx="20">
                  <c:v>190.47</c:v>
                </c:pt>
                <c:pt idx="21">
                  <c:v>190.47</c:v>
                </c:pt>
                <c:pt idx="22">
                  <c:v>190.39</c:v>
                </c:pt>
                <c:pt idx="23">
                  <c:v>190.4</c:v>
                </c:pt>
                <c:pt idx="24">
                  <c:v>190.43</c:v>
                </c:pt>
                <c:pt idx="25">
                  <c:v>190.5</c:v>
                </c:pt>
                <c:pt idx="26">
                  <c:v>190.48</c:v>
                </c:pt>
                <c:pt idx="27">
                  <c:v>190.46</c:v>
                </c:pt>
                <c:pt idx="28">
                  <c:v>190.51</c:v>
                </c:pt>
                <c:pt idx="29">
                  <c:v>190.51</c:v>
                </c:pt>
                <c:pt idx="30">
                  <c:v>190.57</c:v>
                </c:pt>
                <c:pt idx="31">
                  <c:v>190.48</c:v>
                </c:pt>
                <c:pt idx="32">
                  <c:v>190.48</c:v>
                </c:pt>
                <c:pt idx="33">
                  <c:v>190.53</c:v>
                </c:pt>
                <c:pt idx="34">
                  <c:v>190.53</c:v>
                </c:pt>
                <c:pt idx="35">
                  <c:v>190.47</c:v>
                </c:pt>
                <c:pt idx="36">
                  <c:v>190.51</c:v>
                </c:pt>
                <c:pt idx="37">
                  <c:v>190.57</c:v>
                </c:pt>
                <c:pt idx="38">
                  <c:v>191.02</c:v>
                </c:pt>
                <c:pt idx="39">
                  <c:v>192.14</c:v>
                </c:pt>
                <c:pt idx="40">
                  <c:v>193.41</c:v>
                </c:pt>
                <c:pt idx="41">
                  <c:v>194.51</c:v>
                </c:pt>
                <c:pt idx="42">
                  <c:v>195.6</c:v>
                </c:pt>
                <c:pt idx="43">
                  <c:v>196.72</c:v>
                </c:pt>
                <c:pt idx="44">
                  <c:v>197.78</c:v>
                </c:pt>
                <c:pt idx="45">
                  <c:v>198.89</c:v>
                </c:pt>
                <c:pt idx="46">
                  <c:v>199.6</c:v>
                </c:pt>
                <c:pt idx="47">
                  <c:v>199.83</c:v>
                </c:pt>
                <c:pt idx="48">
                  <c:v>200.11</c:v>
                </c:pt>
                <c:pt idx="49">
                  <c:v>200.31</c:v>
                </c:pt>
                <c:pt idx="50">
                  <c:v>200.59</c:v>
                </c:pt>
                <c:pt idx="51">
                  <c:v>200.9</c:v>
                </c:pt>
                <c:pt idx="52">
                  <c:v>201.07</c:v>
                </c:pt>
                <c:pt idx="53">
                  <c:v>200.95</c:v>
                </c:pt>
                <c:pt idx="54">
                  <c:v>200.85</c:v>
                </c:pt>
                <c:pt idx="55">
                  <c:v>200.85</c:v>
                </c:pt>
                <c:pt idx="56">
                  <c:v>200.79</c:v>
                </c:pt>
                <c:pt idx="57">
                  <c:v>200.72</c:v>
                </c:pt>
                <c:pt idx="58">
                  <c:v>200.73</c:v>
                </c:pt>
                <c:pt idx="59">
                  <c:v>200.77</c:v>
                </c:pt>
                <c:pt idx="60">
                  <c:v>200.74</c:v>
                </c:pt>
                <c:pt idx="61">
                  <c:v>200.71</c:v>
                </c:pt>
                <c:pt idx="62">
                  <c:v>200.73</c:v>
                </c:pt>
                <c:pt idx="63">
                  <c:v>200.7</c:v>
                </c:pt>
                <c:pt idx="64">
                  <c:v>200.68</c:v>
                </c:pt>
                <c:pt idx="65">
                  <c:v>200.74</c:v>
                </c:pt>
                <c:pt idx="66">
                  <c:v>200.73</c:v>
                </c:pt>
                <c:pt idx="67">
                  <c:v>200.72</c:v>
                </c:pt>
                <c:pt idx="68">
                  <c:v>200.75</c:v>
                </c:pt>
                <c:pt idx="69">
                  <c:v>200.68</c:v>
                </c:pt>
                <c:pt idx="70">
                  <c:v>200.69</c:v>
                </c:pt>
                <c:pt idx="71">
                  <c:v>200.7</c:v>
                </c:pt>
                <c:pt idx="72">
                  <c:v>200.7</c:v>
                </c:pt>
                <c:pt idx="73">
                  <c:v>200.76</c:v>
                </c:pt>
                <c:pt idx="74">
                  <c:v>200.69</c:v>
                </c:pt>
                <c:pt idx="75">
                  <c:v>200.71</c:v>
                </c:pt>
                <c:pt idx="76">
                  <c:v>200.7</c:v>
                </c:pt>
                <c:pt idx="77">
                  <c:v>200.7</c:v>
                </c:pt>
                <c:pt idx="78">
                  <c:v>200.73</c:v>
                </c:pt>
                <c:pt idx="79">
                  <c:v>200.72</c:v>
                </c:pt>
                <c:pt idx="80">
                  <c:v>200.72</c:v>
                </c:pt>
                <c:pt idx="81">
                  <c:v>200.71</c:v>
                </c:pt>
                <c:pt idx="82">
                  <c:v>200.82</c:v>
                </c:pt>
                <c:pt idx="83">
                  <c:v>200.71</c:v>
                </c:pt>
                <c:pt idx="84">
                  <c:v>200.7</c:v>
                </c:pt>
                <c:pt idx="85">
                  <c:v>200.7</c:v>
                </c:pt>
                <c:pt idx="86">
                  <c:v>200.68</c:v>
                </c:pt>
                <c:pt idx="87">
                  <c:v>200.82</c:v>
                </c:pt>
                <c:pt idx="88">
                  <c:v>200.74</c:v>
                </c:pt>
                <c:pt idx="89">
                  <c:v>200.73</c:v>
                </c:pt>
                <c:pt idx="90">
                  <c:v>200.74</c:v>
                </c:pt>
                <c:pt idx="91">
                  <c:v>200.72</c:v>
                </c:pt>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200'!$E$2:$E$93</c:f>
              <c:numCache>
                <c:formatCode>General</c:formatCode>
                <c:ptCount val="92"/>
                <c:pt idx="0">
                  <c:v>162.84</c:v>
                </c:pt>
                <c:pt idx="1">
                  <c:v>167.51</c:v>
                </c:pt>
                <c:pt idx="2">
                  <c:v>171.98</c:v>
                </c:pt>
                <c:pt idx="3">
                  <c:v>176.45</c:v>
                </c:pt>
                <c:pt idx="4">
                  <c:v>180.98</c:v>
                </c:pt>
                <c:pt idx="5">
                  <c:v>185.5</c:v>
                </c:pt>
                <c:pt idx="6">
                  <c:v>189.36</c:v>
                </c:pt>
                <c:pt idx="7">
                  <c:v>191.47</c:v>
                </c:pt>
                <c:pt idx="8">
                  <c:v>191.69</c:v>
                </c:pt>
                <c:pt idx="9">
                  <c:v>191.58</c:v>
                </c:pt>
                <c:pt idx="10">
                  <c:v>191.63</c:v>
                </c:pt>
                <c:pt idx="11">
                  <c:v>191.58</c:v>
                </c:pt>
                <c:pt idx="12">
                  <c:v>191.38</c:v>
                </c:pt>
                <c:pt idx="13">
                  <c:v>191.19</c:v>
                </c:pt>
                <c:pt idx="14">
                  <c:v>191.12</c:v>
                </c:pt>
                <c:pt idx="15">
                  <c:v>190.99</c:v>
                </c:pt>
                <c:pt idx="16">
                  <c:v>190.92</c:v>
                </c:pt>
                <c:pt idx="17">
                  <c:v>190.85</c:v>
                </c:pt>
                <c:pt idx="18">
                  <c:v>190.83</c:v>
                </c:pt>
                <c:pt idx="19">
                  <c:v>190.78</c:v>
                </c:pt>
                <c:pt idx="20">
                  <c:v>190.75</c:v>
                </c:pt>
                <c:pt idx="21">
                  <c:v>190.73</c:v>
                </c:pt>
                <c:pt idx="22">
                  <c:v>190.68</c:v>
                </c:pt>
                <c:pt idx="23">
                  <c:v>190.6</c:v>
                </c:pt>
                <c:pt idx="24">
                  <c:v>190.68</c:v>
                </c:pt>
                <c:pt idx="25">
                  <c:v>190.74</c:v>
                </c:pt>
                <c:pt idx="26">
                  <c:v>190.65</c:v>
                </c:pt>
                <c:pt idx="27">
                  <c:v>190.65</c:v>
                </c:pt>
                <c:pt idx="28">
                  <c:v>190.66</c:v>
                </c:pt>
                <c:pt idx="29">
                  <c:v>190.64</c:v>
                </c:pt>
                <c:pt idx="30">
                  <c:v>190.72</c:v>
                </c:pt>
                <c:pt idx="31">
                  <c:v>190.63</c:v>
                </c:pt>
                <c:pt idx="32">
                  <c:v>190.65</c:v>
                </c:pt>
                <c:pt idx="33">
                  <c:v>190.69</c:v>
                </c:pt>
                <c:pt idx="34">
                  <c:v>190.68</c:v>
                </c:pt>
                <c:pt idx="35">
                  <c:v>190.61</c:v>
                </c:pt>
                <c:pt idx="36">
                  <c:v>190.65</c:v>
                </c:pt>
                <c:pt idx="37">
                  <c:v>190.7</c:v>
                </c:pt>
                <c:pt idx="38">
                  <c:v>191.23</c:v>
                </c:pt>
                <c:pt idx="39">
                  <c:v>192.48</c:v>
                </c:pt>
                <c:pt idx="40">
                  <c:v>193.81</c:v>
                </c:pt>
                <c:pt idx="41">
                  <c:v>195.01</c:v>
                </c:pt>
                <c:pt idx="42">
                  <c:v>196.16</c:v>
                </c:pt>
                <c:pt idx="43">
                  <c:v>197.34</c:v>
                </c:pt>
                <c:pt idx="44">
                  <c:v>198.38</c:v>
                </c:pt>
                <c:pt idx="45">
                  <c:v>199.56</c:v>
                </c:pt>
                <c:pt idx="46">
                  <c:v>200.22</c:v>
                </c:pt>
                <c:pt idx="47">
                  <c:v>200.39</c:v>
                </c:pt>
                <c:pt idx="48">
                  <c:v>200.62</c:v>
                </c:pt>
                <c:pt idx="49">
                  <c:v>200.78</c:v>
                </c:pt>
                <c:pt idx="50">
                  <c:v>200.98</c:v>
                </c:pt>
                <c:pt idx="51">
                  <c:v>201.28</c:v>
                </c:pt>
                <c:pt idx="52">
                  <c:v>201.47</c:v>
                </c:pt>
                <c:pt idx="53">
                  <c:v>201.22</c:v>
                </c:pt>
                <c:pt idx="54">
                  <c:v>201.16</c:v>
                </c:pt>
                <c:pt idx="55">
                  <c:v>201.1</c:v>
                </c:pt>
                <c:pt idx="56">
                  <c:v>201</c:v>
                </c:pt>
                <c:pt idx="57">
                  <c:v>200.9</c:v>
                </c:pt>
                <c:pt idx="58">
                  <c:v>200.92</c:v>
                </c:pt>
                <c:pt idx="59">
                  <c:v>200.93</c:v>
                </c:pt>
                <c:pt idx="60">
                  <c:v>200.88</c:v>
                </c:pt>
                <c:pt idx="61">
                  <c:v>200.87</c:v>
                </c:pt>
                <c:pt idx="62">
                  <c:v>200.88</c:v>
                </c:pt>
                <c:pt idx="63">
                  <c:v>200.82</c:v>
                </c:pt>
                <c:pt idx="64">
                  <c:v>200.76</c:v>
                </c:pt>
                <c:pt idx="65">
                  <c:v>200.9</c:v>
                </c:pt>
                <c:pt idx="66">
                  <c:v>200.86</c:v>
                </c:pt>
                <c:pt idx="67">
                  <c:v>200.85</c:v>
                </c:pt>
                <c:pt idx="68">
                  <c:v>200.88</c:v>
                </c:pt>
                <c:pt idx="69">
                  <c:v>200.83</c:v>
                </c:pt>
                <c:pt idx="70">
                  <c:v>200.82</c:v>
                </c:pt>
                <c:pt idx="71">
                  <c:v>200.83</c:v>
                </c:pt>
                <c:pt idx="72">
                  <c:v>200.86</c:v>
                </c:pt>
                <c:pt idx="73">
                  <c:v>200.86</c:v>
                </c:pt>
                <c:pt idx="74">
                  <c:v>200.8</c:v>
                </c:pt>
                <c:pt idx="75">
                  <c:v>200.86</c:v>
                </c:pt>
                <c:pt idx="76">
                  <c:v>200.79</c:v>
                </c:pt>
                <c:pt idx="77">
                  <c:v>200.82</c:v>
                </c:pt>
                <c:pt idx="78">
                  <c:v>200.86</c:v>
                </c:pt>
                <c:pt idx="79">
                  <c:v>200.85</c:v>
                </c:pt>
                <c:pt idx="80">
                  <c:v>200.85</c:v>
                </c:pt>
                <c:pt idx="81">
                  <c:v>200.82</c:v>
                </c:pt>
                <c:pt idx="82">
                  <c:v>200.9</c:v>
                </c:pt>
                <c:pt idx="83">
                  <c:v>200.79</c:v>
                </c:pt>
                <c:pt idx="84">
                  <c:v>200.78</c:v>
                </c:pt>
                <c:pt idx="85">
                  <c:v>200.83</c:v>
                </c:pt>
                <c:pt idx="86">
                  <c:v>200.81</c:v>
                </c:pt>
                <c:pt idx="87">
                  <c:v>200.92</c:v>
                </c:pt>
                <c:pt idx="88">
                  <c:v>200.86</c:v>
                </c:pt>
                <c:pt idx="89">
                  <c:v>200.81</c:v>
                </c:pt>
                <c:pt idx="90">
                  <c:v>200.83</c:v>
                </c:pt>
                <c:pt idx="91">
                  <c:v>200.79</c:v>
                </c:pt>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200'!$F$2:$F$93</c:f>
              <c:numCache>
                <c:formatCode>General</c:formatCode>
                <c:ptCount val="92"/>
                <c:pt idx="0">
                  <c:v>165.68</c:v>
                </c:pt>
                <c:pt idx="1">
                  <c:v>170.11</c:v>
                </c:pt>
                <c:pt idx="2">
                  <c:v>174.72</c:v>
                </c:pt>
                <c:pt idx="3">
                  <c:v>179.15</c:v>
                </c:pt>
                <c:pt idx="4">
                  <c:v>183.4</c:v>
                </c:pt>
                <c:pt idx="5">
                  <c:v>187.89</c:v>
                </c:pt>
                <c:pt idx="6">
                  <c:v>192.23</c:v>
                </c:pt>
                <c:pt idx="7">
                  <c:v>193.33</c:v>
                </c:pt>
                <c:pt idx="8">
                  <c:v>192.99</c:v>
                </c:pt>
                <c:pt idx="9">
                  <c:v>192.44</c:v>
                </c:pt>
                <c:pt idx="10">
                  <c:v>192.09</c:v>
                </c:pt>
                <c:pt idx="11">
                  <c:v>191.69</c:v>
                </c:pt>
                <c:pt idx="12">
                  <c:v>191.12</c:v>
                </c:pt>
                <c:pt idx="13">
                  <c:v>190.85</c:v>
                </c:pt>
                <c:pt idx="14">
                  <c:v>190.55</c:v>
                </c:pt>
                <c:pt idx="15">
                  <c:v>190.29</c:v>
                </c:pt>
                <c:pt idx="16">
                  <c:v>190.08</c:v>
                </c:pt>
                <c:pt idx="17">
                  <c:v>189.89</c:v>
                </c:pt>
                <c:pt idx="18">
                  <c:v>189.83</c:v>
                </c:pt>
                <c:pt idx="19">
                  <c:v>189.62</c:v>
                </c:pt>
                <c:pt idx="20">
                  <c:v>189.6</c:v>
                </c:pt>
                <c:pt idx="21">
                  <c:v>189.55</c:v>
                </c:pt>
                <c:pt idx="22">
                  <c:v>189.42</c:v>
                </c:pt>
                <c:pt idx="23">
                  <c:v>189.34</c:v>
                </c:pt>
                <c:pt idx="24">
                  <c:v>189.37</c:v>
                </c:pt>
                <c:pt idx="25">
                  <c:v>189.28</c:v>
                </c:pt>
                <c:pt idx="26">
                  <c:v>189.32</c:v>
                </c:pt>
                <c:pt idx="27">
                  <c:v>189.37</c:v>
                </c:pt>
                <c:pt idx="28">
                  <c:v>189.28</c:v>
                </c:pt>
                <c:pt idx="29">
                  <c:v>189.31</c:v>
                </c:pt>
                <c:pt idx="30">
                  <c:v>189.23</c:v>
                </c:pt>
                <c:pt idx="31">
                  <c:v>189.2</c:v>
                </c:pt>
                <c:pt idx="32">
                  <c:v>189.07</c:v>
                </c:pt>
                <c:pt idx="33">
                  <c:v>189.18</c:v>
                </c:pt>
                <c:pt idx="34">
                  <c:v>189.12</c:v>
                </c:pt>
                <c:pt idx="35">
                  <c:v>189.02</c:v>
                </c:pt>
                <c:pt idx="36">
                  <c:v>189.11</c:v>
                </c:pt>
                <c:pt idx="37">
                  <c:v>189.11</c:v>
                </c:pt>
                <c:pt idx="38">
                  <c:v>189.78</c:v>
                </c:pt>
                <c:pt idx="39">
                  <c:v>191.25</c:v>
                </c:pt>
                <c:pt idx="40">
                  <c:v>192.68</c:v>
                </c:pt>
                <c:pt idx="41">
                  <c:v>194.01</c:v>
                </c:pt>
                <c:pt idx="42">
                  <c:v>195.29</c:v>
                </c:pt>
                <c:pt idx="43">
                  <c:v>196.43</c:v>
                </c:pt>
                <c:pt idx="44">
                  <c:v>197.58</c:v>
                </c:pt>
                <c:pt idx="45">
                  <c:v>198.61</c:v>
                </c:pt>
                <c:pt idx="46">
                  <c:v>199.29</c:v>
                </c:pt>
                <c:pt idx="47">
                  <c:v>199.27</c:v>
                </c:pt>
                <c:pt idx="48">
                  <c:v>199.51</c:v>
                </c:pt>
                <c:pt idx="49">
                  <c:v>199.66</c:v>
                </c:pt>
                <c:pt idx="50">
                  <c:v>199.78</c:v>
                </c:pt>
                <c:pt idx="51">
                  <c:v>200.05</c:v>
                </c:pt>
                <c:pt idx="52">
                  <c:v>200.01</c:v>
                </c:pt>
                <c:pt idx="53">
                  <c:v>199.9</c:v>
                </c:pt>
                <c:pt idx="54">
                  <c:v>199.62</c:v>
                </c:pt>
                <c:pt idx="55">
                  <c:v>199.56</c:v>
                </c:pt>
                <c:pt idx="56">
                  <c:v>199.4</c:v>
                </c:pt>
                <c:pt idx="57">
                  <c:v>199.33</c:v>
                </c:pt>
                <c:pt idx="58">
                  <c:v>199.4</c:v>
                </c:pt>
                <c:pt idx="59">
                  <c:v>199.37</c:v>
                </c:pt>
                <c:pt idx="60">
                  <c:v>199.27</c:v>
                </c:pt>
                <c:pt idx="61">
                  <c:v>199.19</c:v>
                </c:pt>
                <c:pt idx="62">
                  <c:v>199.21</c:v>
                </c:pt>
                <c:pt idx="63">
                  <c:v>199.04</c:v>
                </c:pt>
                <c:pt idx="64">
                  <c:v>199.19</c:v>
                </c:pt>
                <c:pt idx="65">
                  <c:v>199.19</c:v>
                </c:pt>
                <c:pt idx="66">
                  <c:v>199.26</c:v>
                </c:pt>
                <c:pt idx="67">
                  <c:v>199.18</c:v>
                </c:pt>
                <c:pt idx="68">
                  <c:v>199.2</c:v>
                </c:pt>
                <c:pt idx="69">
                  <c:v>199.11</c:v>
                </c:pt>
                <c:pt idx="70">
                  <c:v>199.06</c:v>
                </c:pt>
                <c:pt idx="71">
                  <c:v>199.22</c:v>
                </c:pt>
                <c:pt idx="72">
                  <c:v>199.2</c:v>
                </c:pt>
                <c:pt idx="73">
                  <c:v>199.23</c:v>
                </c:pt>
                <c:pt idx="74">
                  <c:v>199.16</c:v>
                </c:pt>
                <c:pt idx="75">
                  <c:v>199.21</c:v>
                </c:pt>
                <c:pt idx="76">
                  <c:v>199.13</c:v>
                </c:pt>
                <c:pt idx="77">
                  <c:v>199.1</c:v>
                </c:pt>
                <c:pt idx="78">
                  <c:v>199.22</c:v>
                </c:pt>
                <c:pt idx="79">
                  <c:v>199.22</c:v>
                </c:pt>
                <c:pt idx="80">
                  <c:v>199.16</c:v>
                </c:pt>
                <c:pt idx="81">
                  <c:v>199.14</c:v>
                </c:pt>
                <c:pt idx="82">
                  <c:v>199.21</c:v>
                </c:pt>
                <c:pt idx="83">
                  <c:v>199</c:v>
                </c:pt>
                <c:pt idx="84">
                  <c:v>199.17</c:v>
                </c:pt>
                <c:pt idx="85">
                  <c:v>199.22</c:v>
                </c:pt>
                <c:pt idx="86">
                  <c:v>199.18</c:v>
                </c:pt>
                <c:pt idx="87">
                  <c:v>199.23</c:v>
                </c:pt>
                <c:pt idx="88">
                  <c:v>199.14</c:v>
                </c:pt>
                <c:pt idx="89">
                  <c:v>199.14</c:v>
                </c:pt>
                <c:pt idx="90">
                  <c:v>199.18</c:v>
                </c:pt>
                <c:pt idx="91">
                  <c:v>199.11</c:v>
                </c:pt>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200'!$G$2:$G$93</c:f>
              <c:numCache>
                <c:formatCode>General</c:formatCode>
                <c:ptCount val="92"/>
                <c:pt idx="0">
                  <c:v>164.69</c:v>
                </c:pt>
                <c:pt idx="1">
                  <c:v>169.31</c:v>
                </c:pt>
                <c:pt idx="2">
                  <c:v>173.82</c:v>
                </c:pt>
                <c:pt idx="3">
                  <c:v>178.38</c:v>
                </c:pt>
                <c:pt idx="4">
                  <c:v>183.06</c:v>
                </c:pt>
                <c:pt idx="5">
                  <c:v>187.26</c:v>
                </c:pt>
                <c:pt idx="6">
                  <c:v>191.89</c:v>
                </c:pt>
                <c:pt idx="7">
                  <c:v>193.2</c:v>
                </c:pt>
                <c:pt idx="8">
                  <c:v>193.43</c:v>
                </c:pt>
                <c:pt idx="9">
                  <c:v>193.45</c:v>
                </c:pt>
                <c:pt idx="10">
                  <c:v>193.29</c:v>
                </c:pt>
                <c:pt idx="11">
                  <c:v>193.31</c:v>
                </c:pt>
                <c:pt idx="12">
                  <c:v>193.03</c:v>
                </c:pt>
                <c:pt idx="13">
                  <c:v>192.78</c:v>
                </c:pt>
                <c:pt idx="14">
                  <c:v>192.68</c:v>
                </c:pt>
                <c:pt idx="15">
                  <c:v>192.49</c:v>
                </c:pt>
                <c:pt idx="16">
                  <c:v>192.31</c:v>
                </c:pt>
                <c:pt idx="17">
                  <c:v>192.25</c:v>
                </c:pt>
                <c:pt idx="18">
                  <c:v>192.13</c:v>
                </c:pt>
                <c:pt idx="19">
                  <c:v>192.05</c:v>
                </c:pt>
                <c:pt idx="20">
                  <c:v>192.03</c:v>
                </c:pt>
                <c:pt idx="21">
                  <c:v>191.94</c:v>
                </c:pt>
                <c:pt idx="22">
                  <c:v>191.82</c:v>
                </c:pt>
                <c:pt idx="23">
                  <c:v>191.8</c:v>
                </c:pt>
                <c:pt idx="24">
                  <c:v>191.81</c:v>
                </c:pt>
                <c:pt idx="25">
                  <c:v>191.79</c:v>
                </c:pt>
                <c:pt idx="26">
                  <c:v>191.72</c:v>
                </c:pt>
                <c:pt idx="27">
                  <c:v>191.76</c:v>
                </c:pt>
                <c:pt idx="28">
                  <c:v>191.7</c:v>
                </c:pt>
                <c:pt idx="29">
                  <c:v>191.68</c:v>
                </c:pt>
                <c:pt idx="30">
                  <c:v>191.68</c:v>
                </c:pt>
                <c:pt idx="31">
                  <c:v>191.57</c:v>
                </c:pt>
                <c:pt idx="32">
                  <c:v>191.56</c:v>
                </c:pt>
                <c:pt idx="33">
                  <c:v>191.58</c:v>
                </c:pt>
                <c:pt idx="34">
                  <c:v>191.57</c:v>
                </c:pt>
                <c:pt idx="35">
                  <c:v>191.52</c:v>
                </c:pt>
                <c:pt idx="36">
                  <c:v>191.53</c:v>
                </c:pt>
                <c:pt idx="37">
                  <c:v>191.57</c:v>
                </c:pt>
                <c:pt idx="38">
                  <c:v>192.16</c:v>
                </c:pt>
                <c:pt idx="39">
                  <c:v>193.49</c:v>
                </c:pt>
                <c:pt idx="40">
                  <c:v>194.88</c:v>
                </c:pt>
                <c:pt idx="41">
                  <c:v>196.06</c:v>
                </c:pt>
                <c:pt idx="42">
                  <c:v>197.31</c:v>
                </c:pt>
                <c:pt idx="43">
                  <c:v>198.47</c:v>
                </c:pt>
                <c:pt idx="44">
                  <c:v>199.46</c:v>
                </c:pt>
                <c:pt idx="45">
                  <c:v>200.62</c:v>
                </c:pt>
                <c:pt idx="46">
                  <c:v>201.25</c:v>
                </c:pt>
                <c:pt idx="47">
                  <c:v>201.34</c:v>
                </c:pt>
                <c:pt idx="48">
                  <c:v>201.61</c:v>
                </c:pt>
                <c:pt idx="49">
                  <c:v>201.74</c:v>
                </c:pt>
                <c:pt idx="50">
                  <c:v>201.99</c:v>
                </c:pt>
                <c:pt idx="51">
                  <c:v>202.27</c:v>
                </c:pt>
                <c:pt idx="52">
                  <c:v>202.3</c:v>
                </c:pt>
                <c:pt idx="53">
                  <c:v>202.16</c:v>
                </c:pt>
                <c:pt idx="54">
                  <c:v>201.99</c:v>
                </c:pt>
                <c:pt idx="55">
                  <c:v>201.95</c:v>
                </c:pt>
                <c:pt idx="56">
                  <c:v>201.87</c:v>
                </c:pt>
                <c:pt idx="57">
                  <c:v>201.75</c:v>
                </c:pt>
                <c:pt idx="58">
                  <c:v>201.72</c:v>
                </c:pt>
                <c:pt idx="59">
                  <c:v>201.73</c:v>
                </c:pt>
                <c:pt idx="60">
                  <c:v>201.72</c:v>
                </c:pt>
                <c:pt idx="61">
                  <c:v>201.67</c:v>
                </c:pt>
                <c:pt idx="62">
                  <c:v>201.67</c:v>
                </c:pt>
                <c:pt idx="63">
                  <c:v>201.6</c:v>
                </c:pt>
                <c:pt idx="64">
                  <c:v>201.62</c:v>
                </c:pt>
                <c:pt idx="65">
                  <c:v>201.65</c:v>
                </c:pt>
                <c:pt idx="66">
                  <c:v>201.67</c:v>
                </c:pt>
                <c:pt idx="67">
                  <c:v>201.61</c:v>
                </c:pt>
                <c:pt idx="68">
                  <c:v>201.62</c:v>
                </c:pt>
                <c:pt idx="69">
                  <c:v>201.56</c:v>
                </c:pt>
                <c:pt idx="70">
                  <c:v>201.52</c:v>
                </c:pt>
                <c:pt idx="71">
                  <c:v>201.56</c:v>
                </c:pt>
                <c:pt idx="72">
                  <c:v>201.57</c:v>
                </c:pt>
                <c:pt idx="73">
                  <c:v>201.59</c:v>
                </c:pt>
                <c:pt idx="74">
                  <c:v>201.56</c:v>
                </c:pt>
                <c:pt idx="75">
                  <c:v>201.55</c:v>
                </c:pt>
                <c:pt idx="76">
                  <c:v>201.49</c:v>
                </c:pt>
                <c:pt idx="77">
                  <c:v>201.53</c:v>
                </c:pt>
                <c:pt idx="78">
                  <c:v>201.51</c:v>
                </c:pt>
                <c:pt idx="79">
                  <c:v>201.56</c:v>
                </c:pt>
                <c:pt idx="80">
                  <c:v>201.53</c:v>
                </c:pt>
                <c:pt idx="81">
                  <c:v>201.54</c:v>
                </c:pt>
                <c:pt idx="82">
                  <c:v>201.6</c:v>
                </c:pt>
                <c:pt idx="83">
                  <c:v>201.5</c:v>
                </c:pt>
                <c:pt idx="84">
                  <c:v>201.52</c:v>
                </c:pt>
                <c:pt idx="85">
                  <c:v>201.54</c:v>
                </c:pt>
                <c:pt idx="86">
                  <c:v>201.5</c:v>
                </c:pt>
                <c:pt idx="87">
                  <c:v>201.57</c:v>
                </c:pt>
                <c:pt idx="88">
                  <c:v>201.54</c:v>
                </c:pt>
                <c:pt idx="89">
                  <c:v>201.53</c:v>
                </c:pt>
                <c:pt idx="90">
                  <c:v>201.54</c:v>
                </c:pt>
                <c:pt idx="91">
                  <c:v>201.54</c:v>
                </c:pt>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200'!$H$2:$H$93</c:f>
              <c:numCache>
                <c:formatCode>General</c:formatCode>
                <c:ptCount val="92"/>
                <c:pt idx="0">
                  <c:v>163.44999999999999</c:v>
                </c:pt>
                <c:pt idx="1">
                  <c:v>167.91</c:v>
                </c:pt>
                <c:pt idx="2">
                  <c:v>172.48</c:v>
                </c:pt>
                <c:pt idx="3">
                  <c:v>176.86</c:v>
                </c:pt>
                <c:pt idx="4">
                  <c:v>181.33</c:v>
                </c:pt>
                <c:pt idx="5">
                  <c:v>185.75</c:v>
                </c:pt>
                <c:pt idx="6">
                  <c:v>190.04</c:v>
                </c:pt>
                <c:pt idx="7">
                  <c:v>192.06</c:v>
                </c:pt>
                <c:pt idx="8">
                  <c:v>192.46</c:v>
                </c:pt>
                <c:pt idx="9">
                  <c:v>192.6</c:v>
                </c:pt>
                <c:pt idx="10">
                  <c:v>192.5</c:v>
                </c:pt>
                <c:pt idx="11">
                  <c:v>192.43</c:v>
                </c:pt>
                <c:pt idx="12">
                  <c:v>192.24</c:v>
                </c:pt>
                <c:pt idx="13">
                  <c:v>192.07</c:v>
                </c:pt>
                <c:pt idx="14">
                  <c:v>191.93</c:v>
                </c:pt>
                <c:pt idx="15">
                  <c:v>191.74</c:v>
                </c:pt>
                <c:pt idx="16">
                  <c:v>191.66</c:v>
                </c:pt>
                <c:pt idx="17">
                  <c:v>191.58</c:v>
                </c:pt>
                <c:pt idx="18">
                  <c:v>191.46</c:v>
                </c:pt>
                <c:pt idx="19">
                  <c:v>191.41</c:v>
                </c:pt>
                <c:pt idx="20">
                  <c:v>191.35</c:v>
                </c:pt>
                <c:pt idx="21">
                  <c:v>191.33</c:v>
                </c:pt>
                <c:pt idx="22">
                  <c:v>191.24</c:v>
                </c:pt>
                <c:pt idx="23">
                  <c:v>191.17</c:v>
                </c:pt>
                <c:pt idx="24">
                  <c:v>191.18</c:v>
                </c:pt>
                <c:pt idx="25">
                  <c:v>191.22</c:v>
                </c:pt>
                <c:pt idx="26">
                  <c:v>191.12</c:v>
                </c:pt>
                <c:pt idx="27">
                  <c:v>191.13</c:v>
                </c:pt>
                <c:pt idx="28">
                  <c:v>191.11</c:v>
                </c:pt>
                <c:pt idx="29">
                  <c:v>191.13</c:v>
                </c:pt>
                <c:pt idx="30">
                  <c:v>191.1</c:v>
                </c:pt>
                <c:pt idx="31">
                  <c:v>191.01</c:v>
                </c:pt>
                <c:pt idx="32">
                  <c:v>191.08</c:v>
                </c:pt>
                <c:pt idx="33">
                  <c:v>191.05</c:v>
                </c:pt>
                <c:pt idx="34">
                  <c:v>191.06</c:v>
                </c:pt>
                <c:pt idx="35">
                  <c:v>191.02</c:v>
                </c:pt>
                <c:pt idx="36">
                  <c:v>190.98</c:v>
                </c:pt>
                <c:pt idx="37">
                  <c:v>191.08</c:v>
                </c:pt>
                <c:pt idx="38">
                  <c:v>191.52</c:v>
                </c:pt>
                <c:pt idx="39">
                  <c:v>192.79</c:v>
                </c:pt>
                <c:pt idx="40">
                  <c:v>194.17</c:v>
                </c:pt>
                <c:pt idx="41">
                  <c:v>195.36</c:v>
                </c:pt>
                <c:pt idx="42">
                  <c:v>196.54</c:v>
                </c:pt>
                <c:pt idx="43">
                  <c:v>197.76</c:v>
                </c:pt>
                <c:pt idx="44">
                  <c:v>198.79</c:v>
                </c:pt>
                <c:pt idx="45">
                  <c:v>199.9</c:v>
                </c:pt>
                <c:pt idx="46">
                  <c:v>200.62</c:v>
                </c:pt>
                <c:pt idx="47">
                  <c:v>200.83</c:v>
                </c:pt>
                <c:pt idx="48">
                  <c:v>201.04</c:v>
                </c:pt>
                <c:pt idx="49">
                  <c:v>201.2</c:v>
                </c:pt>
                <c:pt idx="50">
                  <c:v>201.41</c:v>
                </c:pt>
                <c:pt idx="51">
                  <c:v>201.68</c:v>
                </c:pt>
                <c:pt idx="52">
                  <c:v>201.83</c:v>
                </c:pt>
                <c:pt idx="53">
                  <c:v>201.68</c:v>
                </c:pt>
                <c:pt idx="54">
                  <c:v>201.48</c:v>
                </c:pt>
                <c:pt idx="55">
                  <c:v>201.46</c:v>
                </c:pt>
                <c:pt idx="56">
                  <c:v>201.36</c:v>
                </c:pt>
                <c:pt idx="57">
                  <c:v>201.26</c:v>
                </c:pt>
                <c:pt idx="58">
                  <c:v>201.26</c:v>
                </c:pt>
                <c:pt idx="59">
                  <c:v>201.23</c:v>
                </c:pt>
                <c:pt idx="60">
                  <c:v>201.24</c:v>
                </c:pt>
                <c:pt idx="61">
                  <c:v>201.14</c:v>
                </c:pt>
                <c:pt idx="62">
                  <c:v>201.16</c:v>
                </c:pt>
                <c:pt idx="63">
                  <c:v>201.12</c:v>
                </c:pt>
                <c:pt idx="64">
                  <c:v>201.14</c:v>
                </c:pt>
                <c:pt idx="65">
                  <c:v>201.11</c:v>
                </c:pt>
                <c:pt idx="66">
                  <c:v>201.19</c:v>
                </c:pt>
                <c:pt idx="67">
                  <c:v>201.17</c:v>
                </c:pt>
                <c:pt idx="68">
                  <c:v>201.16</c:v>
                </c:pt>
                <c:pt idx="69">
                  <c:v>201.1</c:v>
                </c:pt>
                <c:pt idx="70">
                  <c:v>201.06</c:v>
                </c:pt>
                <c:pt idx="71">
                  <c:v>201.1</c:v>
                </c:pt>
                <c:pt idx="72">
                  <c:v>201.12</c:v>
                </c:pt>
                <c:pt idx="73">
                  <c:v>201.13</c:v>
                </c:pt>
                <c:pt idx="74">
                  <c:v>201.08</c:v>
                </c:pt>
                <c:pt idx="75">
                  <c:v>201.09</c:v>
                </c:pt>
                <c:pt idx="76">
                  <c:v>201.09</c:v>
                </c:pt>
                <c:pt idx="77">
                  <c:v>201.1</c:v>
                </c:pt>
                <c:pt idx="78">
                  <c:v>201.1</c:v>
                </c:pt>
                <c:pt idx="79">
                  <c:v>201.11</c:v>
                </c:pt>
                <c:pt idx="80">
                  <c:v>201.1</c:v>
                </c:pt>
                <c:pt idx="81">
                  <c:v>201.05</c:v>
                </c:pt>
                <c:pt idx="82">
                  <c:v>201.16</c:v>
                </c:pt>
                <c:pt idx="83">
                  <c:v>201.06</c:v>
                </c:pt>
                <c:pt idx="84">
                  <c:v>201.06</c:v>
                </c:pt>
                <c:pt idx="85">
                  <c:v>201.1</c:v>
                </c:pt>
                <c:pt idx="86">
                  <c:v>201.07</c:v>
                </c:pt>
                <c:pt idx="87">
                  <c:v>201.15</c:v>
                </c:pt>
                <c:pt idx="88">
                  <c:v>201.1</c:v>
                </c:pt>
                <c:pt idx="89">
                  <c:v>201.06</c:v>
                </c:pt>
                <c:pt idx="90">
                  <c:v>201.1</c:v>
                </c:pt>
                <c:pt idx="91">
                  <c:v>201.08</c:v>
                </c:pt>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200'!$I$2:$I$93</c:f>
              <c:numCache>
                <c:formatCode>General</c:formatCode>
                <c:ptCount val="92"/>
                <c:pt idx="0">
                  <c:v>166.72</c:v>
                </c:pt>
                <c:pt idx="1">
                  <c:v>171.26</c:v>
                </c:pt>
                <c:pt idx="2">
                  <c:v>175.89</c:v>
                </c:pt>
                <c:pt idx="3">
                  <c:v>180.38</c:v>
                </c:pt>
                <c:pt idx="4">
                  <c:v>184.76</c:v>
                </c:pt>
                <c:pt idx="5">
                  <c:v>189.18</c:v>
                </c:pt>
                <c:pt idx="6">
                  <c:v>193.46</c:v>
                </c:pt>
                <c:pt idx="7">
                  <c:v>194.85</c:v>
                </c:pt>
                <c:pt idx="8">
                  <c:v>194.8</c:v>
                </c:pt>
                <c:pt idx="9">
                  <c:v>194.52</c:v>
                </c:pt>
                <c:pt idx="10">
                  <c:v>194.16</c:v>
                </c:pt>
                <c:pt idx="11">
                  <c:v>193.86</c:v>
                </c:pt>
                <c:pt idx="12">
                  <c:v>193.44</c:v>
                </c:pt>
                <c:pt idx="13">
                  <c:v>193.1</c:v>
                </c:pt>
                <c:pt idx="14">
                  <c:v>192.83</c:v>
                </c:pt>
                <c:pt idx="15">
                  <c:v>192.55</c:v>
                </c:pt>
                <c:pt idx="16">
                  <c:v>192.33</c:v>
                </c:pt>
                <c:pt idx="17">
                  <c:v>192.2</c:v>
                </c:pt>
                <c:pt idx="18">
                  <c:v>191.99</c:v>
                </c:pt>
                <c:pt idx="19">
                  <c:v>191.92</c:v>
                </c:pt>
                <c:pt idx="20">
                  <c:v>191.77</c:v>
                </c:pt>
                <c:pt idx="21">
                  <c:v>191.74</c:v>
                </c:pt>
                <c:pt idx="22">
                  <c:v>191.56</c:v>
                </c:pt>
                <c:pt idx="23">
                  <c:v>191.5</c:v>
                </c:pt>
                <c:pt idx="24">
                  <c:v>191.52</c:v>
                </c:pt>
                <c:pt idx="25">
                  <c:v>191.52</c:v>
                </c:pt>
                <c:pt idx="26">
                  <c:v>191.4</c:v>
                </c:pt>
                <c:pt idx="27">
                  <c:v>191.38</c:v>
                </c:pt>
                <c:pt idx="28">
                  <c:v>191.39</c:v>
                </c:pt>
                <c:pt idx="29">
                  <c:v>191.36</c:v>
                </c:pt>
                <c:pt idx="30">
                  <c:v>191.39</c:v>
                </c:pt>
                <c:pt idx="31">
                  <c:v>191.23</c:v>
                </c:pt>
                <c:pt idx="32">
                  <c:v>191.26</c:v>
                </c:pt>
                <c:pt idx="33">
                  <c:v>191.24</c:v>
                </c:pt>
                <c:pt idx="34">
                  <c:v>191.23</c:v>
                </c:pt>
                <c:pt idx="35">
                  <c:v>191.17</c:v>
                </c:pt>
                <c:pt idx="36">
                  <c:v>191.22</c:v>
                </c:pt>
                <c:pt idx="37">
                  <c:v>191.2</c:v>
                </c:pt>
                <c:pt idx="38">
                  <c:v>191.78</c:v>
                </c:pt>
                <c:pt idx="39">
                  <c:v>193.26</c:v>
                </c:pt>
                <c:pt idx="40">
                  <c:v>194.7</c:v>
                </c:pt>
                <c:pt idx="41">
                  <c:v>195.93</c:v>
                </c:pt>
                <c:pt idx="42">
                  <c:v>197.22</c:v>
                </c:pt>
                <c:pt idx="43">
                  <c:v>198.4</c:v>
                </c:pt>
                <c:pt idx="44">
                  <c:v>199.55</c:v>
                </c:pt>
                <c:pt idx="45">
                  <c:v>200.61</c:v>
                </c:pt>
                <c:pt idx="46">
                  <c:v>201.28</c:v>
                </c:pt>
                <c:pt idx="47">
                  <c:v>201.33</c:v>
                </c:pt>
                <c:pt idx="48">
                  <c:v>201.55</c:v>
                </c:pt>
                <c:pt idx="49">
                  <c:v>201.66</c:v>
                </c:pt>
                <c:pt idx="50">
                  <c:v>201.87</c:v>
                </c:pt>
                <c:pt idx="51">
                  <c:v>202.12</c:v>
                </c:pt>
                <c:pt idx="52">
                  <c:v>202.17</c:v>
                </c:pt>
                <c:pt idx="53">
                  <c:v>201.96</c:v>
                </c:pt>
                <c:pt idx="54">
                  <c:v>201.76</c:v>
                </c:pt>
                <c:pt idx="55">
                  <c:v>201.7</c:v>
                </c:pt>
                <c:pt idx="56">
                  <c:v>201.57</c:v>
                </c:pt>
                <c:pt idx="57">
                  <c:v>201.47</c:v>
                </c:pt>
                <c:pt idx="58">
                  <c:v>201.41</c:v>
                </c:pt>
                <c:pt idx="59">
                  <c:v>201.41</c:v>
                </c:pt>
                <c:pt idx="60">
                  <c:v>201.37</c:v>
                </c:pt>
                <c:pt idx="61">
                  <c:v>201.3</c:v>
                </c:pt>
                <c:pt idx="62">
                  <c:v>201.3</c:v>
                </c:pt>
                <c:pt idx="63">
                  <c:v>201.27</c:v>
                </c:pt>
                <c:pt idx="64">
                  <c:v>201.27</c:v>
                </c:pt>
                <c:pt idx="65">
                  <c:v>201.25</c:v>
                </c:pt>
                <c:pt idx="66">
                  <c:v>201.29</c:v>
                </c:pt>
                <c:pt idx="67">
                  <c:v>201.24</c:v>
                </c:pt>
                <c:pt idx="68">
                  <c:v>201.29</c:v>
                </c:pt>
                <c:pt idx="69">
                  <c:v>201.29</c:v>
                </c:pt>
                <c:pt idx="70">
                  <c:v>201.17</c:v>
                </c:pt>
                <c:pt idx="71">
                  <c:v>201.19</c:v>
                </c:pt>
                <c:pt idx="72">
                  <c:v>201.2</c:v>
                </c:pt>
                <c:pt idx="73">
                  <c:v>201.23</c:v>
                </c:pt>
                <c:pt idx="74">
                  <c:v>201.2</c:v>
                </c:pt>
                <c:pt idx="75">
                  <c:v>201.17</c:v>
                </c:pt>
                <c:pt idx="76">
                  <c:v>201.18</c:v>
                </c:pt>
                <c:pt idx="77">
                  <c:v>201.22</c:v>
                </c:pt>
                <c:pt idx="78">
                  <c:v>201.16</c:v>
                </c:pt>
                <c:pt idx="79">
                  <c:v>201.19</c:v>
                </c:pt>
                <c:pt idx="80">
                  <c:v>201.19</c:v>
                </c:pt>
                <c:pt idx="81">
                  <c:v>201.16</c:v>
                </c:pt>
                <c:pt idx="82">
                  <c:v>201.27</c:v>
                </c:pt>
                <c:pt idx="83">
                  <c:v>201.14</c:v>
                </c:pt>
                <c:pt idx="84">
                  <c:v>201.15</c:v>
                </c:pt>
                <c:pt idx="85">
                  <c:v>201.15</c:v>
                </c:pt>
                <c:pt idx="86">
                  <c:v>201.17</c:v>
                </c:pt>
                <c:pt idx="87">
                  <c:v>201.25</c:v>
                </c:pt>
                <c:pt idx="88">
                  <c:v>201.16</c:v>
                </c:pt>
                <c:pt idx="89">
                  <c:v>201.15</c:v>
                </c:pt>
                <c:pt idx="90">
                  <c:v>201.17</c:v>
                </c:pt>
                <c:pt idx="91">
                  <c:v>201.14</c:v>
                </c:pt>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strRef>
              <c:f>'transfert 200'!$A$2:$A$93</c:f>
              <c:strCache>
                <c:ptCount val="92"/>
                <c:pt idx="0">
                  <c:v>21/02/2024  01:06</c:v>
                </c:pt>
                <c:pt idx="1">
                  <c:v>21/02/2024  01:07</c:v>
                </c:pt>
                <c:pt idx="2">
                  <c:v>21/02/2024  01:08</c:v>
                </c:pt>
                <c:pt idx="3">
                  <c:v>21/02/2024  01:09</c:v>
                </c:pt>
                <c:pt idx="4">
                  <c:v>21/02/2024  01:10</c:v>
                </c:pt>
                <c:pt idx="5">
                  <c:v>21/02/2024  01:11</c:v>
                </c:pt>
                <c:pt idx="6">
                  <c:v>21/02/2024  01:12</c:v>
                </c:pt>
                <c:pt idx="7">
                  <c:v>21/02/2024  01:13</c:v>
                </c:pt>
                <c:pt idx="8">
                  <c:v>21/02/2024  01:14</c:v>
                </c:pt>
                <c:pt idx="9">
                  <c:v>21/02/2024  01:15</c:v>
                </c:pt>
                <c:pt idx="10">
                  <c:v>21/02/2024  01:16</c:v>
                </c:pt>
                <c:pt idx="11">
                  <c:v>21/02/2024  01:17</c:v>
                </c:pt>
                <c:pt idx="12">
                  <c:v>21/02/2024  01:18</c:v>
                </c:pt>
                <c:pt idx="13">
                  <c:v>21/02/2024  01:19</c:v>
                </c:pt>
                <c:pt idx="14">
                  <c:v>21/02/2024  01:20</c:v>
                </c:pt>
                <c:pt idx="15">
                  <c:v>21/02/2024  01:21</c:v>
                </c:pt>
                <c:pt idx="16">
                  <c:v>21/02/2024  01:22</c:v>
                </c:pt>
                <c:pt idx="17">
                  <c:v>21/02/2024  01:23</c:v>
                </c:pt>
                <c:pt idx="18">
                  <c:v>21/02/2024  01:24</c:v>
                </c:pt>
                <c:pt idx="19">
                  <c:v>21/02/2024  01:25</c:v>
                </c:pt>
                <c:pt idx="20">
                  <c:v>21/02/2024  01:26</c:v>
                </c:pt>
                <c:pt idx="21">
                  <c:v>21/02/2024  01:27</c:v>
                </c:pt>
                <c:pt idx="22">
                  <c:v>21/02/2024  01:28</c:v>
                </c:pt>
                <c:pt idx="23">
                  <c:v>21/02/2024  01:29</c:v>
                </c:pt>
                <c:pt idx="24">
                  <c:v>21/02/2024  01:30</c:v>
                </c:pt>
                <c:pt idx="25">
                  <c:v>21/02/2024  01:31</c:v>
                </c:pt>
                <c:pt idx="26">
                  <c:v>21/02/2024  01:32</c:v>
                </c:pt>
                <c:pt idx="27">
                  <c:v>21/02/2024  01:33</c:v>
                </c:pt>
                <c:pt idx="28">
                  <c:v>21/02/2024  01:34</c:v>
                </c:pt>
                <c:pt idx="29">
                  <c:v>21/02/2024  01:35</c:v>
                </c:pt>
                <c:pt idx="30">
                  <c:v>21/02/2024  01:36</c:v>
                </c:pt>
                <c:pt idx="31">
                  <c:v>21/02/2024  01:37</c:v>
                </c:pt>
                <c:pt idx="32">
                  <c:v>21/02/2024  01:38</c:v>
                </c:pt>
                <c:pt idx="33">
                  <c:v>21/02/2024  01:39</c:v>
                </c:pt>
                <c:pt idx="34">
                  <c:v>21/02/2024  01:40</c:v>
                </c:pt>
                <c:pt idx="35">
                  <c:v>21/02/2024  01:41</c:v>
                </c:pt>
                <c:pt idx="36">
                  <c:v>21/02/2024  01:42</c:v>
                </c:pt>
                <c:pt idx="37">
                  <c:v>21/02/2024  01:43</c:v>
                </c:pt>
                <c:pt idx="38">
                  <c:v>21/02/2024  01:44</c:v>
                </c:pt>
                <c:pt idx="39">
                  <c:v>21/02/2024  01:45</c:v>
                </c:pt>
                <c:pt idx="40">
                  <c:v>21/02/2024  01:46</c:v>
                </c:pt>
                <c:pt idx="41">
                  <c:v>21/02/2024  01:47</c:v>
                </c:pt>
                <c:pt idx="42">
                  <c:v>21/02/2024  01:48</c:v>
                </c:pt>
                <c:pt idx="43">
                  <c:v>21/02/2024  01:49</c:v>
                </c:pt>
                <c:pt idx="44">
                  <c:v>21/02/2024  01:50</c:v>
                </c:pt>
                <c:pt idx="45">
                  <c:v>21/02/2024  01:51</c:v>
                </c:pt>
                <c:pt idx="46">
                  <c:v>21/02/2024  01:52</c:v>
                </c:pt>
                <c:pt idx="47">
                  <c:v>21/02/2024  01:53</c:v>
                </c:pt>
                <c:pt idx="48">
                  <c:v>21/02/2024  01:54</c:v>
                </c:pt>
                <c:pt idx="49">
                  <c:v>21/02/2024  01:55</c:v>
                </c:pt>
                <c:pt idx="50">
                  <c:v>21/02/2024  01:56</c:v>
                </c:pt>
                <c:pt idx="51">
                  <c:v>21/02/2024  01:57</c:v>
                </c:pt>
                <c:pt idx="52">
                  <c:v>21/02/2024  01:58</c:v>
                </c:pt>
                <c:pt idx="53">
                  <c:v>21/02/2024  01:59</c:v>
                </c:pt>
                <c:pt idx="54">
                  <c:v>21/02/2024  02:00</c:v>
                </c:pt>
                <c:pt idx="55">
                  <c:v>21/02/2024  02:01</c:v>
                </c:pt>
                <c:pt idx="56">
                  <c:v>21/02/2024  02:02</c:v>
                </c:pt>
                <c:pt idx="57">
                  <c:v>21/02/2024  02:03</c:v>
                </c:pt>
                <c:pt idx="58">
                  <c:v>21/02/2024  02:04</c:v>
                </c:pt>
                <c:pt idx="59">
                  <c:v>21/02/2024  02:05</c:v>
                </c:pt>
                <c:pt idx="60">
                  <c:v>21/02/2024  02:06</c:v>
                </c:pt>
                <c:pt idx="61">
                  <c:v>21/02/2024  02:07</c:v>
                </c:pt>
                <c:pt idx="62">
                  <c:v>21/02/2024  02:08</c:v>
                </c:pt>
                <c:pt idx="63">
                  <c:v>21/02/2024  02:09</c:v>
                </c:pt>
                <c:pt idx="64">
                  <c:v>21/02/2024  02:10</c:v>
                </c:pt>
                <c:pt idx="65">
                  <c:v>21/02/2024  02:11</c:v>
                </c:pt>
                <c:pt idx="66">
                  <c:v>21/02/2024  02:12</c:v>
                </c:pt>
                <c:pt idx="67">
                  <c:v>21/02/2024  02:13</c:v>
                </c:pt>
                <c:pt idx="68">
                  <c:v>21/02/2024  02:14</c:v>
                </c:pt>
                <c:pt idx="69">
                  <c:v>21/02/2024  02:15</c:v>
                </c:pt>
                <c:pt idx="70">
                  <c:v>21/02/2024  02:16</c:v>
                </c:pt>
                <c:pt idx="71">
                  <c:v>21/02/2024  02:17</c:v>
                </c:pt>
                <c:pt idx="72">
                  <c:v>21/02/2024  02:18</c:v>
                </c:pt>
                <c:pt idx="73">
                  <c:v>21/02/2024  02:19</c:v>
                </c:pt>
                <c:pt idx="74">
                  <c:v>21/02/2024  02:20</c:v>
                </c:pt>
                <c:pt idx="75">
                  <c:v>21/02/2024  02:21</c:v>
                </c:pt>
                <c:pt idx="76">
                  <c:v>21/02/2024  02:22</c:v>
                </c:pt>
                <c:pt idx="77">
                  <c:v>21/02/2024  02:23</c:v>
                </c:pt>
                <c:pt idx="78">
                  <c:v>21/02/2024  02:24</c:v>
                </c:pt>
                <c:pt idx="79">
                  <c:v>21/02/2024  02:25</c:v>
                </c:pt>
                <c:pt idx="80">
                  <c:v>21/02/2024  02:26</c:v>
                </c:pt>
                <c:pt idx="81">
                  <c:v>21/02/2024  02:27</c:v>
                </c:pt>
                <c:pt idx="82">
                  <c:v>21/02/2024  02:28</c:v>
                </c:pt>
                <c:pt idx="83">
                  <c:v>21/02/2024  02:29</c:v>
                </c:pt>
                <c:pt idx="84">
                  <c:v>21/02/2024  02:30</c:v>
                </c:pt>
                <c:pt idx="85">
                  <c:v>21/02/2024  02:31</c:v>
                </c:pt>
                <c:pt idx="86">
                  <c:v>21/02/2024  02:32</c:v>
                </c:pt>
                <c:pt idx="87">
                  <c:v>21/02/2024  02:33</c:v>
                </c:pt>
                <c:pt idx="88">
                  <c:v>21/02/2024  02:34</c:v>
                </c:pt>
                <c:pt idx="89">
                  <c:v>21/02/2024  02:35</c:v>
                </c:pt>
                <c:pt idx="90">
                  <c:v>21/02/2024  02:36</c:v>
                </c:pt>
                <c:pt idx="91">
                  <c:v>21/02/2024  02:37</c:v>
                </c:pt>
              </c:strCache>
            </c:strRef>
          </c:cat>
          <c:val>
            <c:numRef>
              <c:f>'transfert 200'!$J$2:$J$93</c:f>
              <c:numCache>
                <c:formatCode>General</c:formatCode>
                <c:ptCount val="92"/>
                <c:pt idx="0">
                  <c:v>164.52</c:v>
                </c:pt>
                <c:pt idx="1">
                  <c:v>169.03</c:v>
                </c:pt>
                <c:pt idx="2">
                  <c:v>173.64</c:v>
                </c:pt>
                <c:pt idx="3">
                  <c:v>178.19</c:v>
                </c:pt>
                <c:pt idx="4">
                  <c:v>182.38</c:v>
                </c:pt>
                <c:pt idx="5">
                  <c:v>186.88</c:v>
                </c:pt>
                <c:pt idx="6">
                  <c:v>191.04</c:v>
                </c:pt>
                <c:pt idx="7">
                  <c:v>192.86</c:v>
                </c:pt>
                <c:pt idx="8">
                  <c:v>192.95</c:v>
                </c:pt>
                <c:pt idx="9">
                  <c:v>192.73</c:v>
                </c:pt>
                <c:pt idx="10">
                  <c:v>192.46</c:v>
                </c:pt>
                <c:pt idx="11">
                  <c:v>192.28</c:v>
                </c:pt>
                <c:pt idx="12">
                  <c:v>191.95</c:v>
                </c:pt>
                <c:pt idx="13">
                  <c:v>191.66</c:v>
                </c:pt>
                <c:pt idx="14">
                  <c:v>191.52</c:v>
                </c:pt>
                <c:pt idx="15">
                  <c:v>191.27</c:v>
                </c:pt>
                <c:pt idx="16">
                  <c:v>191.11</c:v>
                </c:pt>
                <c:pt idx="17">
                  <c:v>190.96</c:v>
                </c:pt>
                <c:pt idx="18">
                  <c:v>190.88</c:v>
                </c:pt>
                <c:pt idx="19">
                  <c:v>190.79</c:v>
                </c:pt>
                <c:pt idx="20">
                  <c:v>190.71</c:v>
                </c:pt>
                <c:pt idx="21">
                  <c:v>190.66</c:v>
                </c:pt>
                <c:pt idx="22">
                  <c:v>190.57</c:v>
                </c:pt>
                <c:pt idx="23">
                  <c:v>190.52</c:v>
                </c:pt>
                <c:pt idx="24">
                  <c:v>190.58</c:v>
                </c:pt>
                <c:pt idx="25">
                  <c:v>190.52</c:v>
                </c:pt>
                <c:pt idx="26">
                  <c:v>190.48</c:v>
                </c:pt>
                <c:pt idx="27">
                  <c:v>190.44</c:v>
                </c:pt>
                <c:pt idx="28">
                  <c:v>190.44</c:v>
                </c:pt>
                <c:pt idx="29">
                  <c:v>190.46</c:v>
                </c:pt>
                <c:pt idx="30">
                  <c:v>190.42</c:v>
                </c:pt>
                <c:pt idx="31">
                  <c:v>190.36</c:v>
                </c:pt>
                <c:pt idx="32">
                  <c:v>190.39</c:v>
                </c:pt>
                <c:pt idx="33">
                  <c:v>190.38</c:v>
                </c:pt>
                <c:pt idx="34">
                  <c:v>190.41</c:v>
                </c:pt>
                <c:pt idx="35">
                  <c:v>190.31</c:v>
                </c:pt>
                <c:pt idx="36">
                  <c:v>190.34</c:v>
                </c:pt>
                <c:pt idx="37">
                  <c:v>190.36</c:v>
                </c:pt>
                <c:pt idx="38">
                  <c:v>190.85</c:v>
                </c:pt>
                <c:pt idx="39">
                  <c:v>192.19</c:v>
                </c:pt>
                <c:pt idx="40">
                  <c:v>193.66</c:v>
                </c:pt>
                <c:pt idx="41">
                  <c:v>194.84</c:v>
                </c:pt>
                <c:pt idx="42">
                  <c:v>196.05</c:v>
                </c:pt>
                <c:pt idx="43">
                  <c:v>197.24</c:v>
                </c:pt>
                <c:pt idx="44">
                  <c:v>198.37</c:v>
                </c:pt>
                <c:pt idx="45">
                  <c:v>199.42</c:v>
                </c:pt>
                <c:pt idx="46">
                  <c:v>200.18</c:v>
                </c:pt>
                <c:pt idx="47">
                  <c:v>200.33</c:v>
                </c:pt>
                <c:pt idx="48">
                  <c:v>200.49</c:v>
                </c:pt>
                <c:pt idx="49">
                  <c:v>200.65</c:v>
                </c:pt>
                <c:pt idx="50">
                  <c:v>200.89</c:v>
                </c:pt>
                <c:pt idx="51">
                  <c:v>201.16</c:v>
                </c:pt>
                <c:pt idx="52">
                  <c:v>201.26</c:v>
                </c:pt>
                <c:pt idx="53">
                  <c:v>201.07</c:v>
                </c:pt>
                <c:pt idx="54">
                  <c:v>200.88</c:v>
                </c:pt>
                <c:pt idx="55">
                  <c:v>200.83</c:v>
                </c:pt>
                <c:pt idx="56">
                  <c:v>200.73</c:v>
                </c:pt>
                <c:pt idx="57">
                  <c:v>200.63</c:v>
                </c:pt>
                <c:pt idx="58">
                  <c:v>200.65</c:v>
                </c:pt>
                <c:pt idx="59">
                  <c:v>200.63</c:v>
                </c:pt>
                <c:pt idx="60">
                  <c:v>200.58</c:v>
                </c:pt>
                <c:pt idx="61">
                  <c:v>200.51</c:v>
                </c:pt>
                <c:pt idx="62">
                  <c:v>200.55</c:v>
                </c:pt>
                <c:pt idx="63">
                  <c:v>200.48</c:v>
                </c:pt>
                <c:pt idx="64">
                  <c:v>200.5</c:v>
                </c:pt>
                <c:pt idx="65">
                  <c:v>200.5</c:v>
                </c:pt>
                <c:pt idx="66">
                  <c:v>200.52</c:v>
                </c:pt>
                <c:pt idx="67">
                  <c:v>200.5</c:v>
                </c:pt>
                <c:pt idx="68">
                  <c:v>200.52</c:v>
                </c:pt>
                <c:pt idx="69">
                  <c:v>200.48</c:v>
                </c:pt>
                <c:pt idx="70">
                  <c:v>200.45</c:v>
                </c:pt>
                <c:pt idx="71">
                  <c:v>200.48</c:v>
                </c:pt>
                <c:pt idx="72">
                  <c:v>200.47</c:v>
                </c:pt>
                <c:pt idx="73">
                  <c:v>200.56</c:v>
                </c:pt>
                <c:pt idx="74">
                  <c:v>200.47</c:v>
                </c:pt>
                <c:pt idx="75">
                  <c:v>200.5</c:v>
                </c:pt>
                <c:pt idx="76">
                  <c:v>200.45</c:v>
                </c:pt>
                <c:pt idx="77">
                  <c:v>200.51</c:v>
                </c:pt>
                <c:pt idx="78">
                  <c:v>200.51</c:v>
                </c:pt>
                <c:pt idx="79">
                  <c:v>200.49</c:v>
                </c:pt>
                <c:pt idx="80">
                  <c:v>200.46</c:v>
                </c:pt>
                <c:pt idx="81">
                  <c:v>200.47</c:v>
                </c:pt>
                <c:pt idx="82">
                  <c:v>200.53</c:v>
                </c:pt>
                <c:pt idx="83">
                  <c:v>200.42</c:v>
                </c:pt>
                <c:pt idx="84">
                  <c:v>200.43</c:v>
                </c:pt>
                <c:pt idx="85">
                  <c:v>200.47</c:v>
                </c:pt>
                <c:pt idx="86">
                  <c:v>200.48</c:v>
                </c:pt>
                <c:pt idx="87">
                  <c:v>200.54</c:v>
                </c:pt>
                <c:pt idx="88">
                  <c:v>200.49</c:v>
                </c:pt>
                <c:pt idx="89">
                  <c:v>200.49</c:v>
                </c:pt>
                <c:pt idx="90">
                  <c:v>200.5</c:v>
                </c:pt>
                <c:pt idx="91">
                  <c:v>200.49</c:v>
                </c:pt>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385'!$B$2:$B$55</c:f>
              <c:numCache>
                <c:formatCode>General</c:formatCode>
                <c:ptCount val="54"/>
                <c:pt idx="0">
                  <c:v>343.26</c:v>
                </c:pt>
                <c:pt idx="1">
                  <c:v>346.51</c:v>
                </c:pt>
                <c:pt idx="2">
                  <c:v>349.72</c:v>
                </c:pt>
                <c:pt idx="3">
                  <c:v>352.94</c:v>
                </c:pt>
                <c:pt idx="4">
                  <c:v>356.15</c:v>
                </c:pt>
                <c:pt idx="5">
                  <c:v>359.15</c:v>
                </c:pt>
                <c:pt idx="6">
                  <c:v>362.28</c:v>
                </c:pt>
                <c:pt idx="7">
                  <c:v>365.43</c:v>
                </c:pt>
                <c:pt idx="8">
                  <c:v>368.43</c:v>
                </c:pt>
                <c:pt idx="9">
                  <c:v>371.68</c:v>
                </c:pt>
                <c:pt idx="10">
                  <c:v>374.61</c:v>
                </c:pt>
                <c:pt idx="11">
                  <c:v>377.62</c:v>
                </c:pt>
                <c:pt idx="12">
                  <c:v>380.73</c:v>
                </c:pt>
                <c:pt idx="13">
                  <c:v>382.68</c:v>
                </c:pt>
                <c:pt idx="14">
                  <c:v>384.01</c:v>
                </c:pt>
                <c:pt idx="15">
                  <c:v>384.97</c:v>
                </c:pt>
                <c:pt idx="16">
                  <c:v>385.51</c:v>
                </c:pt>
                <c:pt idx="17">
                  <c:v>385.94</c:v>
                </c:pt>
                <c:pt idx="18">
                  <c:v>386.24</c:v>
                </c:pt>
                <c:pt idx="19">
                  <c:v>386.25</c:v>
                </c:pt>
                <c:pt idx="20">
                  <c:v>386.4</c:v>
                </c:pt>
                <c:pt idx="21">
                  <c:v>386.38</c:v>
                </c:pt>
                <c:pt idx="22">
                  <c:v>386.37</c:v>
                </c:pt>
                <c:pt idx="23">
                  <c:v>386.41</c:v>
                </c:pt>
                <c:pt idx="24">
                  <c:v>386.37</c:v>
                </c:pt>
                <c:pt idx="25">
                  <c:v>386.34</c:v>
                </c:pt>
                <c:pt idx="26">
                  <c:v>386.38</c:v>
                </c:pt>
                <c:pt idx="27">
                  <c:v>386.38</c:v>
                </c:pt>
                <c:pt idx="28">
                  <c:v>386.39</c:v>
                </c:pt>
                <c:pt idx="29">
                  <c:v>386.4</c:v>
                </c:pt>
                <c:pt idx="30">
                  <c:v>386.37</c:v>
                </c:pt>
                <c:pt idx="31">
                  <c:v>386.38</c:v>
                </c:pt>
                <c:pt idx="32">
                  <c:v>386.36</c:v>
                </c:pt>
                <c:pt idx="33">
                  <c:v>386.38</c:v>
                </c:pt>
                <c:pt idx="34">
                  <c:v>386.34</c:v>
                </c:pt>
                <c:pt idx="35">
                  <c:v>386.37</c:v>
                </c:pt>
                <c:pt idx="36">
                  <c:v>386.37</c:v>
                </c:pt>
                <c:pt idx="37">
                  <c:v>386.35</c:v>
                </c:pt>
                <c:pt idx="38">
                  <c:v>386.33</c:v>
                </c:pt>
                <c:pt idx="39">
                  <c:v>386.38</c:v>
                </c:pt>
                <c:pt idx="40">
                  <c:v>386.36</c:v>
                </c:pt>
                <c:pt idx="41">
                  <c:v>386.36</c:v>
                </c:pt>
                <c:pt idx="42">
                  <c:v>386.36</c:v>
                </c:pt>
                <c:pt idx="43">
                  <c:v>386.48</c:v>
                </c:pt>
                <c:pt idx="44">
                  <c:v>386.37</c:v>
                </c:pt>
                <c:pt idx="45">
                  <c:v>386.32</c:v>
                </c:pt>
                <c:pt idx="46">
                  <c:v>386.36</c:v>
                </c:pt>
                <c:pt idx="47">
                  <c:v>386.34</c:v>
                </c:pt>
                <c:pt idx="48">
                  <c:v>386.36</c:v>
                </c:pt>
                <c:pt idx="49">
                  <c:v>386.38</c:v>
                </c:pt>
                <c:pt idx="50">
                  <c:v>386.33</c:v>
                </c:pt>
                <c:pt idx="51">
                  <c:v>386.36</c:v>
                </c:pt>
                <c:pt idx="52">
                  <c:v>386.31</c:v>
                </c:pt>
                <c:pt idx="53">
                  <c:v>386.38</c:v>
                </c:pt>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385'!$C$2:$C$55</c:f>
              <c:numCache>
                <c:formatCode>General</c:formatCode>
                <c:ptCount val="54"/>
                <c:pt idx="0">
                  <c:v>341.12</c:v>
                </c:pt>
                <c:pt idx="1">
                  <c:v>344.51</c:v>
                </c:pt>
                <c:pt idx="2">
                  <c:v>347.69</c:v>
                </c:pt>
                <c:pt idx="3">
                  <c:v>350.9</c:v>
                </c:pt>
                <c:pt idx="4">
                  <c:v>354</c:v>
                </c:pt>
                <c:pt idx="5">
                  <c:v>357.25</c:v>
                </c:pt>
                <c:pt idx="6">
                  <c:v>360.33</c:v>
                </c:pt>
                <c:pt idx="7">
                  <c:v>363.5</c:v>
                </c:pt>
                <c:pt idx="8">
                  <c:v>366.68</c:v>
                </c:pt>
                <c:pt idx="9">
                  <c:v>369.72</c:v>
                </c:pt>
                <c:pt idx="10">
                  <c:v>372.72</c:v>
                </c:pt>
                <c:pt idx="11">
                  <c:v>375.7</c:v>
                </c:pt>
                <c:pt idx="12">
                  <c:v>378.84</c:v>
                </c:pt>
                <c:pt idx="13">
                  <c:v>381</c:v>
                </c:pt>
                <c:pt idx="14">
                  <c:v>382.52</c:v>
                </c:pt>
                <c:pt idx="15">
                  <c:v>383.51</c:v>
                </c:pt>
                <c:pt idx="16">
                  <c:v>384.36</c:v>
                </c:pt>
                <c:pt idx="17">
                  <c:v>384.86</c:v>
                </c:pt>
                <c:pt idx="18">
                  <c:v>385.23</c:v>
                </c:pt>
                <c:pt idx="19">
                  <c:v>385.47</c:v>
                </c:pt>
                <c:pt idx="20">
                  <c:v>385.69</c:v>
                </c:pt>
                <c:pt idx="21">
                  <c:v>385.79</c:v>
                </c:pt>
                <c:pt idx="22">
                  <c:v>385.87</c:v>
                </c:pt>
                <c:pt idx="23">
                  <c:v>385.93</c:v>
                </c:pt>
                <c:pt idx="24">
                  <c:v>385.9</c:v>
                </c:pt>
                <c:pt idx="25">
                  <c:v>386.01</c:v>
                </c:pt>
                <c:pt idx="26">
                  <c:v>386</c:v>
                </c:pt>
                <c:pt idx="27">
                  <c:v>385.99</c:v>
                </c:pt>
                <c:pt idx="28">
                  <c:v>386.04</c:v>
                </c:pt>
                <c:pt idx="29">
                  <c:v>386.07</c:v>
                </c:pt>
                <c:pt idx="30">
                  <c:v>386.04</c:v>
                </c:pt>
                <c:pt idx="31">
                  <c:v>386.09</c:v>
                </c:pt>
                <c:pt idx="32">
                  <c:v>386.13</c:v>
                </c:pt>
                <c:pt idx="33">
                  <c:v>386.14</c:v>
                </c:pt>
                <c:pt idx="34">
                  <c:v>386.11</c:v>
                </c:pt>
                <c:pt idx="35">
                  <c:v>386.12</c:v>
                </c:pt>
                <c:pt idx="36">
                  <c:v>386.07</c:v>
                </c:pt>
                <c:pt idx="37">
                  <c:v>386.16</c:v>
                </c:pt>
                <c:pt idx="38">
                  <c:v>386.17</c:v>
                </c:pt>
                <c:pt idx="39">
                  <c:v>386.11</c:v>
                </c:pt>
                <c:pt idx="40">
                  <c:v>386.15</c:v>
                </c:pt>
                <c:pt idx="41">
                  <c:v>386.13</c:v>
                </c:pt>
                <c:pt idx="42">
                  <c:v>386.2</c:v>
                </c:pt>
                <c:pt idx="43">
                  <c:v>386.23</c:v>
                </c:pt>
                <c:pt idx="44">
                  <c:v>386.16</c:v>
                </c:pt>
                <c:pt idx="45">
                  <c:v>386.1</c:v>
                </c:pt>
                <c:pt idx="46">
                  <c:v>386.15</c:v>
                </c:pt>
                <c:pt idx="47">
                  <c:v>386.12</c:v>
                </c:pt>
                <c:pt idx="48">
                  <c:v>386.14</c:v>
                </c:pt>
                <c:pt idx="49">
                  <c:v>386.16</c:v>
                </c:pt>
                <c:pt idx="50">
                  <c:v>386.14</c:v>
                </c:pt>
                <c:pt idx="51">
                  <c:v>386.16</c:v>
                </c:pt>
                <c:pt idx="52">
                  <c:v>386.13</c:v>
                </c:pt>
                <c:pt idx="53">
                  <c:v>386.11</c:v>
                </c:pt>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385'!$D$2:$D$55</c:f>
              <c:numCache>
                <c:formatCode>General</c:formatCode>
                <c:ptCount val="54"/>
                <c:pt idx="0">
                  <c:v>341.41</c:v>
                </c:pt>
                <c:pt idx="1">
                  <c:v>344.67</c:v>
                </c:pt>
                <c:pt idx="2">
                  <c:v>347.92</c:v>
                </c:pt>
                <c:pt idx="3">
                  <c:v>351.17</c:v>
                </c:pt>
                <c:pt idx="4">
                  <c:v>354.34</c:v>
                </c:pt>
                <c:pt idx="5">
                  <c:v>357.48</c:v>
                </c:pt>
                <c:pt idx="6">
                  <c:v>360.6</c:v>
                </c:pt>
                <c:pt idx="7">
                  <c:v>363.7</c:v>
                </c:pt>
                <c:pt idx="8">
                  <c:v>366.84</c:v>
                </c:pt>
                <c:pt idx="9">
                  <c:v>369.84</c:v>
                </c:pt>
                <c:pt idx="10">
                  <c:v>372.81</c:v>
                </c:pt>
                <c:pt idx="11">
                  <c:v>375.96</c:v>
                </c:pt>
                <c:pt idx="12">
                  <c:v>379.02</c:v>
                </c:pt>
                <c:pt idx="13">
                  <c:v>381.08</c:v>
                </c:pt>
                <c:pt idx="14">
                  <c:v>382.41</c:v>
                </c:pt>
                <c:pt idx="15">
                  <c:v>383.49</c:v>
                </c:pt>
                <c:pt idx="16">
                  <c:v>384.2</c:v>
                </c:pt>
                <c:pt idx="17">
                  <c:v>384.68</c:v>
                </c:pt>
                <c:pt idx="18">
                  <c:v>385.06</c:v>
                </c:pt>
                <c:pt idx="19">
                  <c:v>385.28</c:v>
                </c:pt>
                <c:pt idx="20">
                  <c:v>385.41</c:v>
                </c:pt>
                <c:pt idx="21">
                  <c:v>385.5</c:v>
                </c:pt>
                <c:pt idx="22">
                  <c:v>385.56</c:v>
                </c:pt>
                <c:pt idx="23">
                  <c:v>385.63</c:v>
                </c:pt>
                <c:pt idx="24">
                  <c:v>385.65</c:v>
                </c:pt>
                <c:pt idx="25">
                  <c:v>385.69</c:v>
                </c:pt>
                <c:pt idx="26">
                  <c:v>385.72</c:v>
                </c:pt>
                <c:pt idx="27">
                  <c:v>385.73</c:v>
                </c:pt>
                <c:pt idx="28">
                  <c:v>385.84</c:v>
                </c:pt>
                <c:pt idx="29">
                  <c:v>385.81</c:v>
                </c:pt>
                <c:pt idx="30">
                  <c:v>385.78</c:v>
                </c:pt>
                <c:pt idx="31">
                  <c:v>385.84</c:v>
                </c:pt>
                <c:pt idx="32">
                  <c:v>385.82</c:v>
                </c:pt>
                <c:pt idx="33">
                  <c:v>385.84</c:v>
                </c:pt>
                <c:pt idx="34">
                  <c:v>385.83</c:v>
                </c:pt>
                <c:pt idx="35">
                  <c:v>385.84</c:v>
                </c:pt>
                <c:pt idx="36">
                  <c:v>385.83</c:v>
                </c:pt>
                <c:pt idx="37">
                  <c:v>385.88</c:v>
                </c:pt>
                <c:pt idx="38">
                  <c:v>385.87</c:v>
                </c:pt>
                <c:pt idx="39">
                  <c:v>385.87</c:v>
                </c:pt>
                <c:pt idx="40">
                  <c:v>385.84</c:v>
                </c:pt>
                <c:pt idx="41">
                  <c:v>385.9</c:v>
                </c:pt>
                <c:pt idx="42">
                  <c:v>385.89</c:v>
                </c:pt>
                <c:pt idx="43">
                  <c:v>385.93</c:v>
                </c:pt>
                <c:pt idx="44">
                  <c:v>385.88</c:v>
                </c:pt>
                <c:pt idx="45">
                  <c:v>385.84</c:v>
                </c:pt>
                <c:pt idx="46">
                  <c:v>385.89</c:v>
                </c:pt>
                <c:pt idx="47">
                  <c:v>385.89</c:v>
                </c:pt>
                <c:pt idx="48">
                  <c:v>385.91</c:v>
                </c:pt>
                <c:pt idx="49">
                  <c:v>385.9</c:v>
                </c:pt>
                <c:pt idx="50">
                  <c:v>385.88</c:v>
                </c:pt>
                <c:pt idx="51">
                  <c:v>385.91</c:v>
                </c:pt>
                <c:pt idx="52">
                  <c:v>385.86</c:v>
                </c:pt>
                <c:pt idx="53">
                  <c:v>385.91</c:v>
                </c:pt>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385'!$E$2:$E$55</c:f>
              <c:numCache>
                <c:formatCode>General</c:formatCode>
                <c:ptCount val="54"/>
                <c:pt idx="0">
                  <c:v>343.94</c:v>
                </c:pt>
                <c:pt idx="1">
                  <c:v>347.22</c:v>
                </c:pt>
                <c:pt idx="2">
                  <c:v>350.42</c:v>
                </c:pt>
                <c:pt idx="3">
                  <c:v>353.53</c:v>
                </c:pt>
                <c:pt idx="4">
                  <c:v>356.72</c:v>
                </c:pt>
                <c:pt idx="5">
                  <c:v>359.78</c:v>
                </c:pt>
                <c:pt idx="6">
                  <c:v>362.81</c:v>
                </c:pt>
                <c:pt idx="7">
                  <c:v>366</c:v>
                </c:pt>
                <c:pt idx="8">
                  <c:v>369.04</c:v>
                </c:pt>
                <c:pt idx="9">
                  <c:v>372.1</c:v>
                </c:pt>
                <c:pt idx="10">
                  <c:v>375.05</c:v>
                </c:pt>
                <c:pt idx="11">
                  <c:v>378.15</c:v>
                </c:pt>
                <c:pt idx="12">
                  <c:v>381.13</c:v>
                </c:pt>
                <c:pt idx="13">
                  <c:v>383.03</c:v>
                </c:pt>
                <c:pt idx="14">
                  <c:v>384.13</c:v>
                </c:pt>
                <c:pt idx="15">
                  <c:v>384.9</c:v>
                </c:pt>
                <c:pt idx="16">
                  <c:v>385.34</c:v>
                </c:pt>
                <c:pt idx="17">
                  <c:v>385.69</c:v>
                </c:pt>
                <c:pt idx="18">
                  <c:v>385.92</c:v>
                </c:pt>
                <c:pt idx="19">
                  <c:v>386.01</c:v>
                </c:pt>
                <c:pt idx="20">
                  <c:v>386.04</c:v>
                </c:pt>
                <c:pt idx="21">
                  <c:v>386.03</c:v>
                </c:pt>
                <c:pt idx="22">
                  <c:v>386</c:v>
                </c:pt>
                <c:pt idx="23">
                  <c:v>385.97</c:v>
                </c:pt>
                <c:pt idx="24">
                  <c:v>385.95</c:v>
                </c:pt>
                <c:pt idx="25">
                  <c:v>386</c:v>
                </c:pt>
                <c:pt idx="26">
                  <c:v>386.03</c:v>
                </c:pt>
                <c:pt idx="27">
                  <c:v>385.96</c:v>
                </c:pt>
                <c:pt idx="28">
                  <c:v>386.06</c:v>
                </c:pt>
                <c:pt idx="29">
                  <c:v>386.02</c:v>
                </c:pt>
                <c:pt idx="30">
                  <c:v>386.02</c:v>
                </c:pt>
                <c:pt idx="31">
                  <c:v>386.03</c:v>
                </c:pt>
                <c:pt idx="32">
                  <c:v>386</c:v>
                </c:pt>
                <c:pt idx="33">
                  <c:v>386.01</c:v>
                </c:pt>
                <c:pt idx="34">
                  <c:v>386</c:v>
                </c:pt>
                <c:pt idx="35">
                  <c:v>386.02</c:v>
                </c:pt>
                <c:pt idx="36">
                  <c:v>386.01</c:v>
                </c:pt>
                <c:pt idx="37">
                  <c:v>386</c:v>
                </c:pt>
                <c:pt idx="38">
                  <c:v>385.97</c:v>
                </c:pt>
                <c:pt idx="39">
                  <c:v>386.03</c:v>
                </c:pt>
                <c:pt idx="40">
                  <c:v>386.04</c:v>
                </c:pt>
                <c:pt idx="41">
                  <c:v>386.03</c:v>
                </c:pt>
                <c:pt idx="42">
                  <c:v>386.01</c:v>
                </c:pt>
                <c:pt idx="43">
                  <c:v>386.09</c:v>
                </c:pt>
                <c:pt idx="44">
                  <c:v>385.97</c:v>
                </c:pt>
                <c:pt idx="45">
                  <c:v>385.99</c:v>
                </c:pt>
                <c:pt idx="46">
                  <c:v>386.03</c:v>
                </c:pt>
                <c:pt idx="47">
                  <c:v>385.97</c:v>
                </c:pt>
                <c:pt idx="48">
                  <c:v>386.04</c:v>
                </c:pt>
                <c:pt idx="49">
                  <c:v>386.03</c:v>
                </c:pt>
                <c:pt idx="50">
                  <c:v>385.95</c:v>
                </c:pt>
                <c:pt idx="51">
                  <c:v>386.01</c:v>
                </c:pt>
                <c:pt idx="52">
                  <c:v>385.97</c:v>
                </c:pt>
                <c:pt idx="53">
                  <c:v>386.01</c:v>
                </c:pt>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385'!$F$2:$F$55</c:f>
              <c:numCache>
                <c:formatCode>General</c:formatCode>
                <c:ptCount val="54"/>
                <c:pt idx="0">
                  <c:v>344.68</c:v>
                </c:pt>
                <c:pt idx="1">
                  <c:v>347.96</c:v>
                </c:pt>
                <c:pt idx="2">
                  <c:v>351.13</c:v>
                </c:pt>
                <c:pt idx="3">
                  <c:v>354.26</c:v>
                </c:pt>
                <c:pt idx="4">
                  <c:v>357.32</c:v>
                </c:pt>
                <c:pt idx="5">
                  <c:v>360.53</c:v>
                </c:pt>
                <c:pt idx="6">
                  <c:v>363.55</c:v>
                </c:pt>
                <c:pt idx="7">
                  <c:v>366.67</c:v>
                </c:pt>
                <c:pt idx="8">
                  <c:v>369.37</c:v>
                </c:pt>
                <c:pt idx="9">
                  <c:v>372.79</c:v>
                </c:pt>
                <c:pt idx="10">
                  <c:v>375.63</c:v>
                </c:pt>
                <c:pt idx="11">
                  <c:v>378.78</c:v>
                </c:pt>
                <c:pt idx="12">
                  <c:v>381.53</c:v>
                </c:pt>
                <c:pt idx="13">
                  <c:v>382.91</c:v>
                </c:pt>
                <c:pt idx="14">
                  <c:v>383.63</c:v>
                </c:pt>
                <c:pt idx="15">
                  <c:v>383.96</c:v>
                </c:pt>
                <c:pt idx="16">
                  <c:v>384.06</c:v>
                </c:pt>
                <c:pt idx="17">
                  <c:v>383.93</c:v>
                </c:pt>
                <c:pt idx="18">
                  <c:v>383.76</c:v>
                </c:pt>
                <c:pt idx="19">
                  <c:v>383.6</c:v>
                </c:pt>
                <c:pt idx="20">
                  <c:v>383.42</c:v>
                </c:pt>
                <c:pt idx="21">
                  <c:v>383.18</c:v>
                </c:pt>
                <c:pt idx="22">
                  <c:v>383.15</c:v>
                </c:pt>
                <c:pt idx="23">
                  <c:v>383.02</c:v>
                </c:pt>
                <c:pt idx="24">
                  <c:v>382.69</c:v>
                </c:pt>
                <c:pt idx="25">
                  <c:v>382.91</c:v>
                </c:pt>
                <c:pt idx="26">
                  <c:v>382.82</c:v>
                </c:pt>
                <c:pt idx="27">
                  <c:v>382.73</c:v>
                </c:pt>
                <c:pt idx="28">
                  <c:v>382.6</c:v>
                </c:pt>
                <c:pt idx="29">
                  <c:v>382.41</c:v>
                </c:pt>
                <c:pt idx="30">
                  <c:v>382.45</c:v>
                </c:pt>
                <c:pt idx="31">
                  <c:v>382.57</c:v>
                </c:pt>
                <c:pt idx="32">
                  <c:v>382.36</c:v>
                </c:pt>
                <c:pt idx="33">
                  <c:v>382.34</c:v>
                </c:pt>
                <c:pt idx="34">
                  <c:v>382.32</c:v>
                </c:pt>
                <c:pt idx="35">
                  <c:v>382.31</c:v>
                </c:pt>
                <c:pt idx="36">
                  <c:v>382.38</c:v>
                </c:pt>
                <c:pt idx="37">
                  <c:v>382.27</c:v>
                </c:pt>
                <c:pt idx="38">
                  <c:v>382.33</c:v>
                </c:pt>
                <c:pt idx="39">
                  <c:v>382.4</c:v>
                </c:pt>
                <c:pt idx="40">
                  <c:v>382.29</c:v>
                </c:pt>
                <c:pt idx="41">
                  <c:v>382.22</c:v>
                </c:pt>
                <c:pt idx="42">
                  <c:v>382.29</c:v>
                </c:pt>
                <c:pt idx="43">
                  <c:v>382.33</c:v>
                </c:pt>
                <c:pt idx="44">
                  <c:v>382.2</c:v>
                </c:pt>
                <c:pt idx="45">
                  <c:v>382.12</c:v>
                </c:pt>
                <c:pt idx="46">
                  <c:v>382.17</c:v>
                </c:pt>
                <c:pt idx="47">
                  <c:v>382.27</c:v>
                </c:pt>
                <c:pt idx="48">
                  <c:v>382.31</c:v>
                </c:pt>
                <c:pt idx="49">
                  <c:v>382.36</c:v>
                </c:pt>
                <c:pt idx="50">
                  <c:v>382.32</c:v>
                </c:pt>
                <c:pt idx="51">
                  <c:v>382.21</c:v>
                </c:pt>
                <c:pt idx="52">
                  <c:v>382.27</c:v>
                </c:pt>
                <c:pt idx="53">
                  <c:v>382.23</c:v>
                </c:pt>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385'!$G$2:$G$55</c:f>
              <c:numCache>
                <c:formatCode>General</c:formatCode>
                <c:ptCount val="54"/>
                <c:pt idx="0">
                  <c:v>347.15</c:v>
                </c:pt>
                <c:pt idx="1">
                  <c:v>350.42</c:v>
                </c:pt>
                <c:pt idx="2">
                  <c:v>353.54</c:v>
                </c:pt>
                <c:pt idx="3">
                  <c:v>356.76</c:v>
                </c:pt>
                <c:pt idx="4">
                  <c:v>360.01</c:v>
                </c:pt>
                <c:pt idx="5">
                  <c:v>363.15</c:v>
                </c:pt>
                <c:pt idx="6">
                  <c:v>366.16</c:v>
                </c:pt>
                <c:pt idx="7">
                  <c:v>369.14</c:v>
                </c:pt>
                <c:pt idx="8">
                  <c:v>372.39</c:v>
                </c:pt>
                <c:pt idx="9">
                  <c:v>375.4</c:v>
                </c:pt>
                <c:pt idx="10">
                  <c:v>378.31</c:v>
                </c:pt>
                <c:pt idx="11">
                  <c:v>381.4</c:v>
                </c:pt>
                <c:pt idx="12">
                  <c:v>384.45</c:v>
                </c:pt>
                <c:pt idx="13">
                  <c:v>386.02</c:v>
                </c:pt>
                <c:pt idx="14">
                  <c:v>387.2</c:v>
                </c:pt>
                <c:pt idx="15">
                  <c:v>387.89</c:v>
                </c:pt>
                <c:pt idx="16">
                  <c:v>388.08</c:v>
                </c:pt>
                <c:pt idx="17">
                  <c:v>388.27</c:v>
                </c:pt>
                <c:pt idx="18">
                  <c:v>388.34</c:v>
                </c:pt>
                <c:pt idx="19">
                  <c:v>388.24</c:v>
                </c:pt>
                <c:pt idx="20">
                  <c:v>388.15</c:v>
                </c:pt>
                <c:pt idx="21">
                  <c:v>388.12</c:v>
                </c:pt>
                <c:pt idx="22">
                  <c:v>387.98</c:v>
                </c:pt>
                <c:pt idx="23">
                  <c:v>387.93</c:v>
                </c:pt>
                <c:pt idx="24">
                  <c:v>387.82</c:v>
                </c:pt>
                <c:pt idx="25">
                  <c:v>387.75</c:v>
                </c:pt>
                <c:pt idx="26">
                  <c:v>387.7</c:v>
                </c:pt>
                <c:pt idx="27">
                  <c:v>387.64</c:v>
                </c:pt>
                <c:pt idx="28">
                  <c:v>387.63</c:v>
                </c:pt>
                <c:pt idx="29">
                  <c:v>387.56</c:v>
                </c:pt>
                <c:pt idx="30">
                  <c:v>387.54</c:v>
                </c:pt>
                <c:pt idx="31">
                  <c:v>387.49</c:v>
                </c:pt>
                <c:pt idx="32">
                  <c:v>387.45</c:v>
                </c:pt>
                <c:pt idx="33">
                  <c:v>387.41</c:v>
                </c:pt>
                <c:pt idx="34">
                  <c:v>387.42</c:v>
                </c:pt>
                <c:pt idx="35">
                  <c:v>387.38</c:v>
                </c:pt>
                <c:pt idx="36">
                  <c:v>387.27</c:v>
                </c:pt>
                <c:pt idx="37">
                  <c:v>387.32</c:v>
                </c:pt>
                <c:pt idx="38">
                  <c:v>387.3</c:v>
                </c:pt>
                <c:pt idx="39">
                  <c:v>387.29</c:v>
                </c:pt>
                <c:pt idx="40">
                  <c:v>387.3</c:v>
                </c:pt>
                <c:pt idx="41">
                  <c:v>387.27</c:v>
                </c:pt>
                <c:pt idx="42">
                  <c:v>387.26</c:v>
                </c:pt>
                <c:pt idx="43">
                  <c:v>387.36</c:v>
                </c:pt>
                <c:pt idx="44">
                  <c:v>387.2</c:v>
                </c:pt>
                <c:pt idx="45">
                  <c:v>387.2</c:v>
                </c:pt>
                <c:pt idx="46">
                  <c:v>387.28</c:v>
                </c:pt>
                <c:pt idx="47">
                  <c:v>387.13</c:v>
                </c:pt>
                <c:pt idx="48">
                  <c:v>387.19</c:v>
                </c:pt>
                <c:pt idx="49">
                  <c:v>387.25</c:v>
                </c:pt>
                <c:pt idx="50">
                  <c:v>387.19</c:v>
                </c:pt>
                <c:pt idx="51">
                  <c:v>387.22</c:v>
                </c:pt>
                <c:pt idx="52">
                  <c:v>387.14</c:v>
                </c:pt>
                <c:pt idx="53">
                  <c:v>387.15</c:v>
                </c:pt>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385'!$H$2:$H$55</c:f>
              <c:numCache>
                <c:formatCode>General</c:formatCode>
                <c:ptCount val="54"/>
                <c:pt idx="0">
                  <c:v>344.46</c:v>
                </c:pt>
                <c:pt idx="1">
                  <c:v>347.69</c:v>
                </c:pt>
                <c:pt idx="2">
                  <c:v>350.87</c:v>
                </c:pt>
                <c:pt idx="3">
                  <c:v>354.02</c:v>
                </c:pt>
                <c:pt idx="4">
                  <c:v>357.23</c:v>
                </c:pt>
                <c:pt idx="5">
                  <c:v>360.33</c:v>
                </c:pt>
                <c:pt idx="6">
                  <c:v>363.54</c:v>
                </c:pt>
                <c:pt idx="7">
                  <c:v>366.47</c:v>
                </c:pt>
                <c:pt idx="8">
                  <c:v>369.61</c:v>
                </c:pt>
                <c:pt idx="9">
                  <c:v>372.6</c:v>
                </c:pt>
                <c:pt idx="10">
                  <c:v>375.71</c:v>
                </c:pt>
                <c:pt idx="11">
                  <c:v>378.71</c:v>
                </c:pt>
                <c:pt idx="12">
                  <c:v>381.75</c:v>
                </c:pt>
                <c:pt idx="13">
                  <c:v>383.67</c:v>
                </c:pt>
                <c:pt idx="14">
                  <c:v>384.75</c:v>
                </c:pt>
                <c:pt idx="15">
                  <c:v>385.62</c:v>
                </c:pt>
                <c:pt idx="16">
                  <c:v>386.07</c:v>
                </c:pt>
                <c:pt idx="17">
                  <c:v>386.32</c:v>
                </c:pt>
                <c:pt idx="18">
                  <c:v>386.57</c:v>
                </c:pt>
                <c:pt idx="19">
                  <c:v>386.59</c:v>
                </c:pt>
                <c:pt idx="20">
                  <c:v>386.54</c:v>
                </c:pt>
                <c:pt idx="21">
                  <c:v>386.52</c:v>
                </c:pt>
                <c:pt idx="22">
                  <c:v>386.48</c:v>
                </c:pt>
                <c:pt idx="23">
                  <c:v>386.35</c:v>
                </c:pt>
                <c:pt idx="24">
                  <c:v>386.35</c:v>
                </c:pt>
                <c:pt idx="25">
                  <c:v>386.26</c:v>
                </c:pt>
                <c:pt idx="26">
                  <c:v>386.27</c:v>
                </c:pt>
                <c:pt idx="27">
                  <c:v>386.2</c:v>
                </c:pt>
                <c:pt idx="28">
                  <c:v>386.24</c:v>
                </c:pt>
                <c:pt idx="29">
                  <c:v>386.21</c:v>
                </c:pt>
                <c:pt idx="30">
                  <c:v>386.07</c:v>
                </c:pt>
                <c:pt idx="31">
                  <c:v>386.07</c:v>
                </c:pt>
                <c:pt idx="32">
                  <c:v>386.14</c:v>
                </c:pt>
                <c:pt idx="33">
                  <c:v>386.09</c:v>
                </c:pt>
                <c:pt idx="34">
                  <c:v>386.09</c:v>
                </c:pt>
                <c:pt idx="35">
                  <c:v>385.99</c:v>
                </c:pt>
                <c:pt idx="36">
                  <c:v>386.03</c:v>
                </c:pt>
                <c:pt idx="37">
                  <c:v>385.98</c:v>
                </c:pt>
                <c:pt idx="38">
                  <c:v>385.95</c:v>
                </c:pt>
                <c:pt idx="39">
                  <c:v>385.96</c:v>
                </c:pt>
                <c:pt idx="40">
                  <c:v>386.02</c:v>
                </c:pt>
                <c:pt idx="41">
                  <c:v>385.93</c:v>
                </c:pt>
                <c:pt idx="42">
                  <c:v>386.03</c:v>
                </c:pt>
                <c:pt idx="43">
                  <c:v>386.05</c:v>
                </c:pt>
                <c:pt idx="44">
                  <c:v>385.99</c:v>
                </c:pt>
                <c:pt idx="45">
                  <c:v>385.95</c:v>
                </c:pt>
                <c:pt idx="46">
                  <c:v>385.97</c:v>
                </c:pt>
                <c:pt idx="47">
                  <c:v>385.95</c:v>
                </c:pt>
                <c:pt idx="48">
                  <c:v>385.93</c:v>
                </c:pt>
                <c:pt idx="49">
                  <c:v>385.97</c:v>
                </c:pt>
                <c:pt idx="50">
                  <c:v>385.99</c:v>
                </c:pt>
                <c:pt idx="51">
                  <c:v>385.99</c:v>
                </c:pt>
                <c:pt idx="52">
                  <c:v>385.9</c:v>
                </c:pt>
                <c:pt idx="53">
                  <c:v>385.89</c:v>
                </c:pt>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385'!$I$2:$I$55</c:f>
              <c:numCache>
                <c:formatCode>General</c:formatCode>
                <c:ptCount val="54"/>
                <c:pt idx="0">
                  <c:v>348.16</c:v>
                </c:pt>
                <c:pt idx="1">
                  <c:v>351.36</c:v>
                </c:pt>
                <c:pt idx="2">
                  <c:v>354.6</c:v>
                </c:pt>
                <c:pt idx="3">
                  <c:v>357.65</c:v>
                </c:pt>
                <c:pt idx="4">
                  <c:v>360.91</c:v>
                </c:pt>
                <c:pt idx="5">
                  <c:v>363.86</c:v>
                </c:pt>
                <c:pt idx="6">
                  <c:v>367.01</c:v>
                </c:pt>
                <c:pt idx="7">
                  <c:v>370.18</c:v>
                </c:pt>
                <c:pt idx="8">
                  <c:v>373.07</c:v>
                </c:pt>
                <c:pt idx="9">
                  <c:v>376.46</c:v>
                </c:pt>
                <c:pt idx="10">
                  <c:v>379.43</c:v>
                </c:pt>
                <c:pt idx="11">
                  <c:v>382.45</c:v>
                </c:pt>
                <c:pt idx="12">
                  <c:v>385.27</c:v>
                </c:pt>
                <c:pt idx="13">
                  <c:v>386.92</c:v>
                </c:pt>
                <c:pt idx="14">
                  <c:v>387.71</c:v>
                </c:pt>
                <c:pt idx="15">
                  <c:v>388.19</c:v>
                </c:pt>
                <c:pt idx="16">
                  <c:v>388.3</c:v>
                </c:pt>
                <c:pt idx="17">
                  <c:v>388.35</c:v>
                </c:pt>
                <c:pt idx="18">
                  <c:v>388.42</c:v>
                </c:pt>
                <c:pt idx="19">
                  <c:v>388.21</c:v>
                </c:pt>
                <c:pt idx="20">
                  <c:v>388.04</c:v>
                </c:pt>
                <c:pt idx="21">
                  <c:v>387.81</c:v>
                </c:pt>
                <c:pt idx="22">
                  <c:v>387.77</c:v>
                </c:pt>
                <c:pt idx="23">
                  <c:v>387.52</c:v>
                </c:pt>
                <c:pt idx="24">
                  <c:v>387.47</c:v>
                </c:pt>
                <c:pt idx="25">
                  <c:v>387.33</c:v>
                </c:pt>
                <c:pt idx="26">
                  <c:v>387.21</c:v>
                </c:pt>
                <c:pt idx="27">
                  <c:v>387.22</c:v>
                </c:pt>
                <c:pt idx="28">
                  <c:v>387.18</c:v>
                </c:pt>
                <c:pt idx="29">
                  <c:v>387.19</c:v>
                </c:pt>
                <c:pt idx="30">
                  <c:v>387.08</c:v>
                </c:pt>
                <c:pt idx="31">
                  <c:v>387.06</c:v>
                </c:pt>
                <c:pt idx="32">
                  <c:v>386.98</c:v>
                </c:pt>
                <c:pt idx="33">
                  <c:v>386.91</c:v>
                </c:pt>
                <c:pt idx="34">
                  <c:v>386.88</c:v>
                </c:pt>
                <c:pt idx="35">
                  <c:v>386.89</c:v>
                </c:pt>
                <c:pt idx="36">
                  <c:v>386.83</c:v>
                </c:pt>
                <c:pt idx="37">
                  <c:v>386.84</c:v>
                </c:pt>
                <c:pt idx="38">
                  <c:v>386.84</c:v>
                </c:pt>
                <c:pt idx="39">
                  <c:v>386.81</c:v>
                </c:pt>
                <c:pt idx="40">
                  <c:v>386.84</c:v>
                </c:pt>
                <c:pt idx="41">
                  <c:v>386.88</c:v>
                </c:pt>
                <c:pt idx="42">
                  <c:v>386.75</c:v>
                </c:pt>
                <c:pt idx="43">
                  <c:v>386.87</c:v>
                </c:pt>
                <c:pt idx="44">
                  <c:v>386.68</c:v>
                </c:pt>
                <c:pt idx="45">
                  <c:v>386.75</c:v>
                </c:pt>
                <c:pt idx="46">
                  <c:v>386.79</c:v>
                </c:pt>
                <c:pt idx="47">
                  <c:v>386.67</c:v>
                </c:pt>
                <c:pt idx="48">
                  <c:v>386.78</c:v>
                </c:pt>
                <c:pt idx="49">
                  <c:v>386.74</c:v>
                </c:pt>
                <c:pt idx="50">
                  <c:v>386.73</c:v>
                </c:pt>
                <c:pt idx="51">
                  <c:v>386.73</c:v>
                </c:pt>
                <c:pt idx="52">
                  <c:v>386.65</c:v>
                </c:pt>
                <c:pt idx="53">
                  <c:v>386.67</c:v>
                </c:pt>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strRef>
              <c:f>'transfert 385'!$A$2:$A$55</c:f>
              <c:strCache>
                <c:ptCount val="54"/>
                <c:pt idx="0">
                  <c:v>21/02/2024  03:16</c:v>
                </c:pt>
                <c:pt idx="1">
                  <c:v>21/02/2024  03:17</c:v>
                </c:pt>
                <c:pt idx="2">
                  <c:v>21/02/2024  03:18</c:v>
                </c:pt>
                <c:pt idx="3">
                  <c:v>21/02/2024  03:19</c:v>
                </c:pt>
                <c:pt idx="4">
                  <c:v>21/02/2024  03:20</c:v>
                </c:pt>
                <c:pt idx="5">
                  <c:v>21/02/2024  03:21</c:v>
                </c:pt>
                <c:pt idx="6">
                  <c:v>21/02/2024  03:22</c:v>
                </c:pt>
                <c:pt idx="7">
                  <c:v>21/02/2024  03:23</c:v>
                </c:pt>
                <c:pt idx="8">
                  <c:v>21/02/2024  03:24</c:v>
                </c:pt>
                <c:pt idx="9">
                  <c:v>21/02/2024  03:25</c:v>
                </c:pt>
                <c:pt idx="10">
                  <c:v>21/02/2024  03:26</c:v>
                </c:pt>
                <c:pt idx="11">
                  <c:v>21/02/2024  03:27</c:v>
                </c:pt>
                <c:pt idx="12">
                  <c:v>21/02/2024  03:28</c:v>
                </c:pt>
                <c:pt idx="13">
                  <c:v>21/02/2024  03:29</c:v>
                </c:pt>
                <c:pt idx="14">
                  <c:v>21/02/2024  03:30</c:v>
                </c:pt>
                <c:pt idx="15">
                  <c:v>21/02/2024  03:31</c:v>
                </c:pt>
                <c:pt idx="16">
                  <c:v>21/02/2024  03:32</c:v>
                </c:pt>
                <c:pt idx="17">
                  <c:v>21/02/2024  03:33</c:v>
                </c:pt>
                <c:pt idx="18">
                  <c:v>21/02/2024  03:34</c:v>
                </c:pt>
                <c:pt idx="19">
                  <c:v>21/02/2024  03:35</c:v>
                </c:pt>
                <c:pt idx="20">
                  <c:v>21/02/2024  03:36</c:v>
                </c:pt>
                <c:pt idx="21">
                  <c:v>21/02/2024  03:37</c:v>
                </c:pt>
                <c:pt idx="22">
                  <c:v>21/02/2024  03:38</c:v>
                </c:pt>
                <c:pt idx="23">
                  <c:v>21/02/2024  03:39</c:v>
                </c:pt>
                <c:pt idx="24">
                  <c:v>21/02/2024  03:40</c:v>
                </c:pt>
                <c:pt idx="25">
                  <c:v>21/02/2024  03:41</c:v>
                </c:pt>
                <c:pt idx="26">
                  <c:v>21/02/2024  03:42</c:v>
                </c:pt>
                <c:pt idx="27">
                  <c:v>21/02/2024  03:43</c:v>
                </c:pt>
                <c:pt idx="28">
                  <c:v>21/02/2024  03:44</c:v>
                </c:pt>
                <c:pt idx="29">
                  <c:v>21/02/2024  03:45</c:v>
                </c:pt>
                <c:pt idx="30">
                  <c:v>21/02/2024  03:46</c:v>
                </c:pt>
                <c:pt idx="31">
                  <c:v>21/02/2024  03:47</c:v>
                </c:pt>
                <c:pt idx="32">
                  <c:v>21/02/2024  03:48</c:v>
                </c:pt>
                <c:pt idx="33">
                  <c:v>21/02/2024  03:49</c:v>
                </c:pt>
                <c:pt idx="34">
                  <c:v>21/02/2024  03:50</c:v>
                </c:pt>
                <c:pt idx="35">
                  <c:v>21/02/2024  03:51</c:v>
                </c:pt>
                <c:pt idx="36">
                  <c:v>21/02/2024  03:52</c:v>
                </c:pt>
                <c:pt idx="37">
                  <c:v>21/02/2024  03:53</c:v>
                </c:pt>
                <c:pt idx="38">
                  <c:v>21/02/2024  03:54</c:v>
                </c:pt>
                <c:pt idx="39">
                  <c:v>21/02/2024  03:55</c:v>
                </c:pt>
                <c:pt idx="40">
                  <c:v>21/02/2024  03:56</c:v>
                </c:pt>
                <c:pt idx="41">
                  <c:v>21/02/2024  03:57</c:v>
                </c:pt>
                <c:pt idx="42">
                  <c:v>21/02/2024  03:58</c:v>
                </c:pt>
                <c:pt idx="43">
                  <c:v>21/02/2024  03:59</c:v>
                </c:pt>
                <c:pt idx="44">
                  <c:v>21/02/2024  04:00</c:v>
                </c:pt>
                <c:pt idx="45">
                  <c:v>21/02/2024  04:01</c:v>
                </c:pt>
                <c:pt idx="46">
                  <c:v>21/02/2024  04:02</c:v>
                </c:pt>
                <c:pt idx="47">
                  <c:v>21/02/2024  04:03</c:v>
                </c:pt>
                <c:pt idx="48">
                  <c:v>21/02/2024  04:04</c:v>
                </c:pt>
                <c:pt idx="49">
                  <c:v>21/02/2024  04:05</c:v>
                </c:pt>
                <c:pt idx="50">
                  <c:v>21/02/2024  04:06</c:v>
                </c:pt>
                <c:pt idx="51">
                  <c:v>21/02/2024  04:07</c:v>
                </c:pt>
                <c:pt idx="52">
                  <c:v>21/02/2024  04:08</c:v>
                </c:pt>
                <c:pt idx="53">
                  <c:v>21/02/2024  04:09</c:v>
                </c:pt>
              </c:strCache>
            </c:strRef>
          </c:cat>
          <c:val>
            <c:numRef>
              <c:f>'transfert 385'!$J$2:$J$55</c:f>
              <c:numCache>
                <c:formatCode>General</c:formatCode>
                <c:ptCount val="54"/>
                <c:pt idx="0">
                  <c:v>344.53</c:v>
                </c:pt>
                <c:pt idx="1">
                  <c:v>347.73</c:v>
                </c:pt>
                <c:pt idx="2">
                  <c:v>351</c:v>
                </c:pt>
                <c:pt idx="3">
                  <c:v>354.02</c:v>
                </c:pt>
                <c:pt idx="4">
                  <c:v>357.29</c:v>
                </c:pt>
                <c:pt idx="5">
                  <c:v>360.33</c:v>
                </c:pt>
                <c:pt idx="6">
                  <c:v>363.4</c:v>
                </c:pt>
                <c:pt idx="7">
                  <c:v>366.52</c:v>
                </c:pt>
                <c:pt idx="8">
                  <c:v>369.64</c:v>
                </c:pt>
                <c:pt idx="9">
                  <c:v>372.7</c:v>
                </c:pt>
                <c:pt idx="10">
                  <c:v>375.69</c:v>
                </c:pt>
                <c:pt idx="11">
                  <c:v>378.79</c:v>
                </c:pt>
                <c:pt idx="12">
                  <c:v>381.72</c:v>
                </c:pt>
                <c:pt idx="13">
                  <c:v>383.57</c:v>
                </c:pt>
                <c:pt idx="14">
                  <c:v>384.59</c:v>
                </c:pt>
                <c:pt idx="15">
                  <c:v>385.35</c:v>
                </c:pt>
                <c:pt idx="16">
                  <c:v>385.71</c:v>
                </c:pt>
                <c:pt idx="17">
                  <c:v>385.92</c:v>
                </c:pt>
                <c:pt idx="18">
                  <c:v>386.07</c:v>
                </c:pt>
                <c:pt idx="19">
                  <c:v>386.07</c:v>
                </c:pt>
                <c:pt idx="20">
                  <c:v>386.04</c:v>
                </c:pt>
                <c:pt idx="21">
                  <c:v>385.91</c:v>
                </c:pt>
                <c:pt idx="22">
                  <c:v>385.91</c:v>
                </c:pt>
                <c:pt idx="23">
                  <c:v>385.87</c:v>
                </c:pt>
                <c:pt idx="24">
                  <c:v>385.83</c:v>
                </c:pt>
                <c:pt idx="25">
                  <c:v>385.76</c:v>
                </c:pt>
                <c:pt idx="26">
                  <c:v>385.78</c:v>
                </c:pt>
                <c:pt idx="27">
                  <c:v>385.65</c:v>
                </c:pt>
                <c:pt idx="28">
                  <c:v>385.74</c:v>
                </c:pt>
                <c:pt idx="29">
                  <c:v>385.68</c:v>
                </c:pt>
                <c:pt idx="30">
                  <c:v>385.6</c:v>
                </c:pt>
                <c:pt idx="31">
                  <c:v>385.65</c:v>
                </c:pt>
                <c:pt idx="32">
                  <c:v>385.6</c:v>
                </c:pt>
                <c:pt idx="33">
                  <c:v>385.58</c:v>
                </c:pt>
                <c:pt idx="34">
                  <c:v>385.57</c:v>
                </c:pt>
                <c:pt idx="35">
                  <c:v>385.54</c:v>
                </c:pt>
                <c:pt idx="36">
                  <c:v>385.55</c:v>
                </c:pt>
                <c:pt idx="37">
                  <c:v>385.57</c:v>
                </c:pt>
                <c:pt idx="38">
                  <c:v>385.51</c:v>
                </c:pt>
                <c:pt idx="39">
                  <c:v>385.58</c:v>
                </c:pt>
                <c:pt idx="40">
                  <c:v>385.56</c:v>
                </c:pt>
                <c:pt idx="41">
                  <c:v>385.51</c:v>
                </c:pt>
                <c:pt idx="42">
                  <c:v>385.55</c:v>
                </c:pt>
                <c:pt idx="43">
                  <c:v>385.58</c:v>
                </c:pt>
                <c:pt idx="44">
                  <c:v>385.5</c:v>
                </c:pt>
                <c:pt idx="45">
                  <c:v>385.48</c:v>
                </c:pt>
                <c:pt idx="46">
                  <c:v>385.5</c:v>
                </c:pt>
                <c:pt idx="47">
                  <c:v>385.51</c:v>
                </c:pt>
                <c:pt idx="48">
                  <c:v>385.52</c:v>
                </c:pt>
                <c:pt idx="49">
                  <c:v>385.55</c:v>
                </c:pt>
                <c:pt idx="50">
                  <c:v>385.53</c:v>
                </c:pt>
                <c:pt idx="51">
                  <c:v>385.52</c:v>
                </c:pt>
                <c:pt idx="52">
                  <c:v>385.46</c:v>
                </c:pt>
                <c:pt idx="53">
                  <c:v>385.48</c:v>
                </c:pt>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535'!$B$2:$B$59</c:f>
              <c:numCache>
                <c:formatCode>General</c:formatCode>
                <c:ptCount val="58"/>
                <c:pt idx="0">
                  <c:v>491.71</c:v>
                </c:pt>
                <c:pt idx="1">
                  <c:v>494.21</c:v>
                </c:pt>
                <c:pt idx="2">
                  <c:v>496.66</c:v>
                </c:pt>
                <c:pt idx="3">
                  <c:v>499.07</c:v>
                </c:pt>
                <c:pt idx="4">
                  <c:v>501.51</c:v>
                </c:pt>
                <c:pt idx="5">
                  <c:v>503.93</c:v>
                </c:pt>
                <c:pt idx="6">
                  <c:v>506.39</c:v>
                </c:pt>
                <c:pt idx="7">
                  <c:v>508.79</c:v>
                </c:pt>
                <c:pt idx="8">
                  <c:v>511.08</c:v>
                </c:pt>
                <c:pt idx="9">
                  <c:v>513.54999999999995</c:v>
                </c:pt>
                <c:pt idx="10">
                  <c:v>515.75</c:v>
                </c:pt>
                <c:pt idx="11">
                  <c:v>518.14</c:v>
                </c:pt>
                <c:pt idx="12">
                  <c:v>520.42999999999995</c:v>
                </c:pt>
                <c:pt idx="13">
                  <c:v>522.80999999999995</c:v>
                </c:pt>
                <c:pt idx="14">
                  <c:v>525.07000000000005</c:v>
                </c:pt>
                <c:pt idx="15">
                  <c:v>527.4</c:v>
                </c:pt>
                <c:pt idx="16">
                  <c:v>529.67999999999995</c:v>
                </c:pt>
                <c:pt idx="17">
                  <c:v>531.65</c:v>
                </c:pt>
                <c:pt idx="18">
                  <c:v>533.04999999999995</c:v>
                </c:pt>
                <c:pt idx="19">
                  <c:v>534.35</c:v>
                </c:pt>
                <c:pt idx="20">
                  <c:v>535.20000000000005</c:v>
                </c:pt>
                <c:pt idx="21">
                  <c:v>535.98</c:v>
                </c:pt>
                <c:pt idx="22">
                  <c:v>536.66999999999996</c:v>
                </c:pt>
                <c:pt idx="23">
                  <c:v>536.91</c:v>
                </c:pt>
                <c:pt idx="24">
                  <c:v>537.04</c:v>
                </c:pt>
                <c:pt idx="25">
                  <c:v>537.16999999999996</c:v>
                </c:pt>
                <c:pt idx="26">
                  <c:v>537.29</c:v>
                </c:pt>
                <c:pt idx="27">
                  <c:v>537.36</c:v>
                </c:pt>
                <c:pt idx="28">
                  <c:v>537.36</c:v>
                </c:pt>
                <c:pt idx="29">
                  <c:v>537.41</c:v>
                </c:pt>
                <c:pt idx="30">
                  <c:v>537.35</c:v>
                </c:pt>
                <c:pt idx="31">
                  <c:v>537.44000000000005</c:v>
                </c:pt>
                <c:pt idx="32">
                  <c:v>537.41</c:v>
                </c:pt>
                <c:pt idx="33">
                  <c:v>537.53</c:v>
                </c:pt>
                <c:pt idx="34">
                  <c:v>537.66</c:v>
                </c:pt>
                <c:pt idx="35">
                  <c:v>537.58000000000004</c:v>
                </c:pt>
                <c:pt idx="36">
                  <c:v>537.49</c:v>
                </c:pt>
                <c:pt idx="37">
                  <c:v>537.57000000000005</c:v>
                </c:pt>
                <c:pt idx="38">
                  <c:v>537.44000000000005</c:v>
                </c:pt>
                <c:pt idx="39">
                  <c:v>537.47</c:v>
                </c:pt>
                <c:pt idx="40">
                  <c:v>537.37</c:v>
                </c:pt>
                <c:pt idx="41">
                  <c:v>537.53</c:v>
                </c:pt>
                <c:pt idx="42">
                  <c:v>537.4</c:v>
                </c:pt>
                <c:pt idx="43">
                  <c:v>537.53</c:v>
                </c:pt>
                <c:pt idx="44">
                  <c:v>537.47</c:v>
                </c:pt>
                <c:pt idx="45">
                  <c:v>537.49</c:v>
                </c:pt>
                <c:pt idx="46">
                  <c:v>537.49</c:v>
                </c:pt>
                <c:pt idx="47">
                  <c:v>537.41999999999996</c:v>
                </c:pt>
                <c:pt idx="48">
                  <c:v>537.6</c:v>
                </c:pt>
                <c:pt idx="49">
                  <c:v>537.47</c:v>
                </c:pt>
                <c:pt idx="50">
                  <c:v>537.44000000000005</c:v>
                </c:pt>
                <c:pt idx="51">
                  <c:v>537.53</c:v>
                </c:pt>
                <c:pt idx="52">
                  <c:v>537.42999999999995</c:v>
                </c:pt>
                <c:pt idx="53">
                  <c:v>537.39</c:v>
                </c:pt>
                <c:pt idx="54">
                  <c:v>537.37</c:v>
                </c:pt>
                <c:pt idx="55">
                  <c:v>537.46</c:v>
                </c:pt>
                <c:pt idx="56">
                  <c:v>537.30999999999995</c:v>
                </c:pt>
                <c:pt idx="57">
                  <c:v>537.33000000000004</c:v>
                </c:pt>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535'!$C$2:$C$59</c:f>
              <c:numCache>
                <c:formatCode>General</c:formatCode>
                <c:ptCount val="58"/>
                <c:pt idx="0">
                  <c:v>490.18</c:v>
                </c:pt>
                <c:pt idx="1">
                  <c:v>492.76</c:v>
                </c:pt>
                <c:pt idx="2">
                  <c:v>495.14</c:v>
                </c:pt>
                <c:pt idx="3">
                  <c:v>497.63</c:v>
                </c:pt>
                <c:pt idx="4">
                  <c:v>500.06</c:v>
                </c:pt>
                <c:pt idx="5">
                  <c:v>502.48</c:v>
                </c:pt>
                <c:pt idx="6">
                  <c:v>505.05</c:v>
                </c:pt>
                <c:pt idx="7">
                  <c:v>507.51</c:v>
                </c:pt>
                <c:pt idx="8">
                  <c:v>509.71</c:v>
                </c:pt>
                <c:pt idx="9">
                  <c:v>512.27</c:v>
                </c:pt>
                <c:pt idx="10">
                  <c:v>514.44000000000005</c:v>
                </c:pt>
                <c:pt idx="11">
                  <c:v>516.84</c:v>
                </c:pt>
                <c:pt idx="12">
                  <c:v>519.24</c:v>
                </c:pt>
                <c:pt idx="13">
                  <c:v>521.47</c:v>
                </c:pt>
                <c:pt idx="14">
                  <c:v>523.71</c:v>
                </c:pt>
                <c:pt idx="15">
                  <c:v>526.14</c:v>
                </c:pt>
                <c:pt idx="16">
                  <c:v>528.54</c:v>
                </c:pt>
                <c:pt idx="17">
                  <c:v>530.57000000000005</c:v>
                </c:pt>
                <c:pt idx="18">
                  <c:v>531.94000000000005</c:v>
                </c:pt>
                <c:pt idx="19">
                  <c:v>533.28</c:v>
                </c:pt>
                <c:pt idx="20">
                  <c:v>534.37</c:v>
                </c:pt>
                <c:pt idx="21">
                  <c:v>535.23</c:v>
                </c:pt>
                <c:pt idx="22">
                  <c:v>536.07000000000005</c:v>
                </c:pt>
                <c:pt idx="23">
                  <c:v>536.35</c:v>
                </c:pt>
                <c:pt idx="24">
                  <c:v>536.54</c:v>
                </c:pt>
                <c:pt idx="25">
                  <c:v>536.86</c:v>
                </c:pt>
                <c:pt idx="26">
                  <c:v>536.99</c:v>
                </c:pt>
                <c:pt idx="27">
                  <c:v>537.04999999999995</c:v>
                </c:pt>
                <c:pt idx="28">
                  <c:v>537.11</c:v>
                </c:pt>
                <c:pt idx="29">
                  <c:v>537.12</c:v>
                </c:pt>
                <c:pt idx="30">
                  <c:v>537.30999999999995</c:v>
                </c:pt>
                <c:pt idx="31">
                  <c:v>537.34</c:v>
                </c:pt>
                <c:pt idx="32">
                  <c:v>537.28</c:v>
                </c:pt>
                <c:pt idx="33">
                  <c:v>537.34</c:v>
                </c:pt>
                <c:pt idx="34">
                  <c:v>537.38</c:v>
                </c:pt>
                <c:pt idx="35">
                  <c:v>537.37</c:v>
                </c:pt>
                <c:pt idx="36">
                  <c:v>537.44000000000005</c:v>
                </c:pt>
                <c:pt idx="37">
                  <c:v>537.4</c:v>
                </c:pt>
                <c:pt idx="38">
                  <c:v>537.30999999999995</c:v>
                </c:pt>
                <c:pt idx="39">
                  <c:v>537.33000000000004</c:v>
                </c:pt>
                <c:pt idx="40">
                  <c:v>537.35</c:v>
                </c:pt>
                <c:pt idx="41">
                  <c:v>537.36</c:v>
                </c:pt>
                <c:pt idx="42">
                  <c:v>537.29</c:v>
                </c:pt>
                <c:pt idx="43">
                  <c:v>537.4</c:v>
                </c:pt>
                <c:pt idx="44">
                  <c:v>537.33000000000004</c:v>
                </c:pt>
                <c:pt idx="45">
                  <c:v>537.32000000000005</c:v>
                </c:pt>
                <c:pt idx="46">
                  <c:v>537.30999999999995</c:v>
                </c:pt>
                <c:pt idx="47">
                  <c:v>537.4</c:v>
                </c:pt>
                <c:pt idx="48">
                  <c:v>537.4</c:v>
                </c:pt>
                <c:pt idx="49">
                  <c:v>537.29999999999995</c:v>
                </c:pt>
                <c:pt idx="50">
                  <c:v>537.34</c:v>
                </c:pt>
                <c:pt idx="51">
                  <c:v>537.34</c:v>
                </c:pt>
                <c:pt idx="52">
                  <c:v>537.27</c:v>
                </c:pt>
                <c:pt idx="53">
                  <c:v>537.29</c:v>
                </c:pt>
                <c:pt idx="54">
                  <c:v>537.26</c:v>
                </c:pt>
                <c:pt idx="55">
                  <c:v>537.25</c:v>
                </c:pt>
                <c:pt idx="56">
                  <c:v>537.23</c:v>
                </c:pt>
                <c:pt idx="57">
                  <c:v>537.27</c:v>
                </c:pt>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535'!$D$2:$D$59</c:f>
              <c:numCache>
                <c:formatCode>General</c:formatCode>
                <c:ptCount val="58"/>
                <c:pt idx="0">
                  <c:v>490.24</c:v>
                </c:pt>
                <c:pt idx="1">
                  <c:v>492.65</c:v>
                </c:pt>
                <c:pt idx="2">
                  <c:v>495.15</c:v>
                </c:pt>
                <c:pt idx="3">
                  <c:v>497.7</c:v>
                </c:pt>
                <c:pt idx="4">
                  <c:v>500.07</c:v>
                </c:pt>
                <c:pt idx="5">
                  <c:v>502.58</c:v>
                </c:pt>
                <c:pt idx="6">
                  <c:v>504.96</c:v>
                </c:pt>
                <c:pt idx="7">
                  <c:v>507.36</c:v>
                </c:pt>
                <c:pt idx="8">
                  <c:v>509.77</c:v>
                </c:pt>
                <c:pt idx="9">
                  <c:v>512.09</c:v>
                </c:pt>
                <c:pt idx="10">
                  <c:v>514.59</c:v>
                </c:pt>
                <c:pt idx="11">
                  <c:v>516.77</c:v>
                </c:pt>
                <c:pt idx="12">
                  <c:v>519.12</c:v>
                </c:pt>
                <c:pt idx="13">
                  <c:v>521.38</c:v>
                </c:pt>
                <c:pt idx="14">
                  <c:v>523.84</c:v>
                </c:pt>
                <c:pt idx="15">
                  <c:v>526.09</c:v>
                </c:pt>
                <c:pt idx="16">
                  <c:v>528.44000000000005</c:v>
                </c:pt>
                <c:pt idx="17">
                  <c:v>530.37</c:v>
                </c:pt>
                <c:pt idx="18">
                  <c:v>531.87</c:v>
                </c:pt>
                <c:pt idx="19">
                  <c:v>533.16</c:v>
                </c:pt>
                <c:pt idx="20">
                  <c:v>534.16999999999996</c:v>
                </c:pt>
                <c:pt idx="21">
                  <c:v>534.96</c:v>
                </c:pt>
                <c:pt idx="22">
                  <c:v>535.70000000000005</c:v>
                </c:pt>
                <c:pt idx="23">
                  <c:v>536.05999999999995</c:v>
                </c:pt>
                <c:pt idx="24">
                  <c:v>536.23</c:v>
                </c:pt>
                <c:pt idx="25">
                  <c:v>536.34</c:v>
                </c:pt>
                <c:pt idx="26">
                  <c:v>536.59</c:v>
                </c:pt>
                <c:pt idx="27">
                  <c:v>536.70000000000005</c:v>
                </c:pt>
                <c:pt idx="28">
                  <c:v>536.75</c:v>
                </c:pt>
                <c:pt idx="29">
                  <c:v>536.73</c:v>
                </c:pt>
                <c:pt idx="30">
                  <c:v>536.71</c:v>
                </c:pt>
                <c:pt idx="31">
                  <c:v>536.85</c:v>
                </c:pt>
                <c:pt idx="32">
                  <c:v>536.79999999999995</c:v>
                </c:pt>
                <c:pt idx="33">
                  <c:v>536.96</c:v>
                </c:pt>
                <c:pt idx="34">
                  <c:v>537.03</c:v>
                </c:pt>
                <c:pt idx="35">
                  <c:v>537.02</c:v>
                </c:pt>
                <c:pt idx="36">
                  <c:v>536.91</c:v>
                </c:pt>
                <c:pt idx="37">
                  <c:v>536.99</c:v>
                </c:pt>
                <c:pt idx="38">
                  <c:v>536.85</c:v>
                </c:pt>
                <c:pt idx="39">
                  <c:v>536.89</c:v>
                </c:pt>
                <c:pt idx="40">
                  <c:v>536.83000000000004</c:v>
                </c:pt>
                <c:pt idx="41">
                  <c:v>536.92999999999995</c:v>
                </c:pt>
                <c:pt idx="42">
                  <c:v>536.82000000000005</c:v>
                </c:pt>
                <c:pt idx="43">
                  <c:v>536.94000000000005</c:v>
                </c:pt>
                <c:pt idx="44">
                  <c:v>536.95000000000005</c:v>
                </c:pt>
                <c:pt idx="45">
                  <c:v>536.9</c:v>
                </c:pt>
                <c:pt idx="46">
                  <c:v>536.94000000000005</c:v>
                </c:pt>
                <c:pt idx="47">
                  <c:v>536.87</c:v>
                </c:pt>
                <c:pt idx="48">
                  <c:v>537.01</c:v>
                </c:pt>
                <c:pt idx="49">
                  <c:v>536.87</c:v>
                </c:pt>
                <c:pt idx="50">
                  <c:v>536.80999999999995</c:v>
                </c:pt>
                <c:pt idx="51">
                  <c:v>536.98</c:v>
                </c:pt>
                <c:pt idx="52">
                  <c:v>536.85</c:v>
                </c:pt>
                <c:pt idx="53">
                  <c:v>536.87</c:v>
                </c:pt>
                <c:pt idx="54">
                  <c:v>536.82000000000005</c:v>
                </c:pt>
                <c:pt idx="55">
                  <c:v>536.87</c:v>
                </c:pt>
                <c:pt idx="56">
                  <c:v>536.75</c:v>
                </c:pt>
                <c:pt idx="57">
                  <c:v>536.84</c:v>
                </c:pt>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535'!$E$2:$E$59</c:f>
              <c:numCache>
                <c:formatCode>General</c:formatCode>
                <c:ptCount val="58"/>
                <c:pt idx="0">
                  <c:v>491.95</c:v>
                </c:pt>
                <c:pt idx="1">
                  <c:v>494.49</c:v>
                </c:pt>
                <c:pt idx="2">
                  <c:v>496.98</c:v>
                </c:pt>
                <c:pt idx="3">
                  <c:v>499.39</c:v>
                </c:pt>
                <c:pt idx="4">
                  <c:v>501.84</c:v>
                </c:pt>
                <c:pt idx="5">
                  <c:v>504.23</c:v>
                </c:pt>
                <c:pt idx="6">
                  <c:v>506.62</c:v>
                </c:pt>
                <c:pt idx="7">
                  <c:v>508.99</c:v>
                </c:pt>
                <c:pt idx="8">
                  <c:v>511.35</c:v>
                </c:pt>
                <c:pt idx="9">
                  <c:v>513.71</c:v>
                </c:pt>
                <c:pt idx="10">
                  <c:v>516.01</c:v>
                </c:pt>
                <c:pt idx="11">
                  <c:v>518.38</c:v>
                </c:pt>
                <c:pt idx="12">
                  <c:v>520.72</c:v>
                </c:pt>
                <c:pt idx="13">
                  <c:v>523.04</c:v>
                </c:pt>
                <c:pt idx="14">
                  <c:v>525.29999999999995</c:v>
                </c:pt>
                <c:pt idx="15">
                  <c:v>527.54</c:v>
                </c:pt>
                <c:pt idx="16">
                  <c:v>529.85</c:v>
                </c:pt>
                <c:pt idx="17">
                  <c:v>531.85</c:v>
                </c:pt>
                <c:pt idx="18">
                  <c:v>533.03</c:v>
                </c:pt>
                <c:pt idx="19">
                  <c:v>534.25</c:v>
                </c:pt>
                <c:pt idx="20">
                  <c:v>535.11</c:v>
                </c:pt>
                <c:pt idx="21">
                  <c:v>535.76</c:v>
                </c:pt>
                <c:pt idx="22">
                  <c:v>536.36</c:v>
                </c:pt>
                <c:pt idx="23">
                  <c:v>536.54999999999995</c:v>
                </c:pt>
                <c:pt idx="24">
                  <c:v>536.61</c:v>
                </c:pt>
                <c:pt idx="25">
                  <c:v>536.57000000000005</c:v>
                </c:pt>
                <c:pt idx="26">
                  <c:v>536.83000000000004</c:v>
                </c:pt>
                <c:pt idx="27">
                  <c:v>536.83000000000004</c:v>
                </c:pt>
                <c:pt idx="28">
                  <c:v>536.86</c:v>
                </c:pt>
                <c:pt idx="29">
                  <c:v>536.84</c:v>
                </c:pt>
                <c:pt idx="30">
                  <c:v>536.79</c:v>
                </c:pt>
                <c:pt idx="31">
                  <c:v>536.95000000000005</c:v>
                </c:pt>
                <c:pt idx="32">
                  <c:v>536.84</c:v>
                </c:pt>
                <c:pt idx="33">
                  <c:v>536.99</c:v>
                </c:pt>
                <c:pt idx="34">
                  <c:v>537.09</c:v>
                </c:pt>
                <c:pt idx="35">
                  <c:v>537.03</c:v>
                </c:pt>
                <c:pt idx="36">
                  <c:v>536.91</c:v>
                </c:pt>
                <c:pt idx="37">
                  <c:v>537.02</c:v>
                </c:pt>
                <c:pt idx="38">
                  <c:v>536.87</c:v>
                </c:pt>
                <c:pt idx="39">
                  <c:v>536.9</c:v>
                </c:pt>
                <c:pt idx="40">
                  <c:v>536.78</c:v>
                </c:pt>
                <c:pt idx="41">
                  <c:v>536.92999999999995</c:v>
                </c:pt>
                <c:pt idx="42">
                  <c:v>536.85</c:v>
                </c:pt>
                <c:pt idx="43">
                  <c:v>536.92999999999995</c:v>
                </c:pt>
                <c:pt idx="44">
                  <c:v>536.94000000000005</c:v>
                </c:pt>
                <c:pt idx="45">
                  <c:v>536.91999999999996</c:v>
                </c:pt>
                <c:pt idx="46">
                  <c:v>536.92999999999995</c:v>
                </c:pt>
                <c:pt idx="47">
                  <c:v>536.83000000000004</c:v>
                </c:pt>
                <c:pt idx="48">
                  <c:v>537.08000000000004</c:v>
                </c:pt>
                <c:pt idx="49">
                  <c:v>536.89</c:v>
                </c:pt>
                <c:pt idx="50">
                  <c:v>536.79999999999995</c:v>
                </c:pt>
                <c:pt idx="51">
                  <c:v>536.98</c:v>
                </c:pt>
                <c:pt idx="52">
                  <c:v>536.83000000000004</c:v>
                </c:pt>
                <c:pt idx="53">
                  <c:v>536.86</c:v>
                </c:pt>
                <c:pt idx="54">
                  <c:v>536.80999999999995</c:v>
                </c:pt>
                <c:pt idx="55">
                  <c:v>536.89</c:v>
                </c:pt>
                <c:pt idx="56">
                  <c:v>536.75</c:v>
                </c:pt>
                <c:pt idx="57">
                  <c:v>536.82000000000005</c:v>
                </c:pt>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535'!$F$2:$F$59</c:f>
              <c:numCache>
                <c:formatCode>General</c:formatCode>
                <c:ptCount val="58"/>
                <c:pt idx="0">
                  <c:v>491.02</c:v>
                </c:pt>
                <c:pt idx="1">
                  <c:v>493.7</c:v>
                </c:pt>
                <c:pt idx="2">
                  <c:v>495.88</c:v>
                </c:pt>
                <c:pt idx="3">
                  <c:v>498.37</c:v>
                </c:pt>
                <c:pt idx="4">
                  <c:v>500.78</c:v>
                </c:pt>
                <c:pt idx="5">
                  <c:v>503.19</c:v>
                </c:pt>
                <c:pt idx="6">
                  <c:v>505.67</c:v>
                </c:pt>
                <c:pt idx="7">
                  <c:v>507.87</c:v>
                </c:pt>
                <c:pt idx="8">
                  <c:v>510.21</c:v>
                </c:pt>
                <c:pt idx="9">
                  <c:v>512.78</c:v>
                </c:pt>
                <c:pt idx="10">
                  <c:v>514.94000000000005</c:v>
                </c:pt>
                <c:pt idx="11">
                  <c:v>517.37</c:v>
                </c:pt>
                <c:pt idx="12">
                  <c:v>519.61</c:v>
                </c:pt>
                <c:pt idx="13">
                  <c:v>521.64</c:v>
                </c:pt>
                <c:pt idx="14">
                  <c:v>524.04</c:v>
                </c:pt>
                <c:pt idx="15">
                  <c:v>526.30999999999995</c:v>
                </c:pt>
                <c:pt idx="16">
                  <c:v>528.91999999999996</c:v>
                </c:pt>
                <c:pt idx="17">
                  <c:v>530.44000000000005</c:v>
                </c:pt>
                <c:pt idx="18">
                  <c:v>531.66999999999996</c:v>
                </c:pt>
                <c:pt idx="19">
                  <c:v>532.25</c:v>
                </c:pt>
                <c:pt idx="20">
                  <c:v>532.98</c:v>
                </c:pt>
                <c:pt idx="21">
                  <c:v>533.27</c:v>
                </c:pt>
                <c:pt idx="22">
                  <c:v>533.71</c:v>
                </c:pt>
                <c:pt idx="23">
                  <c:v>533.44000000000005</c:v>
                </c:pt>
                <c:pt idx="24">
                  <c:v>533.01</c:v>
                </c:pt>
                <c:pt idx="25">
                  <c:v>533.20000000000005</c:v>
                </c:pt>
                <c:pt idx="26">
                  <c:v>533.27</c:v>
                </c:pt>
                <c:pt idx="27">
                  <c:v>532.92999999999995</c:v>
                </c:pt>
                <c:pt idx="28">
                  <c:v>532.87</c:v>
                </c:pt>
                <c:pt idx="29">
                  <c:v>532.84</c:v>
                </c:pt>
                <c:pt idx="30">
                  <c:v>532.9</c:v>
                </c:pt>
                <c:pt idx="31">
                  <c:v>532.98</c:v>
                </c:pt>
                <c:pt idx="32">
                  <c:v>532.69000000000005</c:v>
                </c:pt>
                <c:pt idx="33">
                  <c:v>532.87</c:v>
                </c:pt>
                <c:pt idx="34">
                  <c:v>532.80999999999995</c:v>
                </c:pt>
                <c:pt idx="35">
                  <c:v>532.69000000000005</c:v>
                </c:pt>
                <c:pt idx="36">
                  <c:v>532.64</c:v>
                </c:pt>
                <c:pt idx="37">
                  <c:v>532.75</c:v>
                </c:pt>
                <c:pt idx="38">
                  <c:v>532.52</c:v>
                </c:pt>
                <c:pt idx="39">
                  <c:v>532.57000000000005</c:v>
                </c:pt>
                <c:pt idx="40">
                  <c:v>532.44000000000005</c:v>
                </c:pt>
                <c:pt idx="41">
                  <c:v>532.58000000000004</c:v>
                </c:pt>
                <c:pt idx="42">
                  <c:v>532.37</c:v>
                </c:pt>
                <c:pt idx="43">
                  <c:v>532.74</c:v>
                </c:pt>
                <c:pt idx="44">
                  <c:v>532.5</c:v>
                </c:pt>
                <c:pt idx="45">
                  <c:v>532.55999999999995</c:v>
                </c:pt>
                <c:pt idx="46">
                  <c:v>532.64</c:v>
                </c:pt>
                <c:pt idx="47">
                  <c:v>532.74</c:v>
                </c:pt>
                <c:pt idx="48">
                  <c:v>532.70000000000005</c:v>
                </c:pt>
                <c:pt idx="49">
                  <c:v>532.35</c:v>
                </c:pt>
                <c:pt idx="50">
                  <c:v>532.5</c:v>
                </c:pt>
                <c:pt idx="51">
                  <c:v>532.62</c:v>
                </c:pt>
                <c:pt idx="52">
                  <c:v>532.49</c:v>
                </c:pt>
                <c:pt idx="53">
                  <c:v>532.5</c:v>
                </c:pt>
                <c:pt idx="54">
                  <c:v>532.16999999999996</c:v>
                </c:pt>
                <c:pt idx="55">
                  <c:v>532.5</c:v>
                </c:pt>
                <c:pt idx="56">
                  <c:v>532.29</c:v>
                </c:pt>
                <c:pt idx="57">
                  <c:v>532.39</c:v>
                </c:pt>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535'!$G$2:$G$59</c:f>
              <c:numCache>
                <c:formatCode>General</c:formatCode>
                <c:ptCount val="58"/>
                <c:pt idx="0">
                  <c:v>494.49</c:v>
                </c:pt>
                <c:pt idx="1">
                  <c:v>496.74</c:v>
                </c:pt>
                <c:pt idx="2">
                  <c:v>499.19</c:v>
                </c:pt>
                <c:pt idx="3">
                  <c:v>501.79</c:v>
                </c:pt>
                <c:pt idx="4">
                  <c:v>504.01</c:v>
                </c:pt>
                <c:pt idx="5">
                  <c:v>506.41</c:v>
                </c:pt>
                <c:pt idx="6">
                  <c:v>508.69</c:v>
                </c:pt>
                <c:pt idx="7">
                  <c:v>511.08</c:v>
                </c:pt>
                <c:pt idx="8">
                  <c:v>513.52</c:v>
                </c:pt>
                <c:pt idx="9">
                  <c:v>515.76</c:v>
                </c:pt>
                <c:pt idx="10">
                  <c:v>518.1</c:v>
                </c:pt>
                <c:pt idx="11">
                  <c:v>520.58000000000004</c:v>
                </c:pt>
                <c:pt idx="12">
                  <c:v>522.91</c:v>
                </c:pt>
                <c:pt idx="13">
                  <c:v>525.1</c:v>
                </c:pt>
                <c:pt idx="14">
                  <c:v>527.38</c:v>
                </c:pt>
                <c:pt idx="15">
                  <c:v>529.64</c:v>
                </c:pt>
                <c:pt idx="16">
                  <c:v>532.01</c:v>
                </c:pt>
                <c:pt idx="17">
                  <c:v>533.77</c:v>
                </c:pt>
                <c:pt idx="18">
                  <c:v>535.03</c:v>
                </c:pt>
                <c:pt idx="19">
                  <c:v>536.01</c:v>
                </c:pt>
                <c:pt idx="20">
                  <c:v>536.91</c:v>
                </c:pt>
                <c:pt idx="21">
                  <c:v>537.51</c:v>
                </c:pt>
                <c:pt idx="22">
                  <c:v>538.03</c:v>
                </c:pt>
                <c:pt idx="23">
                  <c:v>538.1</c:v>
                </c:pt>
                <c:pt idx="24">
                  <c:v>537.95000000000005</c:v>
                </c:pt>
                <c:pt idx="25">
                  <c:v>538.05999999999995</c:v>
                </c:pt>
                <c:pt idx="26">
                  <c:v>538.1</c:v>
                </c:pt>
                <c:pt idx="27">
                  <c:v>537.99</c:v>
                </c:pt>
                <c:pt idx="28">
                  <c:v>537.89</c:v>
                </c:pt>
                <c:pt idx="29">
                  <c:v>537.75</c:v>
                </c:pt>
                <c:pt idx="30">
                  <c:v>537.83000000000004</c:v>
                </c:pt>
                <c:pt idx="31">
                  <c:v>537.89</c:v>
                </c:pt>
                <c:pt idx="32">
                  <c:v>537.63</c:v>
                </c:pt>
                <c:pt idx="33">
                  <c:v>537.71</c:v>
                </c:pt>
                <c:pt idx="34">
                  <c:v>537.79</c:v>
                </c:pt>
                <c:pt idx="35">
                  <c:v>537.79999999999995</c:v>
                </c:pt>
                <c:pt idx="36">
                  <c:v>537.69000000000005</c:v>
                </c:pt>
                <c:pt idx="37">
                  <c:v>537.67999999999995</c:v>
                </c:pt>
                <c:pt idx="38">
                  <c:v>537.58000000000004</c:v>
                </c:pt>
                <c:pt idx="39">
                  <c:v>537.49</c:v>
                </c:pt>
                <c:pt idx="40">
                  <c:v>537.45000000000005</c:v>
                </c:pt>
                <c:pt idx="41">
                  <c:v>537.45000000000005</c:v>
                </c:pt>
                <c:pt idx="42">
                  <c:v>537.34</c:v>
                </c:pt>
                <c:pt idx="43">
                  <c:v>537.53</c:v>
                </c:pt>
                <c:pt idx="44">
                  <c:v>537.46</c:v>
                </c:pt>
                <c:pt idx="45">
                  <c:v>537.44000000000005</c:v>
                </c:pt>
                <c:pt idx="46">
                  <c:v>537.41</c:v>
                </c:pt>
                <c:pt idx="47">
                  <c:v>537.4</c:v>
                </c:pt>
                <c:pt idx="48">
                  <c:v>537.52</c:v>
                </c:pt>
                <c:pt idx="49">
                  <c:v>537.36</c:v>
                </c:pt>
                <c:pt idx="50">
                  <c:v>537.29999999999995</c:v>
                </c:pt>
                <c:pt idx="51">
                  <c:v>537.42999999999995</c:v>
                </c:pt>
                <c:pt idx="52">
                  <c:v>537.28</c:v>
                </c:pt>
                <c:pt idx="53">
                  <c:v>537.36</c:v>
                </c:pt>
                <c:pt idx="54">
                  <c:v>537.30999999999995</c:v>
                </c:pt>
                <c:pt idx="55">
                  <c:v>537.39</c:v>
                </c:pt>
                <c:pt idx="56">
                  <c:v>537.21</c:v>
                </c:pt>
                <c:pt idx="57">
                  <c:v>537.29999999999995</c:v>
                </c:pt>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535'!$H$2:$H$59</c:f>
              <c:numCache>
                <c:formatCode>General</c:formatCode>
                <c:ptCount val="58"/>
                <c:pt idx="0">
                  <c:v>491.95</c:v>
                </c:pt>
                <c:pt idx="1">
                  <c:v>494.44</c:v>
                </c:pt>
                <c:pt idx="2">
                  <c:v>496.99</c:v>
                </c:pt>
                <c:pt idx="3">
                  <c:v>499.39</c:v>
                </c:pt>
                <c:pt idx="4">
                  <c:v>501.76</c:v>
                </c:pt>
                <c:pt idx="5">
                  <c:v>504.18</c:v>
                </c:pt>
                <c:pt idx="6">
                  <c:v>506.65</c:v>
                </c:pt>
                <c:pt idx="7">
                  <c:v>508.96</c:v>
                </c:pt>
                <c:pt idx="8">
                  <c:v>511.36</c:v>
                </c:pt>
                <c:pt idx="9">
                  <c:v>513.64</c:v>
                </c:pt>
                <c:pt idx="10">
                  <c:v>516.13</c:v>
                </c:pt>
                <c:pt idx="11">
                  <c:v>518.29999999999995</c:v>
                </c:pt>
                <c:pt idx="12">
                  <c:v>520.57000000000005</c:v>
                </c:pt>
                <c:pt idx="13">
                  <c:v>522.9</c:v>
                </c:pt>
                <c:pt idx="14">
                  <c:v>525.22</c:v>
                </c:pt>
                <c:pt idx="15">
                  <c:v>527.5</c:v>
                </c:pt>
                <c:pt idx="16">
                  <c:v>529.85</c:v>
                </c:pt>
                <c:pt idx="17">
                  <c:v>531.77</c:v>
                </c:pt>
                <c:pt idx="18">
                  <c:v>533.12</c:v>
                </c:pt>
                <c:pt idx="19">
                  <c:v>534.28</c:v>
                </c:pt>
                <c:pt idx="20">
                  <c:v>535.27</c:v>
                </c:pt>
                <c:pt idx="21">
                  <c:v>535.9</c:v>
                </c:pt>
                <c:pt idx="22">
                  <c:v>536.5</c:v>
                </c:pt>
                <c:pt idx="23">
                  <c:v>536.69000000000005</c:v>
                </c:pt>
                <c:pt idx="24">
                  <c:v>536.77</c:v>
                </c:pt>
                <c:pt idx="25">
                  <c:v>536.79</c:v>
                </c:pt>
                <c:pt idx="26">
                  <c:v>536.87</c:v>
                </c:pt>
                <c:pt idx="27">
                  <c:v>536.87</c:v>
                </c:pt>
                <c:pt idx="28">
                  <c:v>536.78</c:v>
                </c:pt>
                <c:pt idx="29">
                  <c:v>536.73</c:v>
                </c:pt>
                <c:pt idx="30">
                  <c:v>536.66999999999996</c:v>
                </c:pt>
                <c:pt idx="31">
                  <c:v>536.75</c:v>
                </c:pt>
                <c:pt idx="32">
                  <c:v>536.64</c:v>
                </c:pt>
                <c:pt idx="33">
                  <c:v>536.77</c:v>
                </c:pt>
                <c:pt idx="34">
                  <c:v>536.77</c:v>
                </c:pt>
                <c:pt idx="35">
                  <c:v>536.74</c:v>
                </c:pt>
                <c:pt idx="36">
                  <c:v>536.69000000000005</c:v>
                </c:pt>
                <c:pt idx="37">
                  <c:v>536.70000000000005</c:v>
                </c:pt>
                <c:pt idx="38">
                  <c:v>536.52</c:v>
                </c:pt>
                <c:pt idx="39">
                  <c:v>536.54999999999995</c:v>
                </c:pt>
                <c:pt idx="40">
                  <c:v>536.46</c:v>
                </c:pt>
                <c:pt idx="41">
                  <c:v>536.57000000000005</c:v>
                </c:pt>
                <c:pt idx="42">
                  <c:v>536.42999999999995</c:v>
                </c:pt>
                <c:pt idx="43">
                  <c:v>536.6</c:v>
                </c:pt>
                <c:pt idx="44">
                  <c:v>536.52</c:v>
                </c:pt>
                <c:pt idx="45">
                  <c:v>536.51</c:v>
                </c:pt>
                <c:pt idx="46">
                  <c:v>536.49</c:v>
                </c:pt>
                <c:pt idx="47">
                  <c:v>536.48</c:v>
                </c:pt>
                <c:pt idx="48">
                  <c:v>536.54</c:v>
                </c:pt>
                <c:pt idx="49">
                  <c:v>536.47</c:v>
                </c:pt>
                <c:pt idx="50">
                  <c:v>536.33000000000004</c:v>
                </c:pt>
                <c:pt idx="51">
                  <c:v>536.51</c:v>
                </c:pt>
                <c:pt idx="52">
                  <c:v>536.35</c:v>
                </c:pt>
                <c:pt idx="53">
                  <c:v>536.39</c:v>
                </c:pt>
                <c:pt idx="54">
                  <c:v>536.36</c:v>
                </c:pt>
                <c:pt idx="55">
                  <c:v>536.39</c:v>
                </c:pt>
                <c:pt idx="56">
                  <c:v>536.28</c:v>
                </c:pt>
                <c:pt idx="57">
                  <c:v>536.36</c:v>
                </c:pt>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535'!$I$2:$I$59</c:f>
              <c:numCache>
                <c:formatCode>General</c:formatCode>
                <c:ptCount val="58"/>
                <c:pt idx="0">
                  <c:v>495.53</c:v>
                </c:pt>
                <c:pt idx="1">
                  <c:v>497.93</c:v>
                </c:pt>
                <c:pt idx="2">
                  <c:v>500.37</c:v>
                </c:pt>
                <c:pt idx="3">
                  <c:v>502.77</c:v>
                </c:pt>
                <c:pt idx="4">
                  <c:v>505.15</c:v>
                </c:pt>
                <c:pt idx="5">
                  <c:v>507.59</c:v>
                </c:pt>
                <c:pt idx="6">
                  <c:v>509.9</c:v>
                </c:pt>
                <c:pt idx="7">
                  <c:v>512.34</c:v>
                </c:pt>
                <c:pt idx="8">
                  <c:v>514.66</c:v>
                </c:pt>
                <c:pt idx="9">
                  <c:v>516.9</c:v>
                </c:pt>
                <c:pt idx="10">
                  <c:v>519.42999999999995</c:v>
                </c:pt>
                <c:pt idx="11">
                  <c:v>521.6</c:v>
                </c:pt>
                <c:pt idx="12">
                  <c:v>523.94000000000005</c:v>
                </c:pt>
                <c:pt idx="13">
                  <c:v>526.12</c:v>
                </c:pt>
                <c:pt idx="14">
                  <c:v>528.5</c:v>
                </c:pt>
                <c:pt idx="15">
                  <c:v>530.69000000000005</c:v>
                </c:pt>
                <c:pt idx="16">
                  <c:v>532.99</c:v>
                </c:pt>
                <c:pt idx="17">
                  <c:v>534.69000000000005</c:v>
                </c:pt>
                <c:pt idx="18">
                  <c:v>535.9</c:v>
                </c:pt>
                <c:pt idx="19">
                  <c:v>536.89</c:v>
                </c:pt>
                <c:pt idx="20">
                  <c:v>537.53</c:v>
                </c:pt>
                <c:pt idx="21">
                  <c:v>537.94000000000005</c:v>
                </c:pt>
                <c:pt idx="22">
                  <c:v>538.26</c:v>
                </c:pt>
                <c:pt idx="23">
                  <c:v>538.36</c:v>
                </c:pt>
                <c:pt idx="24">
                  <c:v>538.20000000000005</c:v>
                </c:pt>
                <c:pt idx="25">
                  <c:v>537.99</c:v>
                </c:pt>
                <c:pt idx="26">
                  <c:v>538.11</c:v>
                </c:pt>
                <c:pt idx="27">
                  <c:v>537.99</c:v>
                </c:pt>
                <c:pt idx="28">
                  <c:v>537.87</c:v>
                </c:pt>
                <c:pt idx="29">
                  <c:v>537.76</c:v>
                </c:pt>
                <c:pt idx="30">
                  <c:v>537.53</c:v>
                </c:pt>
                <c:pt idx="31">
                  <c:v>537.72</c:v>
                </c:pt>
                <c:pt idx="32">
                  <c:v>537.54999999999995</c:v>
                </c:pt>
                <c:pt idx="33">
                  <c:v>537.66999999999996</c:v>
                </c:pt>
                <c:pt idx="34">
                  <c:v>537.69000000000005</c:v>
                </c:pt>
                <c:pt idx="35">
                  <c:v>537.62</c:v>
                </c:pt>
                <c:pt idx="36">
                  <c:v>537.46</c:v>
                </c:pt>
                <c:pt idx="37">
                  <c:v>537.57000000000005</c:v>
                </c:pt>
                <c:pt idx="38">
                  <c:v>537.37</c:v>
                </c:pt>
                <c:pt idx="39">
                  <c:v>537.4</c:v>
                </c:pt>
                <c:pt idx="40">
                  <c:v>537.24</c:v>
                </c:pt>
                <c:pt idx="41">
                  <c:v>537.35</c:v>
                </c:pt>
                <c:pt idx="42">
                  <c:v>537.22</c:v>
                </c:pt>
                <c:pt idx="43">
                  <c:v>537.39</c:v>
                </c:pt>
                <c:pt idx="44">
                  <c:v>537.41999999999996</c:v>
                </c:pt>
                <c:pt idx="45">
                  <c:v>537.29</c:v>
                </c:pt>
                <c:pt idx="46">
                  <c:v>537.29999999999995</c:v>
                </c:pt>
                <c:pt idx="47">
                  <c:v>537.23</c:v>
                </c:pt>
                <c:pt idx="48">
                  <c:v>537.42999999999995</c:v>
                </c:pt>
                <c:pt idx="49">
                  <c:v>537.29</c:v>
                </c:pt>
                <c:pt idx="50">
                  <c:v>537.07000000000005</c:v>
                </c:pt>
                <c:pt idx="51">
                  <c:v>537.32000000000005</c:v>
                </c:pt>
                <c:pt idx="52">
                  <c:v>537.14</c:v>
                </c:pt>
                <c:pt idx="53">
                  <c:v>537.16999999999996</c:v>
                </c:pt>
                <c:pt idx="54">
                  <c:v>537.16999999999996</c:v>
                </c:pt>
                <c:pt idx="55">
                  <c:v>537.24</c:v>
                </c:pt>
                <c:pt idx="56">
                  <c:v>537.07000000000005</c:v>
                </c:pt>
                <c:pt idx="57">
                  <c:v>537.22</c:v>
                </c:pt>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strRef>
              <c:f>'transfert 535'!$A$2:$A$59</c:f>
              <c:strCache>
                <c:ptCount val="58"/>
                <c:pt idx="0">
                  <c:v>21/02/2024  04:49</c:v>
                </c:pt>
                <c:pt idx="1">
                  <c:v>21/02/2024  04:50</c:v>
                </c:pt>
                <c:pt idx="2">
                  <c:v>21/02/2024  04:51</c:v>
                </c:pt>
                <c:pt idx="3">
                  <c:v>21/02/2024  04:52</c:v>
                </c:pt>
                <c:pt idx="4">
                  <c:v>21/02/2024  04:53</c:v>
                </c:pt>
                <c:pt idx="5">
                  <c:v>21/02/2024  04:54</c:v>
                </c:pt>
                <c:pt idx="6">
                  <c:v>21/02/2024  04:55</c:v>
                </c:pt>
                <c:pt idx="7">
                  <c:v>21/02/2024  04:56</c:v>
                </c:pt>
                <c:pt idx="8">
                  <c:v>21/02/2024  04:57</c:v>
                </c:pt>
                <c:pt idx="9">
                  <c:v>21/02/2024  04:58</c:v>
                </c:pt>
                <c:pt idx="10">
                  <c:v>21/02/2024  04:59</c:v>
                </c:pt>
                <c:pt idx="11">
                  <c:v>21/02/2024  05:00</c:v>
                </c:pt>
                <c:pt idx="12">
                  <c:v>21/02/2024  05:01</c:v>
                </c:pt>
                <c:pt idx="13">
                  <c:v>21/02/2024  05:02</c:v>
                </c:pt>
                <c:pt idx="14">
                  <c:v>21/02/2024  05:03</c:v>
                </c:pt>
                <c:pt idx="15">
                  <c:v>21/02/2024  05:04</c:v>
                </c:pt>
                <c:pt idx="16">
                  <c:v>21/02/2024  05:05</c:v>
                </c:pt>
                <c:pt idx="17">
                  <c:v>21/02/2024  05:06</c:v>
                </c:pt>
                <c:pt idx="18">
                  <c:v>21/02/2024  05:07</c:v>
                </c:pt>
                <c:pt idx="19">
                  <c:v>21/02/2024  05:08</c:v>
                </c:pt>
                <c:pt idx="20">
                  <c:v>21/02/2024  05:09</c:v>
                </c:pt>
                <c:pt idx="21">
                  <c:v>21/02/2024  05:10</c:v>
                </c:pt>
                <c:pt idx="22">
                  <c:v>21/02/2024  05:11</c:v>
                </c:pt>
                <c:pt idx="23">
                  <c:v>21/02/2024  05:12</c:v>
                </c:pt>
                <c:pt idx="24">
                  <c:v>21/02/2024  05:13</c:v>
                </c:pt>
                <c:pt idx="25">
                  <c:v>21/02/2024  05:14</c:v>
                </c:pt>
                <c:pt idx="26">
                  <c:v>21/02/2024  05:15</c:v>
                </c:pt>
                <c:pt idx="27">
                  <c:v>21/02/2024  05:16</c:v>
                </c:pt>
                <c:pt idx="28">
                  <c:v>21/02/2024  05:17</c:v>
                </c:pt>
                <c:pt idx="29">
                  <c:v>21/02/2024  05:18</c:v>
                </c:pt>
                <c:pt idx="30">
                  <c:v>21/02/2024  05:19</c:v>
                </c:pt>
                <c:pt idx="31">
                  <c:v>21/02/2024  05:20</c:v>
                </c:pt>
                <c:pt idx="32">
                  <c:v>21/02/2024  05:21</c:v>
                </c:pt>
                <c:pt idx="33">
                  <c:v>21/02/2024  05:22</c:v>
                </c:pt>
                <c:pt idx="34">
                  <c:v>21/02/2024  05:23</c:v>
                </c:pt>
                <c:pt idx="35">
                  <c:v>21/02/2024  05:24</c:v>
                </c:pt>
                <c:pt idx="36">
                  <c:v>21/02/2024  05:25</c:v>
                </c:pt>
                <c:pt idx="37">
                  <c:v>21/02/2024  05:26</c:v>
                </c:pt>
                <c:pt idx="38">
                  <c:v>21/02/2024  05:27</c:v>
                </c:pt>
                <c:pt idx="39">
                  <c:v>21/02/2024  05:28</c:v>
                </c:pt>
                <c:pt idx="40">
                  <c:v>21/02/2024  05:29</c:v>
                </c:pt>
                <c:pt idx="41">
                  <c:v>21/02/2024  05:30</c:v>
                </c:pt>
                <c:pt idx="42">
                  <c:v>21/02/2024  05:31</c:v>
                </c:pt>
                <c:pt idx="43">
                  <c:v>21/02/2024  05:32</c:v>
                </c:pt>
                <c:pt idx="44">
                  <c:v>21/02/2024  05:33</c:v>
                </c:pt>
                <c:pt idx="45">
                  <c:v>21/02/2024  05:34</c:v>
                </c:pt>
                <c:pt idx="46">
                  <c:v>21/02/2024  05:35</c:v>
                </c:pt>
                <c:pt idx="47">
                  <c:v>21/02/2024  05:36</c:v>
                </c:pt>
                <c:pt idx="48">
                  <c:v>21/02/2024  05:37</c:v>
                </c:pt>
                <c:pt idx="49">
                  <c:v>21/02/2024  05:38</c:v>
                </c:pt>
                <c:pt idx="50">
                  <c:v>21/02/2024  05:39</c:v>
                </c:pt>
                <c:pt idx="51">
                  <c:v>21/02/2024  05:40</c:v>
                </c:pt>
                <c:pt idx="52">
                  <c:v>21/02/2024  05:41</c:v>
                </c:pt>
                <c:pt idx="53">
                  <c:v>21/02/2024  05:42</c:v>
                </c:pt>
                <c:pt idx="54">
                  <c:v>21/02/2024  05:43</c:v>
                </c:pt>
                <c:pt idx="55">
                  <c:v>21/02/2024  05:44</c:v>
                </c:pt>
                <c:pt idx="56">
                  <c:v>21/02/2024  05:45</c:v>
                </c:pt>
                <c:pt idx="57">
                  <c:v>21/02/2024  05:46</c:v>
                </c:pt>
              </c:strCache>
            </c:strRef>
          </c:cat>
          <c:val>
            <c:numRef>
              <c:f>'transfert 535'!$J$2:$J$59</c:f>
              <c:numCache>
                <c:formatCode>General</c:formatCode>
                <c:ptCount val="58"/>
                <c:pt idx="0">
                  <c:v>492.21</c:v>
                </c:pt>
                <c:pt idx="1">
                  <c:v>494.77</c:v>
                </c:pt>
                <c:pt idx="2">
                  <c:v>497.15</c:v>
                </c:pt>
                <c:pt idx="3">
                  <c:v>499.64</c:v>
                </c:pt>
                <c:pt idx="4">
                  <c:v>502.11</c:v>
                </c:pt>
                <c:pt idx="5">
                  <c:v>504.47</c:v>
                </c:pt>
                <c:pt idx="6">
                  <c:v>506.82</c:v>
                </c:pt>
                <c:pt idx="7">
                  <c:v>509.27</c:v>
                </c:pt>
                <c:pt idx="8">
                  <c:v>511.6</c:v>
                </c:pt>
                <c:pt idx="9">
                  <c:v>514.01</c:v>
                </c:pt>
                <c:pt idx="10">
                  <c:v>516.30999999999995</c:v>
                </c:pt>
                <c:pt idx="11">
                  <c:v>518.66</c:v>
                </c:pt>
                <c:pt idx="12">
                  <c:v>520.91999999999996</c:v>
                </c:pt>
                <c:pt idx="13">
                  <c:v>523.20000000000005</c:v>
                </c:pt>
                <c:pt idx="14">
                  <c:v>525.62</c:v>
                </c:pt>
                <c:pt idx="15">
                  <c:v>527.83000000000004</c:v>
                </c:pt>
                <c:pt idx="16">
                  <c:v>530.17999999999995</c:v>
                </c:pt>
                <c:pt idx="17">
                  <c:v>532.03</c:v>
                </c:pt>
                <c:pt idx="18">
                  <c:v>533.33000000000004</c:v>
                </c:pt>
                <c:pt idx="19">
                  <c:v>534.54999999999995</c:v>
                </c:pt>
                <c:pt idx="20">
                  <c:v>535.41999999999996</c:v>
                </c:pt>
                <c:pt idx="21">
                  <c:v>535.98</c:v>
                </c:pt>
                <c:pt idx="22">
                  <c:v>536.53</c:v>
                </c:pt>
                <c:pt idx="23">
                  <c:v>536.75</c:v>
                </c:pt>
                <c:pt idx="24">
                  <c:v>536.72</c:v>
                </c:pt>
                <c:pt idx="25">
                  <c:v>536.73</c:v>
                </c:pt>
                <c:pt idx="26">
                  <c:v>536.91999999999996</c:v>
                </c:pt>
                <c:pt idx="27">
                  <c:v>536.9</c:v>
                </c:pt>
                <c:pt idx="28">
                  <c:v>536.86</c:v>
                </c:pt>
                <c:pt idx="29">
                  <c:v>536.79</c:v>
                </c:pt>
                <c:pt idx="30">
                  <c:v>536.72</c:v>
                </c:pt>
                <c:pt idx="31">
                  <c:v>536.86</c:v>
                </c:pt>
                <c:pt idx="32">
                  <c:v>536.73</c:v>
                </c:pt>
                <c:pt idx="33">
                  <c:v>536.86</c:v>
                </c:pt>
                <c:pt idx="34">
                  <c:v>536.9</c:v>
                </c:pt>
                <c:pt idx="35">
                  <c:v>536.86</c:v>
                </c:pt>
                <c:pt idx="36">
                  <c:v>536.74</c:v>
                </c:pt>
                <c:pt idx="37">
                  <c:v>536.82000000000005</c:v>
                </c:pt>
                <c:pt idx="38">
                  <c:v>536.66</c:v>
                </c:pt>
                <c:pt idx="39">
                  <c:v>536.69000000000005</c:v>
                </c:pt>
                <c:pt idx="40">
                  <c:v>536.54</c:v>
                </c:pt>
                <c:pt idx="41">
                  <c:v>536.66999999999996</c:v>
                </c:pt>
                <c:pt idx="42">
                  <c:v>536.57000000000005</c:v>
                </c:pt>
                <c:pt idx="43">
                  <c:v>536.69000000000005</c:v>
                </c:pt>
                <c:pt idx="44">
                  <c:v>536.66999999999996</c:v>
                </c:pt>
                <c:pt idx="45">
                  <c:v>536.66999999999996</c:v>
                </c:pt>
                <c:pt idx="46">
                  <c:v>536.66</c:v>
                </c:pt>
                <c:pt idx="47">
                  <c:v>536.57000000000005</c:v>
                </c:pt>
                <c:pt idx="48">
                  <c:v>536.76</c:v>
                </c:pt>
                <c:pt idx="49">
                  <c:v>536.59</c:v>
                </c:pt>
                <c:pt idx="50">
                  <c:v>536.5</c:v>
                </c:pt>
                <c:pt idx="51">
                  <c:v>536.69000000000005</c:v>
                </c:pt>
                <c:pt idx="52">
                  <c:v>536.54</c:v>
                </c:pt>
                <c:pt idx="53">
                  <c:v>536.54999999999995</c:v>
                </c:pt>
                <c:pt idx="54">
                  <c:v>536.5</c:v>
                </c:pt>
                <c:pt idx="55">
                  <c:v>536.59</c:v>
                </c:pt>
                <c:pt idx="56">
                  <c:v>536.46</c:v>
                </c:pt>
                <c:pt idx="57">
                  <c:v>536.51</c:v>
                </c:pt>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314325</xdr:colOff>
          <xdr:row>11</xdr:row>
          <xdr:rowOff>76200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1</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2</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3</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4</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17</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8</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6</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7</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1</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2</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3</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4</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5</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6</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7</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8</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9</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9</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196</xdr:row>
      <xdr:rowOff>0</xdr:rowOff>
    </xdr:from>
    <xdr:to>
      <xdr:col>24</xdr:col>
      <xdr:colOff>369794</xdr:colOff>
      <xdr:row>217</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79</xdr:row>
      <xdr:rowOff>0</xdr:rowOff>
    </xdr:from>
    <xdr:to>
      <xdr:col>24</xdr:col>
      <xdr:colOff>369794</xdr:colOff>
      <xdr:row>100</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1</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2</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3</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4</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17</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8</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6</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7</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1</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2</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3</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4</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5</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6</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7</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8</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9</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9</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295650"/>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176" totalsRowShown="0" headerRowDxfId="185" dataDxfId="106">
  <autoFilter ref="A1:J176" xr:uid="{A3220407-6199-4411-81EC-9706C9B63A31}"/>
  <tableColumns count="10">
    <tableColumn id="1" xr3:uid="{DBE75950-3ABD-4A1D-9011-6F9015F232BF}" name="Date/Heure" dataDxfId="107"/>
    <tableColumn id="2" xr3:uid="{C55189E6-EB7A-4F02-834F-ADD328F5A311}" name="Connecteur 1" dataDxfId="184"/>
    <tableColumn id="3" xr3:uid="{AADD39E2-C5B5-4662-BA30-1FC01B365A33}" name="Connecteur 2" dataDxfId="183"/>
    <tableColumn id="4" xr3:uid="{55D2ECF7-256E-43D6-ABE2-A34C1D38FD8B}" name="Connecteur 3" dataDxfId="182"/>
    <tableColumn id="5" xr3:uid="{4259CE7A-1E59-45E7-9429-5D38325EBE80}" name="Connecteur 4" dataDxfId="181"/>
    <tableColumn id="6" xr3:uid="{E1729946-1428-4D1E-8AFB-F56E6D9C3E06}" name="Connecteur 5" dataDxfId="180"/>
    <tableColumn id="7" xr3:uid="{22EB137D-2F68-4FE1-AE9D-17F3F12E0750}" name="Connecteur 6" dataDxfId="179"/>
    <tableColumn id="8" xr3:uid="{8B9A5FC0-4195-4BD8-8CC1-07D15523E90F}" name="Connecteur 7" dataDxfId="178"/>
    <tableColumn id="9" xr3:uid="{C2A42E8C-7D2F-421B-A94A-A0A14ACDD531}" name="Connecteur 8" dataDxfId="177"/>
    <tableColumn id="10" xr3:uid="{C4B56253-201C-4589-8B0B-C10719F1B09A}" name="Connecteur 9" dataDxfId="176"/>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93" totalsRowShown="0" headerRowDxfId="175" dataDxfId="104">
  <autoFilter ref="A1:J93" xr:uid="{7B58C036-BE9F-45DD-89F6-7FFAE7261A52}"/>
  <tableColumns count="10">
    <tableColumn id="1" xr3:uid="{15795ED4-7E87-4510-AEFE-F0B3FE88273C}" name="Date/Heure" dataDxfId="105"/>
    <tableColumn id="2" xr3:uid="{199D0401-3516-4DD3-A5BC-2448523826D1}" name="Connecteur 1" dataDxfId="174"/>
    <tableColumn id="3" xr3:uid="{FBBA962A-B1D9-48E4-A6C7-37DE165CB72D}" name="Connecteur 2" dataDxfId="173"/>
    <tableColumn id="4" xr3:uid="{36698CE3-1797-42AE-8637-1027FCE68C1A}" name="Connecteur 3" dataDxfId="172"/>
    <tableColumn id="5" xr3:uid="{C49670DB-2F39-4C20-92DB-8BA217F08381}" name="Connecteur 4" dataDxfId="171"/>
    <tableColumn id="6" xr3:uid="{07A77742-2E5F-475E-98E2-7261FBEC422F}" name="Connecteur 5" dataDxfId="170"/>
    <tableColumn id="7" xr3:uid="{53D69599-6677-4031-B112-D8B734960159}" name="Connecteur 6" dataDxfId="169"/>
    <tableColumn id="8" xr3:uid="{E7484F1D-635C-4532-B1E1-898BAFAC3FE6}" name="Connecteur 7" dataDxfId="168"/>
    <tableColumn id="9" xr3:uid="{5C273835-2721-4F07-A784-6B0F3DFDE661}" name="Connecteur 8" dataDxfId="167"/>
    <tableColumn id="10" xr3:uid="{90D15708-A48E-4326-BCC7-C6DA63B4B763}" name="Connecteur 9" dataDxfId="166"/>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55" totalsRowShown="0" headerRowDxfId="165" dataDxfId="102">
  <autoFilter ref="A1:J55" xr:uid="{AC535B93-49D5-4C0E-9722-3F012900CB12}"/>
  <tableColumns count="10">
    <tableColumn id="1" xr3:uid="{5BC26925-2B38-491F-AF44-61CA735710C4}" name="Date/Heure" dataDxfId="103"/>
    <tableColumn id="2" xr3:uid="{FC46513C-6376-44A5-890E-FB5B23A18B84}" name="Connecteur 1" dataDxfId="164"/>
    <tableColumn id="3" xr3:uid="{E9882541-6C92-48CF-BBC7-BB8247ED41B0}" name="Connecteur 2" dataDxfId="163"/>
    <tableColumn id="4" xr3:uid="{99ED9C46-0716-4B4B-BF48-44448B66E193}" name="Connecteur 3" dataDxfId="162"/>
    <tableColumn id="5" xr3:uid="{3785B769-5701-4A9A-A865-341BE198505D}" name="Connecteur 4" dataDxfId="161"/>
    <tableColumn id="6" xr3:uid="{DA59D146-9DB1-467E-B9D1-9E6D55D49F40}" name="Connecteur 5" dataDxfId="160"/>
    <tableColumn id="7" xr3:uid="{556C6545-1358-49CB-8B0F-45F46983EEEB}" name="Connecteur 6" dataDxfId="159"/>
    <tableColumn id="8" xr3:uid="{8C0AC3D9-ECE6-47EF-B270-1F97BBA3EBD9}" name="Connecteur 7" dataDxfId="158"/>
    <tableColumn id="9" xr3:uid="{C03CDE2E-7C8A-456B-AFBE-9A37784F1B3F}" name="Connecteur 8" dataDxfId="157"/>
    <tableColumn id="10" xr3:uid="{967ED64B-66B6-48F2-AA0A-7283094AA8E5}" name="Connecteur 9" dataDxfId="156"/>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59" totalsRowShown="0" headerRowDxfId="155" dataDxfId="100">
  <autoFilter ref="A1:J59" xr:uid="{0B03FD33-37C9-440C-98B6-D9930D8E7785}"/>
  <tableColumns count="10">
    <tableColumn id="1" xr3:uid="{02610730-F102-491A-8AA5-C83364B22E3F}" name="Date/Heure" dataDxfId="101"/>
    <tableColumn id="2" xr3:uid="{CADE2850-EDD1-4629-BFF9-DF3081FF980B}" name="Connecteur 1" dataDxfId="154"/>
    <tableColumn id="3" xr3:uid="{16CBF88E-ABF6-41AB-837C-AFDA5791D07D}" name="Connecteur 2" dataDxfId="153"/>
    <tableColumn id="4" xr3:uid="{9BF1A0F2-E85E-4539-ADB1-1D67D401844E}" name="Connecteur 3" dataDxfId="152"/>
    <tableColumn id="5" xr3:uid="{F7DF1D28-E04A-41CB-88F7-B2422BFAA719}" name="Connecteur 4" dataDxfId="151"/>
    <tableColumn id="6" xr3:uid="{78099FA6-73EA-4E8C-B270-77E5EF5CC531}" name="Connecteur 5" dataDxfId="150"/>
    <tableColumn id="7" xr3:uid="{3AED2108-0C09-4852-87C7-EC58FA856091}" name="Connecteur 6" dataDxfId="149"/>
    <tableColumn id="8" xr3:uid="{1610CFFF-D4E0-4DC6-B113-CC8D6B199E32}" name="Connecteur 7" dataDxfId="148"/>
    <tableColumn id="9" xr3:uid="{10030F88-C7B1-4A86-9248-380310E8ED75}" name="Connecteur 8" dataDxfId="147"/>
    <tableColumn id="10" xr3:uid="{9F3CD16B-A5BD-4789-8B18-A4B913D17EE2}" name="Connecteur 9" dataDxfId="146"/>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176" totalsRowShown="0" headerRowDxfId="145" dataDxfId="114">
  <autoFilter ref="A1:E176" xr:uid="{379CD2E1-AF7A-4C46-8E3C-ADBE233AE740}"/>
  <tableColumns count="5">
    <tableColumn id="1" xr3:uid="{9B884FF2-B992-49DC-9A46-4F8C53769A62}" name="Date/Heure" dataDxfId="115"/>
    <tableColumn id="2" xr3:uid="{1D504192-08F7-43DA-8A11-60D47A8A4CC9}" name="Pt Froid" dataDxfId="144"/>
    <tableColumn id="3" xr3:uid="{A410DC0A-6051-434D-9F5B-C203DF60BE17}" name="Regulation" dataDxfId="143"/>
    <tableColumn id="4" xr3:uid="{791EBD68-8612-4890-9FAD-4AE2064BF1C9}" name="Pt Chaud" dataDxfId="142"/>
    <tableColumn id="5" xr3:uid="{3DEE775C-E739-4CE1-A101-6A1312402D91}" name="Consigne T°" dataDxfId="14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93" totalsRowShown="0" dataDxfId="112">
  <autoFilter ref="A1:E93" xr:uid="{A9EA353C-4D51-4794-8413-02ADDF49E149}"/>
  <tableColumns count="5">
    <tableColumn id="1" xr3:uid="{7379CADE-2609-47E7-A72F-E373C2BC43A0}" name="Date/Heure" dataDxfId="113"/>
    <tableColumn id="2" xr3:uid="{EA0BDD49-5C4C-4E3D-9D1A-E9EEF7880B5C}" name="Pt Froid" dataDxfId="140"/>
    <tableColumn id="3" xr3:uid="{367A1310-12FF-4590-B743-B04BB328514B}" name="Regulation" dataDxfId="139"/>
    <tableColumn id="4" xr3:uid="{8BDBEF48-B23A-48FE-9A71-B50F7728C4D5}" name="Pt Chaud" dataDxfId="138"/>
    <tableColumn id="5" xr3:uid="{55BC97C4-9E8C-4EDB-BD89-69FF260BF102}" name="Consigne T°" dataDxfId="137"/>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55" totalsRowShown="0" dataDxfId="110">
  <autoFilter ref="A1:E55" xr:uid="{D8D3FEF1-285E-4CEE-BFA9-1B473E0DA3BF}"/>
  <tableColumns count="5">
    <tableColumn id="1" xr3:uid="{E74DC693-A4DF-4531-A8AD-64477626BA48}" name="Date/Heure" dataDxfId="111"/>
    <tableColumn id="2" xr3:uid="{40E02439-7B43-4BDE-B79C-986D2B5E73EA}" name="Pt Froid" dataDxfId="136"/>
    <tableColumn id="3" xr3:uid="{1EEF40A1-882D-4642-89B0-A6CFDBBC02C3}" name="Regulation" dataDxfId="135"/>
    <tableColumn id="4" xr3:uid="{E825D205-23AD-42A0-9F41-2939BD7D4F9B}" name="Pt Chaud" dataDxfId="134"/>
    <tableColumn id="5" xr3:uid="{74DF8E94-3A8F-4556-A1EB-1D1F23F58804}" name="Consigne T°" dataDxfId="133"/>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59" totalsRowShown="0" dataDxfId="108">
  <autoFilter ref="A1:E59" xr:uid="{A0FBF2F2-4DCC-4307-AF98-C9FE32FE96DB}"/>
  <tableColumns count="5">
    <tableColumn id="1" xr3:uid="{D6F16877-04D9-4ABB-B134-2DE51D9B78FE}" name="Date/Heure" dataDxfId="109"/>
    <tableColumn id="2" xr3:uid="{D2566580-8B2F-4A0D-82CF-0C969AB1CBFB}" name="Pt Froid" dataDxfId="132"/>
    <tableColumn id="3" xr3:uid="{8CC81B64-B87F-4904-B484-27EE57536636}" name="Regulation" dataDxfId="131"/>
    <tableColumn id="4" xr3:uid="{A1C20226-B6E7-4C33-A8D1-4C78DC057BA4}" name="Pt Chaud" dataDxfId="130"/>
    <tableColumn id="5" xr3:uid="{044D41DC-25B1-4089-9A83-A965718F2C35}" name="Consigne T°" dataDxfId="129"/>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28"/>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27"/>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26"/>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25"/>
    <tableColumn id="8" xr3:uid="{D0E28A32-95DA-4050-AC7F-DF56082C1062}" name="Connecteur 7" dataDxfId="124"/>
    <tableColumn id="9" xr3:uid="{A5310FC2-C94B-4610-B3D3-B72F7C40F80F}" name="Connecteur 8" dataDxfId="123"/>
    <tableColumn id="10" xr3:uid="{5493D449-287B-46FD-90AB-57C33BC1800D}" name="Connecteur 9" dataDxfId="122"/>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21"/>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20"/>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19"/>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18"/>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17"/>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16"/>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12.66</v>
      </c>
      <c r="M1">
        <v>-28.42</v>
      </c>
      <c r="N1">
        <v>-28.38</v>
      </c>
      <c r="O1">
        <v>31.28</v>
      </c>
    </row>
    <row r="2" spans="1:15" x14ac:dyDescent="0.25">
      <c r="A2" s="23">
        <v>45238.587500000001</v>
      </c>
      <c r="C2">
        <v>27.3</v>
      </c>
      <c r="D2">
        <v>28.58</v>
      </c>
      <c r="E2">
        <v>22.7</v>
      </c>
      <c r="F2">
        <v>22.53</v>
      </c>
      <c r="G2">
        <v>26.35</v>
      </c>
      <c r="H2">
        <v>24.4</v>
      </c>
      <c r="I2">
        <v>22.05</v>
      </c>
      <c r="J2">
        <v>22.88</v>
      </c>
      <c r="K2">
        <v>25.61</v>
      </c>
      <c r="L2">
        <v>13.86</v>
      </c>
      <c r="M2">
        <v>-29.16</v>
      </c>
      <c r="N2">
        <v>-29.07</v>
      </c>
      <c r="O2">
        <v>31.38</v>
      </c>
    </row>
    <row r="3" spans="1:15" x14ac:dyDescent="0.25">
      <c r="A3" s="23">
        <v>45238.588194444441</v>
      </c>
      <c r="C3">
        <v>26.03</v>
      </c>
      <c r="D3">
        <v>27.64</v>
      </c>
      <c r="E3">
        <v>22.91</v>
      </c>
      <c r="F3">
        <v>22.16</v>
      </c>
      <c r="G3">
        <v>26.47</v>
      </c>
      <c r="H3">
        <v>23.41</v>
      </c>
      <c r="I3">
        <v>22.35</v>
      </c>
      <c r="J3">
        <v>22.24</v>
      </c>
      <c r="K3">
        <v>26.19</v>
      </c>
      <c r="L3">
        <v>16.79</v>
      </c>
      <c r="M3">
        <v>-29.85</v>
      </c>
      <c r="N3">
        <v>-29.86</v>
      </c>
      <c r="O3">
        <v>33.090000000000003</v>
      </c>
    </row>
    <row r="4" spans="1:15" x14ac:dyDescent="0.25">
      <c r="A4" s="23">
        <v>45238.588888888888</v>
      </c>
      <c r="C4">
        <v>26.28</v>
      </c>
      <c r="D4">
        <v>27.22</v>
      </c>
      <c r="E4">
        <v>22.24</v>
      </c>
      <c r="F4">
        <v>21.99</v>
      </c>
      <c r="G4">
        <v>27.02</v>
      </c>
      <c r="H4">
        <v>42.81</v>
      </c>
      <c r="I4">
        <v>22.61</v>
      </c>
      <c r="J4">
        <v>21.84</v>
      </c>
      <c r="K4">
        <v>25.98</v>
      </c>
      <c r="L4">
        <v>20.010000000000002</v>
      </c>
      <c r="M4">
        <v>-30.3</v>
      </c>
      <c r="N4">
        <v>-29.63</v>
      </c>
      <c r="O4">
        <v>33.42</v>
      </c>
    </row>
    <row r="5" spans="1:15" x14ac:dyDescent="0.25">
      <c r="A5" s="23">
        <v>45238.589583333334</v>
      </c>
      <c r="C5">
        <v>35.9</v>
      </c>
      <c r="D5">
        <v>46.1</v>
      </c>
      <c r="E5">
        <v>23.69</v>
      </c>
      <c r="F5">
        <v>22.06</v>
      </c>
      <c r="G5">
        <v>26.25</v>
      </c>
      <c r="H5">
        <v>25.12</v>
      </c>
      <c r="I5">
        <v>21.3</v>
      </c>
      <c r="J5">
        <v>21.53</v>
      </c>
      <c r="K5">
        <v>26.03</v>
      </c>
      <c r="L5">
        <v>23.13</v>
      </c>
      <c r="M5">
        <v>-29.93</v>
      </c>
      <c r="N5">
        <v>-29.29</v>
      </c>
      <c r="O5">
        <v>47.65</v>
      </c>
    </row>
    <row r="6" spans="1:15" x14ac:dyDescent="0.25">
      <c r="A6" s="23">
        <v>45238.590277777781</v>
      </c>
      <c r="C6">
        <v>29.14</v>
      </c>
      <c r="D6">
        <v>30.24</v>
      </c>
      <c r="E6">
        <v>22.52</v>
      </c>
      <c r="F6">
        <v>30.14</v>
      </c>
      <c r="G6">
        <v>26.82</v>
      </c>
      <c r="H6">
        <v>25.05</v>
      </c>
      <c r="I6">
        <v>30.48</v>
      </c>
      <c r="J6">
        <v>59.68</v>
      </c>
      <c r="K6">
        <v>25.75</v>
      </c>
      <c r="L6">
        <v>25.94</v>
      </c>
      <c r="M6">
        <v>-29.74</v>
      </c>
      <c r="N6">
        <v>-29.01</v>
      </c>
      <c r="O6">
        <v>59.71</v>
      </c>
    </row>
    <row r="7" spans="1:15" x14ac:dyDescent="0.25">
      <c r="A7" s="23">
        <v>45238.59097222222</v>
      </c>
      <c r="C7">
        <v>37.549999999999997</v>
      </c>
      <c r="D7">
        <v>43.08</v>
      </c>
      <c r="E7">
        <v>35.74</v>
      </c>
      <c r="F7">
        <v>40.03</v>
      </c>
      <c r="G7">
        <v>39.659999999999997</v>
      </c>
      <c r="H7">
        <v>35.22</v>
      </c>
      <c r="I7">
        <v>36.94</v>
      </c>
      <c r="J7">
        <v>34.9</v>
      </c>
      <c r="K7">
        <v>41.27</v>
      </c>
      <c r="L7">
        <v>29.11</v>
      </c>
      <c r="M7">
        <v>-29.43</v>
      </c>
      <c r="N7">
        <v>-28.62</v>
      </c>
      <c r="O7">
        <v>59.84</v>
      </c>
    </row>
    <row r="8" spans="1:15" x14ac:dyDescent="0.25">
      <c r="A8" s="23">
        <v>45238.591666666667</v>
      </c>
      <c r="C8">
        <v>44.41</v>
      </c>
      <c r="D8">
        <v>49.51</v>
      </c>
      <c r="E8">
        <v>42.91</v>
      </c>
      <c r="F8">
        <v>46.92</v>
      </c>
      <c r="G8">
        <v>46.76</v>
      </c>
      <c r="H8">
        <v>42.74</v>
      </c>
      <c r="I8">
        <v>43.94</v>
      </c>
      <c r="J8">
        <v>40.72</v>
      </c>
      <c r="K8">
        <v>47.33</v>
      </c>
      <c r="L8">
        <v>31.62</v>
      </c>
      <c r="M8">
        <v>-29.02</v>
      </c>
      <c r="N8">
        <v>-28.28</v>
      </c>
      <c r="O8">
        <v>60.07</v>
      </c>
    </row>
    <row r="9" spans="1:15" x14ac:dyDescent="0.25">
      <c r="A9" s="23">
        <v>45238.592361111114</v>
      </c>
      <c r="C9">
        <v>46.07</v>
      </c>
      <c r="D9">
        <v>49.9</v>
      </c>
      <c r="E9">
        <v>44.47</v>
      </c>
      <c r="F9">
        <v>47.65</v>
      </c>
      <c r="G9">
        <v>47.25</v>
      </c>
      <c r="H9">
        <v>43.77</v>
      </c>
      <c r="I9">
        <v>45.24</v>
      </c>
      <c r="J9">
        <v>42.66</v>
      </c>
      <c r="K9">
        <v>48.56</v>
      </c>
      <c r="L9">
        <v>33.85</v>
      </c>
      <c r="M9">
        <v>-29.49</v>
      </c>
      <c r="N9">
        <v>-28.99</v>
      </c>
      <c r="O9">
        <v>59.35</v>
      </c>
    </row>
    <row r="10" spans="1:15" x14ac:dyDescent="0.25">
      <c r="A10" s="23">
        <v>45238.593055555553</v>
      </c>
      <c r="C10">
        <v>47.69</v>
      </c>
      <c r="D10">
        <v>51.29</v>
      </c>
      <c r="E10">
        <v>46.48</v>
      </c>
      <c r="F10">
        <v>49.48</v>
      </c>
      <c r="G10">
        <v>49.46</v>
      </c>
      <c r="H10">
        <v>45.75</v>
      </c>
      <c r="I10">
        <v>47.25</v>
      </c>
      <c r="J10">
        <v>44.69</v>
      </c>
      <c r="K10">
        <v>50.18</v>
      </c>
      <c r="L10">
        <v>36.229999999999997</v>
      </c>
      <c r="M10">
        <v>-29.93</v>
      </c>
      <c r="N10">
        <v>-29.39</v>
      </c>
      <c r="O10">
        <v>59.33</v>
      </c>
    </row>
    <row r="11" spans="1:15" x14ac:dyDescent="0.25">
      <c r="A11" s="23">
        <v>45238.59375</v>
      </c>
      <c r="C11">
        <v>48.2</v>
      </c>
      <c r="D11">
        <v>51.03</v>
      </c>
      <c r="E11">
        <v>47.16</v>
      </c>
      <c r="F11">
        <v>49.63</v>
      </c>
      <c r="G11">
        <v>49.52</v>
      </c>
      <c r="H11">
        <v>46.21</v>
      </c>
      <c r="I11">
        <v>47.56</v>
      </c>
      <c r="J11">
        <v>45.6</v>
      </c>
      <c r="K11">
        <v>50.28</v>
      </c>
      <c r="L11">
        <v>38.54</v>
      </c>
      <c r="M11">
        <v>-30.4</v>
      </c>
      <c r="N11">
        <v>-29.89</v>
      </c>
      <c r="O11">
        <v>59.14</v>
      </c>
    </row>
    <row r="12" spans="1:15" x14ac:dyDescent="0.25">
      <c r="A12" s="23">
        <v>45238.594444444447</v>
      </c>
      <c r="C12">
        <v>48.52</v>
      </c>
      <c r="D12">
        <v>50.92</v>
      </c>
      <c r="E12">
        <v>47.6</v>
      </c>
      <c r="F12">
        <v>49.76</v>
      </c>
      <c r="G12">
        <v>49.6</v>
      </c>
      <c r="H12">
        <v>46.71</v>
      </c>
      <c r="I12">
        <v>48.14</v>
      </c>
      <c r="J12">
        <v>46.37</v>
      </c>
      <c r="K12">
        <v>50.35</v>
      </c>
      <c r="L12">
        <v>39.94</v>
      </c>
      <c r="M12">
        <v>-29.94</v>
      </c>
      <c r="N12">
        <v>-29.37</v>
      </c>
      <c r="O12">
        <v>59.25</v>
      </c>
    </row>
    <row r="13" spans="1:15" x14ac:dyDescent="0.25">
      <c r="A13" s="23">
        <v>45238.595138888886</v>
      </c>
      <c r="C13">
        <v>48.54</v>
      </c>
      <c r="D13">
        <v>50.57</v>
      </c>
      <c r="E13">
        <v>47.75</v>
      </c>
      <c r="F13">
        <v>49.51</v>
      </c>
      <c r="G13">
        <v>49.29</v>
      </c>
      <c r="H13">
        <v>46.59</v>
      </c>
      <c r="I13">
        <v>48.18</v>
      </c>
      <c r="J13">
        <v>46.42</v>
      </c>
      <c r="K13">
        <v>49.99</v>
      </c>
      <c r="L13">
        <v>42.05</v>
      </c>
      <c r="M13">
        <v>-29.43</v>
      </c>
      <c r="N13">
        <v>-28.71</v>
      </c>
      <c r="O13">
        <v>59.11</v>
      </c>
    </row>
    <row r="14" spans="1:15" x14ac:dyDescent="0.25">
      <c r="A14" s="23">
        <v>45238.595833333333</v>
      </c>
      <c r="C14">
        <v>48.62</v>
      </c>
      <c r="D14">
        <v>50.32</v>
      </c>
      <c r="E14">
        <v>47.93</v>
      </c>
      <c r="F14">
        <v>49.36</v>
      </c>
      <c r="G14">
        <v>49.37</v>
      </c>
      <c r="H14">
        <v>46.66</v>
      </c>
      <c r="I14">
        <v>47.97</v>
      </c>
      <c r="J14">
        <v>46.5</v>
      </c>
      <c r="K14">
        <v>49.84</v>
      </c>
      <c r="L14">
        <v>43.96</v>
      </c>
      <c r="M14">
        <v>-28.96</v>
      </c>
      <c r="N14">
        <v>-28.35</v>
      </c>
      <c r="O14">
        <v>59.03</v>
      </c>
    </row>
    <row r="15" spans="1:15" x14ac:dyDescent="0.25">
      <c r="A15" s="23">
        <v>45238.59652777778</v>
      </c>
      <c r="C15">
        <v>48.65</v>
      </c>
      <c r="D15">
        <v>50.02</v>
      </c>
      <c r="E15">
        <v>47.9</v>
      </c>
      <c r="F15">
        <v>49.26</v>
      </c>
      <c r="G15">
        <v>49.2</v>
      </c>
      <c r="H15">
        <v>46.92</v>
      </c>
      <c r="I15">
        <v>48.12</v>
      </c>
      <c r="J15">
        <v>47.06</v>
      </c>
      <c r="K15">
        <v>49.77</v>
      </c>
      <c r="L15">
        <v>45.36</v>
      </c>
      <c r="M15">
        <v>-29.28</v>
      </c>
      <c r="N15">
        <v>-28.58</v>
      </c>
      <c r="O15">
        <v>59.31</v>
      </c>
    </row>
    <row r="16" spans="1:15" x14ac:dyDescent="0.25">
      <c r="A16" s="23">
        <v>45238.597222222219</v>
      </c>
      <c r="C16">
        <v>48.42</v>
      </c>
      <c r="D16">
        <v>49.54</v>
      </c>
      <c r="E16">
        <v>47.7</v>
      </c>
      <c r="F16">
        <v>48.86</v>
      </c>
      <c r="G16">
        <v>48.75</v>
      </c>
      <c r="H16">
        <v>46.67</v>
      </c>
      <c r="I16">
        <v>47.8</v>
      </c>
      <c r="J16">
        <v>46.9</v>
      </c>
      <c r="K16">
        <v>49.34</v>
      </c>
      <c r="L16">
        <v>46.45</v>
      </c>
      <c r="M16">
        <v>-29.51</v>
      </c>
      <c r="N16">
        <v>-28.77</v>
      </c>
      <c r="O16">
        <v>59.33</v>
      </c>
    </row>
    <row r="17" spans="1:15" x14ac:dyDescent="0.25">
      <c r="A17" s="23">
        <v>45238.597916666666</v>
      </c>
      <c r="C17">
        <v>48.46</v>
      </c>
      <c r="D17">
        <v>49.53</v>
      </c>
      <c r="E17">
        <v>47.78</v>
      </c>
      <c r="F17">
        <v>48.92</v>
      </c>
      <c r="G17">
        <v>48.97</v>
      </c>
      <c r="H17">
        <v>46.89</v>
      </c>
      <c r="I17">
        <v>48.02</v>
      </c>
      <c r="J17">
        <v>47.18</v>
      </c>
      <c r="K17">
        <v>49.28</v>
      </c>
      <c r="L17">
        <v>48.39</v>
      </c>
      <c r="M17">
        <v>-29.85</v>
      </c>
      <c r="N17">
        <v>-29.07</v>
      </c>
      <c r="O17">
        <v>59.21</v>
      </c>
    </row>
    <row r="18" spans="1:15" x14ac:dyDescent="0.25">
      <c r="A18" s="23">
        <v>45238.598611111112</v>
      </c>
      <c r="C18">
        <v>48.31</v>
      </c>
      <c r="D18">
        <v>49.33</v>
      </c>
      <c r="E18">
        <v>47.68</v>
      </c>
      <c r="F18">
        <v>48.66</v>
      </c>
      <c r="G18">
        <v>48.78</v>
      </c>
      <c r="H18">
        <v>46.76</v>
      </c>
      <c r="I18">
        <v>47.94</v>
      </c>
      <c r="J18">
        <v>47.23</v>
      </c>
      <c r="K18">
        <v>49.13</v>
      </c>
      <c r="L18">
        <v>50.3</v>
      </c>
      <c r="M18">
        <v>-29.89</v>
      </c>
      <c r="N18">
        <v>-29.05</v>
      </c>
      <c r="O18">
        <v>59.13</v>
      </c>
    </row>
    <row r="19" spans="1:15" x14ac:dyDescent="0.25">
      <c r="A19" s="23">
        <v>45238.599305555559</v>
      </c>
      <c r="C19">
        <v>48.26</v>
      </c>
      <c r="D19">
        <v>49.12</v>
      </c>
      <c r="E19">
        <v>47.72</v>
      </c>
      <c r="F19">
        <v>48.53</v>
      </c>
      <c r="G19">
        <v>48.58</v>
      </c>
      <c r="H19">
        <v>46.66</v>
      </c>
      <c r="I19">
        <v>47.92</v>
      </c>
      <c r="J19">
        <v>47.2</v>
      </c>
      <c r="K19">
        <v>49.01</v>
      </c>
      <c r="L19">
        <v>51.31</v>
      </c>
      <c r="M19">
        <v>-29.8</v>
      </c>
      <c r="N19">
        <v>-28.86</v>
      </c>
      <c r="O19">
        <v>59.39</v>
      </c>
    </row>
    <row r="20" spans="1:15" x14ac:dyDescent="0.25">
      <c r="A20" s="23">
        <v>45238.6</v>
      </c>
      <c r="C20">
        <v>48.17</v>
      </c>
      <c r="D20">
        <v>48.96</v>
      </c>
      <c r="E20">
        <v>47.67</v>
      </c>
      <c r="F20">
        <v>48.47</v>
      </c>
      <c r="G20">
        <v>48.52</v>
      </c>
      <c r="H20">
        <v>46.98</v>
      </c>
      <c r="I20">
        <v>47.77</v>
      </c>
      <c r="J20">
        <v>47.2</v>
      </c>
      <c r="K20">
        <v>48.82</v>
      </c>
      <c r="L20">
        <v>52.45</v>
      </c>
      <c r="M20">
        <v>-29.49</v>
      </c>
      <c r="N20">
        <v>-28.51</v>
      </c>
      <c r="O20">
        <v>59.43</v>
      </c>
    </row>
    <row r="21" spans="1:15" x14ac:dyDescent="0.25">
      <c r="A21" s="23">
        <v>45238.600694444445</v>
      </c>
      <c r="C21">
        <v>48.08</v>
      </c>
      <c r="D21">
        <v>48.91</v>
      </c>
      <c r="E21">
        <v>47.65</v>
      </c>
      <c r="F21">
        <v>48.41</v>
      </c>
      <c r="G21">
        <v>48.43</v>
      </c>
      <c r="H21">
        <v>46.77</v>
      </c>
      <c r="I21">
        <v>47.78</v>
      </c>
      <c r="J21">
        <v>47.23</v>
      </c>
      <c r="K21">
        <v>48.76</v>
      </c>
      <c r="L21">
        <v>53.85</v>
      </c>
      <c r="M21">
        <v>-29.15</v>
      </c>
      <c r="N21">
        <v>-28.16</v>
      </c>
      <c r="O21">
        <v>59.59</v>
      </c>
    </row>
    <row r="22" spans="1:15" x14ac:dyDescent="0.25">
      <c r="A22" s="23">
        <v>45238.601388888892</v>
      </c>
      <c r="C22">
        <v>48.14</v>
      </c>
      <c r="D22">
        <v>48.82</v>
      </c>
      <c r="E22">
        <v>47.64</v>
      </c>
      <c r="F22">
        <v>48.26</v>
      </c>
      <c r="G22">
        <v>48.44</v>
      </c>
      <c r="H22">
        <v>46.86</v>
      </c>
      <c r="I22">
        <v>47.65</v>
      </c>
      <c r="J22">
        <v>47.24</v>
      </c>
      <c r="K22">
        <v>48.57</v>
      </c>
      <c r="L22">
        <v>54.03</v>
      </c>
      <c r="M22">
        <v>-27.1</v>
      </c>
      <c r="N22">
        <v>-26.63</v>
      </c>
      <c r="O22">
        <v>59.82</v>
      </c>
    </row>
    <row r="23" spans="1:15" x14ac:dyDescent="0.25">
      <c r="A23" s="23">
        <v>45238.602083333331</v>
      </c>
      <c r="C23">
        <v>47.95</v>
      </c>
      <c r="D23">
        <v>48.72</v>
      </c>
      <c r="E23">
        <v>47.58</v>
      </c>
      <c r="F23">
        <v>48.2</v>
      </c>
      <c r="G23">
        <v>48.34</v>
      </c>
      <c r="H23">
        <v>46.92</v>
      </c>
      <c r="I23">
        <v>47.58</v>
      </c>
      <c r="J23">
        <v>47.18</v>
      </c>
      <c r="K23">
        <v>48.6</v>
      </c>
      <c r="L23">
        <v>53.22</v>
      </c>
      <c r="M23">
        <v>-27.36</v>
      </c>
      <c r="N23">
        <v>-27.05</v>
      </c>
      <c r="O23">
        <v>60.04</v>
      </c>
    </row>
    <row r="24" spans="1:15" x14ac:dyDescent="0.25">
      <c r="A24" s="23">
        <v>45238.602777777778</v>
      </c>
      <c r="C24">
        <v>47.93</v>
      </c>
      <c r="D24">
        <v>48.59</v>
      </c>
      <c r="E24">
        <v>47.54</v>
      </c>
      <c r="F24">
        <v>48.11</v>
      </c>
      <c r="G24">
        <v>48.32</v>
      </c>
      <c r="H24">
        <v>46.85</v>
      </c>
      <c r="I24">
        <v>47.52</v>
      </c>
      <c r="J24">
        <v>47.25</v>
      </c>
      <c r="K24">
        <v>48.44</v>
      </c>
      <c r="L24">
        <v>53.34</v>
      </c>
      <c r="M24">
        <v>-28.34</v>
      </c>
      <c r="N24">
        <v>-28.25</v>
      </c>
      <c r="O24">
        <v>60.33</v>
      </c>
    </row>
    <row r="25" spans="1:15" x14ac:dyDescent="0.25">
      <c r="A25" s="23">
        <v>45238.603472222225</v>
      </c>
      <c r="C25">
        <v>47.99</v>
      </c>
      <c r="D25">
        <v>48.61</v>
      </c>
      <c r="E25">
        <v>47.51</v>
      </c>
      <c r="F25">
        <v>48.14</v>
      </c>
      <c r="G25">
        <v>48.23</v>
      </c>
      <c r="H25">
        <v>46.83</v>
      </c>
      <c r="I25">
        <v>47.59</v>
      </c>
      <c r="J25">
        <v>47.11</v>
      </c>
      <c r="K25">
        <v>48.44</v>
      </c>
      <c r="L25">
        <v>54.74</v>
      </c>
      <c r="M25">
        <v>-29.1</v>
      </c>
      <c r="N25">
        <v>-28.94</v>
      </c>
      <c r="O25">
        <v>60.43</v>
      </c>
    </row>
    <row r="26" spans="1:15" x14ac:dyDescent="0.25">
      <c r="A26" s="23">
        <v>45238.604166666664</v>
      </c>
      <c r="C26">
        <v>47.87</v>
      </c>
      <c r="D26">
        <v>48.55</v>
      </c>
      <c r="E26">
        <v>47.48</v>
      </c>
      <c r="F26">
        <v>48.08</v>
      </c>
      <c r="G26">
        <v>48.21</v>
      </c>
      <c r="H26">
        <v>46.8</v>
      </c>
      <c r="I26">
        <v>47.62</v>
      </c>
      <c r="J26">
        <v>47.28</v>
      </c>
      <c r="K26">
        <v>48.4</v>
      </c>
      <c r="L26">
        <v>55.36</v>
      </c>
      <c r="M26">
        <v>-29.82</v>
      </c>
      <c r="N26">
        <v>-29.76</v>
      </c>
      <c r="O26">
        <v>60.66</v>
      </c>
    </row>
    <row r="27" spans="1:15" x14ac:dyDescent="0.25">
      <c r="A27" s="23">
        <v>45238.604861111111</v>
      </c>
      <c r="C27">
        <v>47.84</v>
      </c>
      <c r="D27">
        <v>48.49</v>
      </c>
      <c r="E27">
        <v>47.42</v>
      </c>
      <c r="F27">
        <v>48.01</v>
      </c>
      <c r="G27">
        <v>48.08</v>
      </c>
      <c r="H27">
        <v>46.77</v>
      </c>
      <c r="I27">
        <v>47.57</v>
      </c>
      <c r="J27">
        <v>47.13</v>
      </c>
      <c r="K27">
        <v>48.31</v>
      </c>
      <c r="L27">
        <v>54.46</v>
      </c>
      <c r="M27">
        <v>-30.19</v>
      </c>
      <c r="N27">
        <v>-29.63</v>
      </c>
      <c r="O27">
        <v>61.07</v>
      </c>
    </row>
    <row r="28" spans="1:15" x14ac:dyDescent="0.25">
      <c r="A28" s="23">
        <v>45238.605555555558</v>
      </c>
      <c r="C28">
        <v>47.93</v>
      </c>
      <c r="D28">
        <v>48.59</v>
      </c>
      <c r="E28">
        <v>47.54</v>
      </c>
      <c r="F28">
        <v>48.09</v>
      </c>
      <c r="G28">
        <v>48.25</v>
      </c>
      <c r="H28">
        <v>46.92</v>
      </c>
      <c r="I28">
        <v>47.59</v>
      </c>
      <c r="J28">
        <v>47.21</v>
      </c>
      <c r="K28">
        <v>48.44</v>
      </c>
      <c r="L28">
        <v>54.59</v>
      </c>
      <c r="M28">
        <v>-30.2</v>
      </c>
      <c r="N28">
        <v>-29.57</v>
      </c>
      <c r="O28">
        <v>61.21</v>
      </c>
    </row>
    <row r="29" spans="1:15" x14ac:dyDescent="0.25">
      <c r="A29" s="23">
        <v>45238.606249999997</v>
      </c>
      <c r="C29">
        <v>47.83</v>
      </c>
      <c r="D29">
        <v>48.4</v>
      </c>
      <c r="E29">
        <v>47.45</v>
      </c>
      <c r="F29">
        <v>48.02</v>
      </c>
      <c r="G29">
        <v>48.15</v>
      </c>
      <c r="H29">
        <v>46.92</v>
      </c>
      <c r="I29">
        <v>47.61</v>
      </c>
      <c r="J29">
        <v>47.23</v>
      </c>
      <c r="K29">
        <v>48.25</v>
      </c>
      <c r="L29">
        <v>55.68</v>
      </c>
      <c r="M29">
        <v>-30.1</v>
      </c>
      <c r="N29">
        <v>-29.62</v>
      </c>
      <c r="O29">
        <v>61.48</v>
      </c>
    </row>
    <row r="30" spans="1:15" x14ac:dyDescent="0.25">
      <c r="A30" s="23">
        <v>45238.606944444444</v>
      </c>
      <c r="C30">
        <v>47.85</v>
      </c>
      <c r="D30">
        <v>48.39</v>
      </c>
      <c r="E30">
        <v>47.42</v>
      </c>
      <c r="F30">
        <v>47.95</v>
      </c>
      <c r="G30">
        <v>48.21</v>
      </c>
      <c r="H30">
        <v>46.85</v>
      </c>
      <c r="I30">
        <v>47.55</v>
      </c>
      <c r="J30">
        <v>47.2</v>
      </c>
      <c r="K30">
        <v>48.27</v>
      </c>
      <c r="L30">
        <v>56.09</v>
      </c>
      <c r="M30">
        <v>-30.02</v>
      </c>
      <c r="N30">
        <v>-29.35</v>
      </c>
      <c r="O30">
        <v>61.76</v>
      </c>
    </row>
    <row r="31" spans="1:15" x14ac:dyDescent="0.25">
      <c r="A31" s="23">
        <v>45238.607638888891</v>
      </c>
      <c r="C31">
        <v>47.91</v>
      </c>
      <c r="D31">
        <v>48.52</v>
      </c>
      <c r="E31">
        <v>47.52</v>
      </c>
      <c r="F31">
        <v>48.07</v>
      </c>
      <c r="G31">
        <v>48.16</v>
      </c>
      <c r="H31">
        <v>46.93</v>
      </c>
      <c r="I31">
        <v>47.59</v>
      </c>
      <c r="J31">
        <v>47.18</v>
      </c>
      <c r="K31">
        <v>48.38</v>
      </c>
      <c r="L31">
        <v>55.3</v>
      </c>
      <c r="M31">
        <v>-29.76</v>
      </c>
      <c r="N31">
        <v>-29.09</v>
      </c>
      <c r="O31">
        <v>62.05</v>
      </c>
    </row>
    <row r="32" spans="1:15" x14ac:dyDescent="0.25">
      <c r="A32" s="23">
        <v>45238.60833333333</v>
      </c>
      <c r="C32">
        <v>47.84</v>
      </c>
      <c r="D32">
        <v>48.44</v>
      </c>
      <c r="E32">
        <v>47.54</v>
      </c>
      <c r="F32">
        <v>48.04</v>
      </c>
      <c r="G32">
        <v>48.26</v>
      </c>
      <c r="H32">
        <v>46.84</v>
      </c>
      <c r="I32">
        <v>47.55</v>
      </c>
      <c r="J32">
        <v>47.25</v>
      </c>
      <c r="K32">
        <v>48.32</v>
      </c>
      <c r="L32">
        <v>55.28</v>
      </c>
      <c r="M32">
        <v>-29.56</v>
      </c>
      <c r="N32">
        <v>-28.88</v>
      </c>
      <c r="O32">
        <v>62.13</v>
      </c>
    </row>
    <row r="33" spans="1:15" x14ac:dyDescent="0.25">
      <c r="A33" s="23">
        <v>45238.609027777777</v>
      </c>
      <c r="C33">
        <v>47.9</v>
      </c>
      <c r="D33">
        <v>48.48</v>
      </c>
      <c r="E33">
        <v>47.51</v>
      </c>
      <c r="F33">
        <v>48.1</v>
      </c>
      <c r="G33">
        <v>48.22</v>
      </c>
      <c r="H33">
        <v>46.96</v>
      </c>
      <c r="I33">
        <v>47.58</v>
      </c>
      <c r="J33">
        <v>47.26</v>
      </c>
      <c r="K33">
        <v>48.35</v>
      </c>
      <c r="L33">
        <v>56.11</v>
      </c>
      <c r="M33">
        <v>-29.32</v>
      </c>
      <c r="N33">
        <v>-28.58</v>
      </c>
      <c r="O33">
        <v>62.38</v>
      </c>
    </row>
    <row r="34" spans="1:15" x14ac:dyDescent="0.25">
      <c r="A34" s="23">
        <v>45238.609722222223</v>
      </c>
      <c r="C34">
        <v>47.89</v>
      </c>
      <c r="D34">
        <v>48.36</v>
      </c>
      <c r="E34">
        <v>47.43</v>
      </c>
      <c r="F34">
        <v>47.94</v>
      </c>
      <c r="G34">
        <v>48.08</v>
      </c>
      <c r="H34">
        <v>47</v>
      </c>
      <c r="I34">
        <v>47.59</v>
      </c>
      <c r="J34">
        <v>47.29</v>
      </c>
      <c r="K34">
        <v>48.22</v>
      </c>
      <c r="L34">
        <v>56.82</v>
      </c>
      <c r="M34">
        <v>-29.06</v>
      </c>
      <c r="N34">
        <v>-28.32</v>
      </c>
      <c r="O34">
        <v>62.49</v>
      </c>
    </row>
    <row r="35" spans="1:15" x14ac:dyDescent="0.25">
      <c r="A35" s="23">
        <v>45238.61041666667</v>
      </c>
      <c r="C35">
        <v>47.88</v>
      </c>
      <c r="D35">
        <v>48.46</v>
      </c>
      <c r="E35">
        <v>47.54</v>
      </c>
      <c r="F35">
        <v>48.05</v>
      </c>
      <c r="G35">
        <v>48.19</v>
      </c>
      <c r="H35">
        <v>47.11</v>
      </c>
      <c r="I35">
        <v>47.64</v>
      </c>
      <c r="J35">
        <v>47.27</v>
      </c>
      <c r="K35">
        <v>48.32</v>
      </c>
      <c r="L35">
        <v>55.72</v>
      </c>
      <c r="M35">
        <v>-28.78</v>
      </c>
      <c r="N35">
        <v>-28.1</v>
      </c>
      <c r="O35">
        <v>62.84</v>
      </c>
    </row>
    <row r="36" spans="1:15" x14ac:dyDescent="0.25">
      <c r="A36" s="23">
        <v>45238.611111111109</v>
      </c>
      <c r="C36">
        <v>47.87</v>
      </c>
      <c r="D36">
        <v>48.38</v>
      </c>
      <c r="E36">
        <v>47.47</v>
      </c>
      <c r="F36">
        <v>47.96</v>
      </c>
      <c r="G36">
        <v>48.17</v>
      </c>
      <c r="H36">
        <v>47.1</v>
      </c>
      <c r="I36">
        <v>47.64</v>
      </c>
      <c r="J36">
        <v>47.27</v>
      </c>
      <c r="K36">
        <v>48.25</v>
      </c>
      <c r="L36">
        <v>55.27</v>
      </c>
      <c r="M36">
        <v>-29.54</v>
      </c>
      <c r="N36">
        <v>-29</v>
      </c>
      <c r="O36">
        <v>70.75</v>
      </c>
    </row>
    <row r="37" spans="1:15" x14ac:dyDescent="0.25">
      <c r="A37" s="23">
        <v>45238.611805555556</v>
      </c>
      <c r="C37">
        <v>47.91</v>
      </c>
      <c r="D37">
        <v>48.37</v>
      </c>
      <c r="E37">
        <v>47.48</v>
      </c>
      <c r="F37">
        <v>48.03</v>
      </c>
      <c r="G37">
        <v>48.13</v>
      </c>
      <c r="H37">
        <v>47.05</v>
      </c>
      <c r="I37">
        <v>47.63</v>
      </c>
      <c r="J37">
        <v>47.26</v>
      </c>
      <c r="K37">
        <v>48.23</v>
      </c>
      <c r="L37">
        <v>56.48</v>
      </c>
      <c r="M37">
        <v>-30.2</v>
      </c>
      <c r="N37">
        <v>-29.68</v>
      </c>
      <c r="O37">
        <v>87.5</v>
      </c>
    </row>
    <row r="38" spans="1:15" x14ac:dyDescent="0.25">
      <c r="A38" s="23">
        <v>45238.612500000003</v>
      </c>
      <c r="C38">
        <v>48.01</v>
      </c>
      <c r="D38">
        <v>48.71</v>
      </c>
      <c r="E38">
        <v>47.71</v>
      </c>
      <c r="F38">
        <v>48.24</v>
      </c>
      <c r="G38">
        <v>48.41</v>
      </c>
      <c r="H38">
        <v>47.18</v>
      </c>
      <c r="I38">
        <v>47.85</v>
      </c>
      <c r="J38">
        <v>47.43</v>
      </c>
      <c r="K38">
        <v>48.49</v>
      </c>
      <c r="L38">
        <v>56.97</v>
      </c>
      <c r="M38">
        <v>-30.11</v>
      </c>
      <c r="N38">
        <v>-29.64</v>
      </c>
      <c r="O38">
        <v>98.37</v>
      </c>
    </row>
    <row r="39" spans="1:15" x14ac:dyDescent="0.25">
      <c r="A39" s="23">
        <v>45238.613194444442</v>
      </c>
      <c r="C39">
        <v>47.88</v>
      </c>
      <c r="D39">
        <v>48.34</v>
      </c>
      <c r="E39">
        <v>47.49</v>
      </c>
      <c r="F39">
        <v>48.01</v>
      </c>
      <c r="G39">
        <v>48.14</v>
      </c>
      <c r="H39">
        <v>47.07</v>
      </c>
      <c r="I39">
        <v>47.65</v>
      </c>
      <c r="J39">
        <v>47.38</v>
      </c>
      <c r="K39">
        <v>48.25</v>
      </c>
      <c r="L39">
        <v>55.85</v>
      </c>
      <c r="M39">
        <v>-29.7</v>
      </c>
      <c r="N39">
        <v>-28.96</v>
      </c>
      <c r="O39">
        <v>107.3</v>
      </c>
    </row>
    <row r="40" spans="1:15" x14ac:dyDescent="0.25">
      <c r="A40" s="23">
        <v>45238.613888888889</v>
      </c>
      <c r="C40">
        <v>47.89</v>
      </c>
      <c r="D40">
        <v>48.37</v>
      </c>
      <c r="E40">
        <v>47.54</v>
      </c>
      <c r="F40">
        <v>48.05</v>
      </c>
      <c r="G40">
        <v>48.11</v>
      </c>
      <c r="H40">
        <v>47.19</v>
      </c>
      <c r="I40">
        <v>47.63</v>
      </c>
      <c r="J40">
        <v>47.38</v>
      </c>
      <c r="K40">
        <v>48.26</v>
      </c>
      <c r="L40">
        <v>55.92</v>
      </c>
      <c r="M40">
        <v>-29.18</v>
      </c>
      <c r="N40">
        <v>-28.61</v>
      </c>
      <c r="O40">
        <v>115.29</v>
      </c>
    </row>
    <row r="41" spans="1:15" x14ac:dyDescent="0.25">
      <c r="A41" s="23">
        <v>45238.614583333336</v>
      </c>
      <c r="C41">
        <v>47.81</v>
      </c>
      <c r="D41">
        <v>48.4</v>
      </c>
      <c r="E41">
        <v>47.52</v>
      </c>
      <c r="F41">
        <v>48.04</v>
      </c>
      <c r="G41">
        <v>48.19</v>
      </c>
      <c r="H41">
        <v>47.12</v>
      </c>
      <c r="I41">
        <v>47.67</v>
      </c>
      <c r="J41">
        <v>47.36</v>
      </c>
      <c r="K41">
        <v>48.29</v>
      </c>
      <c r="L41">
        <v>57.09</v>
      </c>
      <c r="M41">
        <v>-28.86</v>
      </c>
      <c r="N41">
        <v>-28.36</v>
      </c>
      <c r="O41">
        <v>121.7</v>
      </c>
    </row>
    <row r="42" spans="1:15" x14ac:dyDescent="0.25">
      <c r="A42" s="23">
        <v>45238.615277777775</v>
      </c>
      <c r="C42">
        <v>47.84</v>
      </c>
      <c r="D42">
        <v>48.31</v>
      </c>
      <c r="E42">
        <v>47.47</v>
      </c>
      <c r="F42">
        <v>47.98</v>
      </c>
      <c r="G42">
        <v>48.12</v>
      </c>
      <c r="H42">
        <v>47.11</v>
      </c>
      <c r="I42">
        <v>47.63</v>
      </c>
      <c r="J42">
        <v>47.31</v>
      </c>
      <c r="K42">
        <v>48.22</v>
      </c>
      <c r="L42">
        <v>57.18</v>
      </c>
      <c r="M42">
        <v>-29.35</v>
      </c>
      <c r="N42">
        <v>-28.63</v>
      </c>
      <c r="O42">
        <v>126.15</v>
      </c>
    </row>
    <row r="43" spans="1:15" x14ac:dyDescent="0.25">
      <c r="A43" s="23">
        <v>45238.615972222222</v>
      </c>
      <c r="C43">
        <v>47.91</v>
      </c>
      <c r="D43">
        <v>48.42</v>
      </c>
      <c r="E43">
        <v>47.54</v>
      </c>
      <c r="F43">
        <v>48.04</v>
      </c>
      <c r="G43">
        <v>48.18</v>
      </c>
      <c r="H43">
        <v>47.12</v>
      </c>
      <c r="I43">
        <v>47.67</v>
      </c>
      <c r="J43">
        <v>47.4</v>
      </c>
      <c r="K43">
        <v>48.26</v>
      </c>
      <c r="L43">
        <v>56.34</v>
      </c>
      <c r="M43">
        <v>-29.77</v>
      </c>
      <c r="N43">
        <v>-28.91</v>
      </c>
      <c r="O43">
        <v>130.35</v>
      </c>
    </row>
    <row r="44" spans="1:15" x14ac:dyDescent="0.25">
      <c r="A44" s="23">
        <v>45238.616666666669</v>
      </c>
      <c r="C44">
        <v>47.9</v>
      </c>
      <c r="D44">
        <v>48.4</v>
      </c>
      <c r="E44">
        <v>47.54</v>
      </c>
      <c r="F44">
        <v>48.03</v>
      </c>
      <c r="G44">
        <v>48.16</v>
      </c>
      <c r="H44">
        <v>47.01</v>
      </c>
      <c r="I44">
        <v>47.61</v>
      </c>
      <c r="J44">
        <v>47.34</v>
      </c>
      <c r="K44">
        <v>48.23</v>
      </c>
      <c r="L44">
        <v>56.24</v>
      </c>
      <c r="M44">
        <v>-29.8</v>
      </c>
      <c r="N44">
        <v>-29.21</v>
      </c>
      <c r="O44">
        <v>138.65</v>
      </c>
    </row>
    <row r="45" spans="1:15" x14ac:dyDescent="0.25">
      <c r="A45" s="23">
        <v>45238.617361111108</v>
      </c>
      <c r="C45">
        <v>47.74</v>
      </c>
      <c r="D45">
        <v>48.29</v>
      </c>
      <c r="E45">
        <v>47.46</v>
      </c>
      <c r="F45">
        <v>47.99</v>
      </c>
      <c r="G45">
        <v>48.11</v>
      </c>
      <c r="H45">
        <v>47.08</v>
      </c>
      <c r="I45">
        <v>47.61</v>
      </c>
      <c r="J45">
        <v>47.3</v>
      </c>
      <c r="K45">
        <v>48.2</v>
      </c>
      <c r="L45">
        <v>57.08</v>
      </c>
      <c r="M45">
        <v>-29.89</v>
      </c>
      <c r="N45">
        <v>-29.03</v>
      </c>
      <c r="O45">
        <v>139.97999999999999</v>
      </c>
    </row>
    <row r="46" spans="1:15" x14ac:dyDescent="0.25">
      <c r="A46" s="23">
        <v>45238.618055555555</v>
      </c>
      <c r="C46">
        <v>47.94</v>
      </c>
      <c r="D46">
        <v>48.46</v>
      </c>
      <c r="E46">
        <v>47.57</v>
      </c>
      <c r="F46">
        <v>48.08</v>
      </c>
      <c r="G46">
        <v>48.26</v>
      </c>
      <c r="H46">
        <v>47.16</v>
      </c>
      <c r="I46">
        <v>47.69</v>
      </c>
      <c r="J46">
        <v>47.36</v>
      </c>
      <c r="K46">
        <v>48.32</v>
      </c>
      <c r="L46">
        <v>57.42</v>
      </c>
      <c r="M46">
        <v>-29.7</v>
      </c>
      <c r="N46">
        <v>-28.82</v>
      </c>
      <c r="O46">
        <v>144.81</v>
      </c>
    </row>
    <row r="47" spans="1:15" x14ac:dyDescent="0.25">
      <c r="A47" s="23">
        <v>45238.618750000001</v>
      </c>
      <c r="C47">
        <v>47.91</v>
      </c>
      <c r="D47">
        <v>48.36</v>
      </c>
      <c r="E47">
        <v>47.56</v>
      </c>
      <c r="F47">
        <v>47.99</v>
      </c>
      <c r="G47">
        <v>48.18</v>
      </c>
      <c r="H47">
        <v>47.3</v>
      </c>
      <c r="I47">
        <v>47.65</v>
      </c>
      <c r="J47">
        <v>47.34</v>
      </c>
      <c r="K47">
        <v>48.26</v>
      </c>
      <c r="L47">
        <v>56.47</v>
      </c>
      <c r="M47">
        <v>-29.34</v>
      </c>
      <c r="N47">
        <v>-28.53</v>
      </c>
      <c r="O47">
        <v>149.97999999999999</v>
      </c>
    </row>
    <row r="48" spans="1:15" x14ac:dyDescent="0.25">
      <c r="A48" s="23">
        <v>45238.619444444441</v>
      </c>
      <c r="C48">
        <v>47.89</v>
      </c>
      <c r="D48">
        <v>48.44</v>
      </c>
      <c r="E48">
        <v>47.56</v>
      </c>
      <c r="F48">
        <v>48.03</v>
      </c>
      <c r="G48">
        <v>48.16</v>
      </c>
      <c r="H48">
        <v>47.34</v>
      </c>
      <c r="I48">
        <v>47.65</v>
      </c>
      <c r="J48">
        <v>47.35</v>
      </c>
      <c r="K48">
        <v>48.3</v>
      </c>
      <c r="L48">
        <v>56.38</v>
      </c>
      <c r="M48">
        <v>-29.04</v>
      </c>
      <c r="N48">
        <v>-28.28</v>
      </c>
      <c r="O48">
        <v>154.44999999999999</v>
      </c>
    </row>
    <row r="49" spans="1:15" x14ac:dyDescent="0.25">
      <c r="A49" s="23">
        <v>45238.620138888888</v>
      </c>
      <c r="C49">
        <v>47.89</v>
      </c>
      <c r="D49">
        <v>48.39</v>
      </c>
      <c r="E49">
        <v>47.58</v>
      </c>
      <c r="F49">
        <v>48.03</v>
      </c>
      <c r="G49">
        <v>48.08</v>
      </c>
      <c r="H49">
        <v>47.07</v>
      </c>
      <c r="I49">
        <v>47.65</v>
      </c>
      <c r="J49">
        <v>47.29</v>
      </c>
      <c r="K49">
        <v>48.19</v>
      </c>
      <c r="L49">
        <v>57.41</v>
      </c>
      <c r="M49">
        <v>-28.82</v>
      </c>
      <c r="N49">
        <v>-28.01</v>
      </c>
      <c r="O49">
        <v>154.35</v>
      </c>
    </row>
    <row r="50" spans="1:15" x14ac:dyDescent="0.25">
      <c r="A50" s="23">
        <v>45238.620833333334</v>
      </c>
      <c r="C50">
        <v>47.91</v>
      </c>
      <c r="D50">
        <v>48.4</v>
      </c>
      <c r="E50">
        <v>47.56</v>
      </c>
      <c r="F50">
        <v>48.05</v>
      </c>
      <c r="G50">
        <v>48.19</v>
      </c>
      <c r="H50">
        <v>47.17</v>
      </c>
      <c r="I50">
        <v>47.72</v>
      </c>
      <c r="J50">
        <v>47.38</v>
      </c>
      <c r="K50">
        <v>48.26</v>
      </c>
      <c r="L50">
        <v>57.42</v>
      </c>
      <c r="M50">
        <v>-29.21</v>
      </c>
      <c r="N50">
        <v>-28.56</v>
      </c>
      <c r="O50">
        <v>156.91999999999999</v>
      </c>
    </row>
    <row r="51" spans="1:15" x14ac:dyDescent="0.25">
      <c r="A51" s="23">
        <v>45238.621527777781</v>
      </c>
      <c r="C51">
        <v>47.92</v>
      </c>
      <c r="D51">
        <v>48.44</v>
      </c>
      <c r="E51">
        <v>47.53</v>
      </c>
      <c r="F51">
        <v>48.08</v>
      </c>
      <c r="G51">
        <v>48.23</v>
      </c>
      <c r="H51">
        <v>47.28</v>
      </c>
      <c r="I51">
        <v>47.73</v>
      </c>
      <c r="J51">
        <v>47.37</v>
      </c>
      <c r="K51">
        <v>48.32</v>
      </c>
      <c r="L51">
        <v>56.48</v>
      </c>
      <c r="M51">
        <v>-30.12</v>
      </c>
      <c r="N51">
        <v>-29.55</v>
      </c>
      <c r="O51">
        <v>153.72</v>
      </c>
    </row>
    <row r="52" spans="1:15" x14ac:dyDescent="0.25">
      <c r="A52" s="23">
        <v>45238.62222222222</v>
      </c>
      <c r="C52">
        <v>47.84</v>
      </c>
      <c r="D52">
        <v>48.31</v>
      </c>
      <c r="E52">
        <v>47.53</v>
      </c>
      <c r="F52">
        <v>47.97</v>
      </c>
      <c r="G52">
        <v>48.09</v>
      </c>
      <c r="H52">
        <v>47.09</v>
      </c>
      <c r="I52">
        <v>47.62</v>
      </c>
      <c r="J52">
        <v>47.31</v>
      </c>
      <c r="K52">
        <v>48.25</v>
      </c>
      <c r="L52">
        <v>56.53</v>
      </c>
      <c r="M52">
        <v>-30.3</v>
      </c>
      <c r="N52">
        <v>-29.69</v>
      </c>
      <c r="O52">
        <v>153.86000000000001</v>
      </c>
    </row>
    <row r="53" spans="1:15" x14ac:dyDescent="0.25">
      <c r="A53" s="23">
        <v>45238.622916666667</v>
      </c>
      <c r="C53">
        <v>47.97</v>
      </c>
      <c r="D53">
        <v>48.5</v>
      </c>
      <c r="E53">
        <v>47.65</v>
      </c>
      <c r="F53">
        <v>48.16</v>
      </c>
      <c r="G53">
        <v>48.21</v>
      </c>
      <c r="H53">
        <v>47.18</v>
      </c>
      <c r="I53">
        <v>47.79</v>
      </c>
      <c r="J53">
        <v>47.35</v>
      </c>
      <c r="K53">
        <v>48.37</v>
      </c>
      <c r="L53">
        <v>57.37</v>
      </c>
      <c r="M53">
        <v>-29.95</v>
      </c>
      <c r="N53">
        <v>-29.23</v>
      </c>
      <c r="O53">
        <v>152.21</v>
      </c>
    </row>
    <row r="54" spans="1:15" x14ac:dyDescent="0.25">
      <c r="A54" s="23">
        <v>45238.623611111114</v>
      </c>
      <c r="C54">
        <v>47.9</v>
      </c>
      <c r="D54">
        <v>48.39</v>
      </c>
      <c r="E54">
        <v>47.58</v>
      </c>
      <c r="F54">
        <v>48.07</v>
      </c>
      <c r="G54">
        <v>48.2</v>
      </c>
      <c r="H54">
        <v>47.25</v>
      </c>
      <c r="I54">
        <v>47.75</v>
      </c>
      <c r="J54">
        <v>47.35</v>
      </c>
      <c r="K54">
        <v>48.23</v>
      </c>
      <c r="L54">
        <v>57.28</v>
      </c>
      <c r="M54">
        <v>-29.47</v>
      </c>
      <c r="N54">
        <v>-28.81</v>
      </c>
      <c r="O54">
        <v>153.13999999999999</v>
      </c>
    </row>
    <row r="55" spans="1:15" x14ac:dyDescent="0.25">
      <c r="A55" s="23">
        <v>45238.624305555553</v>
      </c>
      <c r="C55">
        <v>47.96</v>
      </c>
      <c r="D55">
        <v>48.51</v>
      </c>
      <c r="E55">
        <v>47.7</v>
      </c>
      <c r="F55">
        <v>48.13</v>
      </c>
      <c r="G55">
        <v>48.3</v>
      </c>
      <c r="H55">
        <v>47.28</v>
      </c>
      <c r="I55">
        <v>47.74</v>
      </c>
      <c r="J55">
        <v>47.33</v>
      </c>
      <c r="K55">
        <v>48.41</v>
      </c>
      <c r="L55">
        <v>56.4</v>
      </c>
      <c r="M55">
        <v>-29.08</v>
      </c>
      <c r="N55">
        <v>-28.46</v>
      </c>
      <c r="O55">
        <v>151.91</v>
      </c>
    </row>
    <row r="56" spans="1:15" x14ac:dyDescent="0.25">
      <c r="A56" s="23">
        <v>45238.625</v>
      </c>
      <c r="C56">
        <v>47.97</v>
      </c>
      <c r="D56">
        <v>48.49</v>
      </c>
      <c r="E56">
        <v>47.7</v>
      </c>
      <c r="F56">
        <v>48.14</v>
      </c>
      <c r="G56">
        <v>48.29</v>
      </c>
      <c r="H56">
        <v>47.29</v>
      </c>
      <c r="I56">
        <v>47.79</v>
      </c>
      <c r="J56">
        <v>47.41</v>
      </c>
      <c r="K56">
        <v>48.4</v>
      </c>
      <c r="L56">
        <v>56.79</v>
      </c>
      <c r="M56">
        <v>-28.77</v>
      </c>
      <c r="N56">
        <v>-28.24</v>
      </c>
      <c r="O56">
        <v>153.1</v>
      </c>
    </row>
    <row r="57" spans="1:15" x14ac:dyDescent="0.25">
      <c r="A57" s="23">
        <v>45238.625694444447</v>
      </c>
      <c r="C57">
        <v>47.87</v>
      </c>
      <c r="D57">
        <v>48.35</v>
      </c>
      <c r="E57">
        <v>47.54</v>
      </c>
      <c r="F57">
        <v>47.98</v>
      </c>
      <c r="G57">
        <v>48.15</v>
      </c>
      <c r="H57">
        <v>47.21</v>
      </c>
      <c r="I57">
        <v>47.65</v>
      </c>
      <c r="J57">
        <v>47.34</v>
      </c>
      <c r="K57">
        <v>48.15</v>
      </c>
      <c r="L57">
        <v>58.04</v>
      </c>
      <c r="M57">
        <v>-29.29</v>
      </c>
      <c r="N57">
        <v>-28.56</v>
      </c>
      <c r="O57">
        <v>151.87</v>
      </c>
    </row>
    <row r="58" spans="1:15" x14ac:dyDescent="0.25">
      <c r="A58" s="23">
        <v>45238.626388888886</v>
      </c>
      <c r="C58">
        <v>47.93</v>
      </c>
      <c r="D58">
        <v>48.4</v>
      </c>
      <c r="E58">
        <v>47.6</v>
      </c>
      <c r="F58">
        <v>48.06</v>
      </c>
      <c r="G58">
        <v>48.18</v>
      </c>
      <c r="H58">
        <v>47.34</v>
      </c>
      <c r="I58">
        <v>47.78</v>
      </c>
      <c r="J58">
        <v>47.36</v>
      </c>
      <c r="K58">
        <v>48.28</v>
      </c>
      <c r="L58">
        <v>57.33</v>
      </c>
      <c r="M58">
        <v>-29.68</v>
      </c>
      <c r="N58">
        <v>-28.87</v>
      </c>
      <c r="O58">
        <v>151.33000000000001</v>
      </c>
    </row>
    <row r="59" spans="1:15" x14ac:dyDescent="0.25">
      <c r="A59" s="23">
        <v>45238.627083333333</v>
      </c>
      <c r="C59">
        <v>47.89</v>
      </c>
      <c r="D59">
        <v>48.43</v>
      </c>
      <c r="E59">
        <v>47.58</v>
      </c>
      <c r="F59">
        <v>48.04</v>
      </c>
      <c r="G59">
        <v>48.19</v>
      </c>
      <c r="H59">
        <v>47.16</v>
      </c>
      <c r="I59">
        <v>47.68</v>
      </c>
      <c r="J59">
        <v>47.45</v>
      </c>
      <c r="K59">
        <v>48.3</v>
      </c>
      <c r="L59">
        <v>56.46</v>
      </c>
      <c r="M59">
        <v>-29.85</v>
      </c>
      <c r="N59">
        <v>-29</v>
      </c>
      <c r="O59">
        <v>153.08000000000001</v>
      </c>
    </row>
    <row r="60" spans="1:15" x14ac:dyDescent="0.25">
      <c r="A60" s="23">
        <v>45238.62777777778</v>
      </c>
      <c r="C60">
        <v>49.27</v>
      </c>
      <c r="D60">
        <v>51.87</v>
      </c>
      <c r="E60">
        <v>49.31</v>
      </c>
      <c r="F60">
        <v>50.79</v>
      </c>
      <c r="G60">
        <v>50.2</v>
      </c>
      <c r="H60">
        <v>47.9</v>
      </c>
      <c r="I60">
        <v>49.62</v>
      </c>
      <c r="J60">
        <v>48.37</v>
      </c>
      <c r="K60">
        <v>51.71</v>
      </c>
      <c r="L60">
        <v>57.37</v>
      </c>
      <c r="M60">
        <v>-29.86</v>
      </c>
      <c r="N60">
        <v>-28.98</v>
      </c>
      <c r="O60">
        <v>152.29</v>
      </c>
    </row>
    <row r="61" spans="1:15" x14ac:dyDescent="0.25">
      <c r="A61" s="23">
        <v>45238.628472222219</v>
      </c>
      <c r="C61">
        <v>63.07</v>
      </c>
      <c r="D61">
        <v>72.2</v>
      </c>
      <c r="E61">
        <v>62.9</v>
      </c>
      <c r="F61">
        <v>69.290000000000006</v>
      </c>
      <c r="G61">
        <v>66.63</v>
      </c>
      <c r="H61">
        <v>58.15</v>
      </c>
      <c r="I61">
        <v>63.92</v>
      </c>
      <c r="J61">
        <v>58.23</v>
      </c>
      <c r="K61">
        <v>70.819999999999993</v>
      </c>
      <c r="L61">
        <v>57.9</v>
      </c>
      <c r="M61">
        <v>-29.51</v>
      </c>
      <c r="N61">
        <v>-28.72</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56.98</v>
      </c>
      <c r="M62">
        <v>-29.25</v>
      </c>
      <c r="N62">
        <v>-28.5</v>
      </c>
      <c r="O62">
        <v>152.09</v>
      </c>
    </row>
    <row r="63" spans="1:15" x14ac:dyDescent="0.25">
      <c r="A63" s="23">
        <v>45238.629861111112</v>
      </c>
      <c r="C63">
        <v>81.680000000000007</v>
      </c>
      <c r="D63">
        <v>96.59</v>
      </c>
      <c r="E63">
        <v>85.19</v>
      </c>
      <c r="F63">
        <v>91.52</v>
      </c>
      <c r="G63">
        <v>93.26</v>
      </c>
      <c r="H63">
        <v>83.63</v>
      </c>
      <c r="I63">
        <v>84.74</v>
      </c>
      <c r="J63">
        <v>80.62</v>
      </c>
      <c r="K63">
        <v>93.98</v>
      </c>
      <c r="L63">
        <v>56.7</v>
      </c>
      <c r="M63">
        <v>-29.02</v>
      </c>
      <c r="N63">
        <v>-28.25</v>
      </c>
      <c r="O63">
        <v>151.43</v>
      </c>
    </row>
    <row r="64" spans="1:15" x14ac:dyDescent="0.25">
      <c r="A64" s="23">
        <v>45238.630555555559</v>
      </c>
      <c r="C64">
        <v>86.69</v>
      </c>
      <c r="D64">
        <v>97.8</v>
      </c>
      <c r="E64">
        <v>86.16</v>
      </c>
      <c r="F64">
        <v>93.97</v>
      </c>
      <c r="G64">
        <v>93.59</v>
      </c>
      <c r="H64">
        <v>83.45</v>
      </c>
      <c r="I64">
        <v>88.51</v>
      </c>
      <c r="J64">
        <v>84.92</v>
      </c>
      <c r="K64">
        <v>95.81</v>
      </c>
      <c r="L64">
        <v>57.86</v>
      </c>
      <c r="M64">
        <v>-28.85</v>
      </c>
      <c r="N64">
        <v>-28.09</v>
      </c>
      <c r="O64">
        <v>151.56</v>
      </c>
    </row>
    <row r="65" spans="1:15" x14ac:dyDescent="0.25">
      <c r="A65" s="23">
        <v>45238.631249999999</v>
      </c>
      <c r="C65">
        <v>90.28</v>
      </c>
      <c r="D65">
        <v>100.65</v>
      </c>
      <c r="E65">
        <v>89.55</v>
      </c>
      <c r="F65">
        <v>96.37</v>
      </c>
      <c r="G65">
        <v>96.54</v>
      </c>
      <c r="H65">
        <v>86.16</v>
      </c>
      <c r="I65">
        <v>91.17</v>
      </c>
      <c r="J65">
        <v>87.77</v>
      </c>
      <c r="K65">
        <v>98.16</v>
      </c>
      <c r="L65">
        <v>57.93</v>
      </c>
      <c r="M65">
        <v>-29.5</v>
      </c>
      <c r="N65">
        <v>-28.88</v>
      </c>
      <c r="O65">
        <v>152.77000000000001</v>
      </c>
    </row>
    <row r="66" spans="1:15" x14ac:dyDescent="0.25">
      <c r="A66" s="23">
        <v>45238.631944444445</v>
      </c>
      <c r="C66">
        <v>92.37</v>
      </c>
      <c r="D66">
        <v>100.98</v>
      </c>
      <c r="E66">
        <v>91.44</v>
      </c>
      <c r="F66">
        <v>97.37</v>
      </c>
      <c r="G66">
        <v>97.53</v>
      </c>
      <c r="H66">
        <v>87.46</v>
      </c>
      <c r="I66">
        <v>92.33</v>
      </c>
      <c r="J66">
        <v>88.67</v>
      </c>
      <c r="K66">
        <v>99</v>
      </c>
      <c r="L66">
        <v>56.64</v>
      </c>
      <c r="M66">
        <v>-30.37</v>
      </c>
      <c r="N66">
        <v>-29.73</v>
      </c>
      <c r="O66">
        <v>152.6</v>
      </c>
    </row>
    <row r="67" spans="1:15" x14ac:dyDescent="0.25">
      <c r="A67" s="23">
        <v>45238.632638888892</v>
      </c>
      <c r="C67">
        <v>93.66</v>
      </c>
      <c r="D67">
        <v>101.25</v>
      </c>
      <c r="E67">
        <v>92.41</v>
      </c>
      <c r="F67">
        <v>98.18</v>
      </c>
      <c r="G67">
        <v>98.43</v>
      </c>
      <c r="H67">
        <v>88.86</v>
      </c>
      <c r="I67">
        <v>93.2</v>
      </c>
      <c r="J67">
        <v>89.67</v>
      </c>
      <c r="K67">
        <v>99.43</v>
      </c>
      <c r="L67">
        <v>57.16</v>
      </c>
      <c r="M67">
        <v>-30.27</v>
      </c>
      <c r="N67">
        <v>-29.61</v>
      </c>
      <c r="O67">
        <v>152.19999999999999</v>
      </c>
    </row>
    <row r="68" spans="1:15" x14ac:dyDescent="0.25">
      <c r="A68" s="23">
        <v>45238.633333333331</v>
      </c>
      <c r="C68">
        <v>94.59</v>
      </c>
      <c r="D68">
        <v>101.5</v>
      </c>
      <c r="E68">
        <v>93.36</v>
      </c>
      <c r="F68">
        <v>98.58</v>
      </c>
      <c r="G68">
        <v>98.61</v>
      </c>
      <c r="H68">
        <v>89.17</v>
      </c>
      <c r="I68">
        <v>93.92</v>
      </c>
      <c r="J68">
        <v>90.83</v>
      </c>
      <c r="K68">
        <v>99.75</v>
      </c>
      <c r="L68">
        <v>58.27</v>
      </c>
      <c r="M68">
        <v>-29.81</v>
      </c>
      <c r="N68">
        <v>-29.15</v>
      </c>
      <c r="O68">
        <v>152.16</v>
      </c>
    </row>
    <row r="69" spans="1:15" x14ac:dyDescent="0.25">
      <c r="A69" s="23">
        <v>45238.634027777778</v>
      </c>
      <c r="C69">
        <v>95.6</v>
      </c>
      <c r="D69">
        <v>101.33</v>
      </c>
      <c r="E69">
        <v>93.94</v>
      </c>
      <c r="F69">
        <v>98.69</v>
      </c>
      <c r="G69">
        <v>98.4</v>
      </c>
      <c r="H69">
        <v>90.64</v>
      </c>
      <c r="I69">
        <v>94.05</v>
      </c>
      <c r="J69">
        <v>90.95</v>
      </c>
      <c r="K69">
        <v>99.93</v>
      </c>
      <c r="L69">
        <v>57.65</v>
      </c>
      <c r="M69">
        <v>-29.36</v>
      </c>
      <c r="N69">
        <v>-28.82</v>
      </c>
      <c r="O69">
        <v>151.76</v>
      </c>
    </row>
    <row r="70" spans="1:15" x14ac:dyDescent="0.25">
      <c r="A70" s="23">
        <v>45238.634722222225</v>
      </c>
      <c r="C70">
        <v>95.98</v>
      </c>
      <c r="D70">
        <v>101.16</v>
      </c>
      <c r="E70">
        <v>94.48</v>
      </c>
      <c r="F70">
        <v>98.48</v>
      </c>
      <c r="G70">
        <v>98.5</v>
      </c>
      <c r="H70">
        <v>90.27</v>
      </c>
      <c r="I70">
        <v>93.75</v>
      </c>
      <c r="J70">
        <v>90.63</v>
      </c>
      <c r="K70">
        <v>99.64</v>
      </c>
      <c r="L70">
        <v>56.63</v>
      </c>
      <c r="M70">
        <v>-29.05</v>
      </c>
      <c r="N70">
        <v>-28.47</v>
      </c>
      <c r="O70">
        <v>151.77000000000001</v>
      </c>
    </row>
    <row r="71" spans="1:15" x14ac:dyDescent="0.25">
      <c r="A71" s="23">
        <v>45238.635416666664</v>
      </c>
      <c r="C71">
        <v>96</v>
      </c>
      <c r="D71">
        <v>100.99</v>
      </c>
      <c r="E71">
        <v>94.73</v>
      </c>
      <c r="F71">
        <v>98.85</v>
      </c>
      <c r="G71">
        <v>98.57</v>
      </c>
      <c r="H71">
        <v>91.48</v>
      </c>
      <c r="I71">
        <v>94.76</v>
      </c>
      <c r="J71">
        <v>91.21</v>
      </c>
      <c r="K71">
        <v>99.54</v>
      </c>
      <c r="L71">
        <v>57.34</v>
      </c>
      <c r="M71">
        <v>-28.74</v>
      </c>
      <c r="N71">
        <v>-28.27</v>
      </c>
      <c r="O71">
        <v>151.56</v>
      </c>
    </row>
    <row r="72" spans="1:15" x14ac:dyDescent="0.25">
      <c r="A72" s="23">
        <v>45238.636111111111</v>
      </c>
      <c r="C72">
        <v>96.44</v>
      </c>
      <c r="D72">
        <v>100.41</v>
      </c>
      <c r="E72">
        <v>95.09</v>
      </c>
      <c r="F72">
        <v>98.63</v>
      </c>
      <c r="G72">
        <v>98.28</v>
      </c>
      <c r="H72">
        <v>92.24</v>
      </c>
      <c r="I72">
        <v>94.91</v>
      </c>
      <c r="J72">
        <v>91.71</v>
      </c>
      <c r="K72">
        <v>99.54</v>
      </c>
      <c r="L72">
        <v>58.14</v>
      </c>
      <c r="M72">
        <v>-29.17</v>
      </c>
      <c r="N72">
        <v>-28.47</v>
      </c>
      <c r="O72">
        <v>151.84</v>
      </c>
    </row>
    <row r="73" spans="1:15" x14ac:dyDescent="0.25">
      <c r="A73" s="23">
        <v>45238.636805555558</v>
      </c>
      <c r="C73">
        <v>96.42</v>
      </c>
      <c r="D73">
        <v>100.37</v>
      </c>
      <c r="E73">
        <v>95.7</v>
      </c>
      <c r="F73">
        <v>98.32</v>
      </c>
      <c r="G73">
        <v>98.48</v>
      </c>
      <c r="H73">
        <v>91.44</v>
      </c>
      <c r="I73">
        <v>94.82</v>
      </c>
      <c r="J73">
        <v>91.81</v>
      </c>
      <c r="K73">
        <v>99.31</v>
      </c>
      <c r="L73">
        <v>57.55</v>
      </c>
      <c r="M73">
        <v>-29.64</v>
      </c>
      <c r="N73">
        <v>-28.97</v>
      </c>
      <c r="O73">
        <v>152.35</v>
      </c>
    </row>
    <row r="74" spans="1:15" x14ac:dyDescent="0.25">
      <c r="A74" s="23">
        <v>45238.637499999997</v>
      </c>
      <c r="C74">
        <v>96.31</v>
      </c>
      <c r="D74">
        <v>100.06</v>
      </c>
      <c r="E74">
        <v>95.54</v>
      </c>
      <c r="F74">
        <v>98.35</v>
      </c>
      <c r="G74">
        <v>98.45</v>
      </c>
      <c r="H74">
        <v>91.75</v>
      </c>
      <c r="I74">
        <v>94.92</v>
      </c>
      <c r="J74">
        <v>92.49</v>
      </c>
      <c r="K74">
        <v>99.06</v>
      </c>
      <c r="L74">
        <v>56.93</v>
      </c>
      <c r="M74">
        <v>-29.72</v>
      </c>
      <c r="N74">
        <v>-29.15</v>
      </c>
      <c r="O74">
        <v>152</v>
      </c>
    </row>
    <row r="75" spans="1:15" x14ac:dyDescent="0.25">
      <c r="A75" s="23">
        <v>45238.638194444444</v>
      </c>
      <c r="C75">
        <v>96.5</v>
      </c>
      <c r="D75">
        <v>99.87</v>
      </c>
      <c r="E75">
        <v>95.56</v>
      </c>
      <c r="F75">
        <v>98.09</v>
      </c>
      <c r="G75">
        <v>98.17</v>
      </c>
      <c r="H75">
        <v>91.88</v>
      </c>
      <c r="I75">
        <v>94.85</v>
      </c>
      <c r="J75">
        <v>92.54</v>
      </c>
      <c r="K75">
        <v>98.87</v>
      </c>
      <c r="L75">
        <v>57.85</v>
      </c>
      <c r="M75">
        <v>-29.76</v>
      </c>
      <c r="N75">
        <v>-29.01</v>
      </c>
      <c r="O75">
        <v>152.41999999999999</v>
      </c>
    </row>
    <row r="76" spans="1:15" x14ac:dyDescent="0.25">
      <c r="A76" s="23">
        <v>45238.638888888891</v>
      </c>
      <c r="C76">
        <v>96.3</v>
      </c>
      <c r="D76">
        <v>99.67</v>
      </c>
      <c r="E76">
        <v>95.66</v>
      </c>
      <c r="F76">
        <v>98.11</v>
      </c>
      <c r="G76">
        <v>98.19</v>
      </c>
      <c r="H76">
        <v>92.42</v>
      </c>
      <c r="I76">
        <v>95.11</v>
      </c>
      <c r="J76">
        <v>92.93</v>
      </c>
      <c r="K76">
        <v>98.89</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B7Xo8z1FWxJRPPR7u4ZAy8AEcI29zl/jqq5SY7L5EoONRXsLWCP0WAqMXwWHsNGH0zmHGENfYBwF640a8OxHXQ==" saltValue="0NuL1dTuPFgfi8OPapqZcw=="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2" t="s">
        <v>85</v>
      </c>
      <c r="B1" s="332"/>
      <c r="C1" s="332"/>
      <c r="D1" s="332"/>
      <c r="E1" s="332"/>
      <c r="F1" s="332"/>
      <c r="G1" s="332"/>
      <c r="H1" s="332"/>
      <c r="I1" s="332"/>
      <c r="J1" s="332"/>
      <c r="K1" s="332"/>
      <c r="L1" s="332"/>
      <c r="M1" s="332"/>
      <c r="N1" s="332"/>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2" t="s">
        <v>86</v>
      </c>
      <c r="B24" s="332"/>
      <c r="C24" s="332"/>
      <c r="D24" s="332"/>
      <c r="E24" s="332"/>
      <c r="F24" s="332"/>
      <c r="G24" s="332"/>
      <c r="H24" s="332"/>
      <c r="I24" s="332"/>
      <c r="J24" s="332"/>
      <c r="K24" s="332"/>
      <c r="L24" s="332"/>
      <c r="M24" s="332"/>
      <c r="N24" s="332"/>
      <c r="O24" s="332"/>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3" t="s">
        <v>245</v>
      </c>
      <c r="B45" s="333"/>
      <c r="C45" s="333"/>
      <c r="D45" s="333"/>
      <c r="E45" s="333"/>
      <c r="F45" s="333"/>
      <c r="G45" s="333"/>
      <c r="H45" s="333"/>
      <c r="I45" s="333"/>
      <c r="J45" s="333"/>
      <c r="K45" s="333"/>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4" t="s">
        <v>277</v>
      </c>
      <c r="B63" s="335"/>
      <c r="C63" s="335"/>
      <c r="D63" s="335"/>
      <c r="E63" s="335"/>
      <c r="F63" s="335"/>
      <c r="G63" s="335"/>
      <c r="H63" s="335"/>
      <c r="I63" s="335"/>
      <c r="J63" s="336"/>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4" t="s">
        <v>530</v>
      </c>
      <c r="B79" s="335"/>
      <c r="C79" s="335"/>
      <c r="D79" s="335"/>
      <c r="E79" s="335"/>
      <c r="F79" s="335"/>
      <c r="G79" s="335"/>
      <c r="H79" s="335"/>
      <c r="I79" s="335"/>
      <c r="J79" s="335"/>
      <c r="K79" s="335"/>
      <c r="L79" s="335"/>
      <c r="M79" s="335"/>
      <c r="N79" s="335"/>
      <c r="O79" s="335"/>
      <c r="P79" s="335"/>
      <c r="Q79" s="336"/>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29" t="str">
        <f>C104</f>
        <v>6100 PORTABLE</v>
      </c>
      <c r="B103" s="330"/>
      <c r="C103" s="330"/>
      <c r="D103" s="330"/>
      <c r="E103" s="330"/>
      <c r="F103" s="330"/>
      <c r="G103" s="330"/>
      <c r="H103" s="330"/>
      <c r="I103" s="330"/>
      <c r="J103" s="330"/>
      <c r="K103" s="330"/>
      <c r="L103" s="331"/>
    </row>
    <row r="104" spans="1:17" ht="15.75" thickTop="1" x14ac:dyDescent="0.25">
      <c r="A104" s="309" t="s">
        <v>50</v>
      </c>
      <c r="B104" t="s">
        <v>51</v>
      </c>
      <c r="C104" t="s">
        <v>52</v>
      </c>
      <c r="E104" t="s">
        <v>53</v>
      </c>
      <c r="F104">
        <v>8480381</v>
      </c>
      <c r="H104" t="s">
        <v>54</v>
      </c>
      <c r="I104" t="s">
        <v>55</v>
      </c>
      <c r="L104" s="310"/>
    </row>
    <row r="105" spans="1:17" x14ac:dyDescent="0.25">
      <c r="A105" s="309"/>
      <c r="B105" t="s">
        <v>56</v>
      </c>
      <c r="C105" t="s">
        <v>57</v>
      </c>
      <c r="E105" t="s">
        <v>58</v>
      </c>
      <c r="F105" t="s">
        <v>59</v>
      </c>
      <c r="H105" t="s">
        <v>60</v>
      </c>
      <c r="I105" t="s">
        <v>61</v>
      </c>
      <c r="K105" t="s">
        <v>62</v>
      </c>
      <c r="L105" s="310" t="s">
        <v>63</v>
      </c>
    </row>
    <row r="106" spans="1:17" x14ac:dyDescent="0.25">
      <c r="A106" s="309" t="s">
        <v>64</v>
      </c>
      <c r="B106" t="s">
        <v>65</v>
      </c>
      <c r="L106" s="310"/>
    </row>
    <row r="107" spans="1:17" x14ac:dyDescent="0.25">
      <c r="A107" s="309" t="s">
        <v>66</v>
      </c>
      <c r="B107" t="s">
        <v>67</v>
      </c>
      <c r="C107">
        <v>20</v>
      </c>
      <c r="D107" t="s">
        <v>68</v>
      </c>
      <c r="E107">
        <v>550</v>
      </c>
      <c r="F107" t="s">
        <v>69</v>
      </c>
      <c r="G107" t="s">
        <v>70</v>
      </c>
      <c r="L107" s="310"/>
    </row>
    <row r="108" spans="1:17" x14ac:dyDescent="0.25">
      <c r="A108" s="309" t="s">
        <v>71</v>
      </c>
      <c r="B108" t="s">
        <v>67</v>
      </c>
      <c r="C108">
        <v>20</v>
      </c>
      <c r="D108" t="s">
        <v>68</v>
      </c>
      <c r="E108">
        <v>550</v>
      </c>
      <c r="F108" t="s">
        <v>69</v>
      </c>
      <c r="G108" t="s">
        <v>70</v>
      </c>
      <c r="L108" s="310"/>
    </row>
    <row r="109" spans="1:17" x14ac:dyDescent="0.25">
      <c r="A109" s="309" t="s">
        <v>72</v>
      </c>
      <c r="B109" t="s">
        <v>67</v>
      </c>
      <c r="C109">
        <v>20</v>
      </c>
      <c r="D109" t="s">
        <v>68</v>
      </c>
      <c r="E109">
        <v>550</v>
      </c>
      <c r="F109" t="s">
        <v>69</v>
      </c>
      <c r="G109" t="s">
        <v>70</v>
      </c>
      <c r="L109" s="310"/>
    </row>
    <row r="110" spans="1:17" x14ac:dyDescent="0.25">
      <c r="A110" s="309" t="s">
        <v>73</v>
      </c>
      <c r="B110" t="s">
        <v>67</v>
      </c>
      <c r="C110">
        <v>20</v>
      </c>
      <c r="D110" t="s">
        <v>68</v>
      </c>
      <c r="E110">
        <v>550</v>
      </c>
      <c r="F110" t="s">
        <v>69</v>
      </c>
      <c r="G110" t="s">
        <v>70</v>
      </c>
      <c r="L110" s="310"/>
    </row>
    <row r="111" spans="1:17" x14ac:dyDescent="0.25">
      <c r="A111" s="309" t="s">
        <v>74</v>
      </c>
      <c r="B111" t="s">
        <v>67</v>
      </c>
      <c r="C111">
        <v>20</v>
      </c>
      <c r="D111" t="s">
        <v>68</v>
      </c>
      <c r="E111">
        <v>550</v>
      </c>
      <c r="F111" t="s">
        <v>69</v>
      </c>
      <c r="G111" t="s">
        <v>70</v>
      </c>
      <c r="L111" s="310"/>
    </row>
    <row r="112" spans="1:17" x14ac:dyDescent="0.25">
      <c r="A112" s="309" t="s">
        <v>75</v>
      </c>
      <c r="B112" t="s">
        <v>67</v>
      </c>
      <c r="C112">
        <v>20</v>
      </c>
      <c r="D112" t="s">
        <v>68</v>
      </c>
      <c r="E112">
        <v>550</v>
      </c>
      <c r="F112" t="s">
        <v>69</v>
      </c>
      <c r="G112" t="s">
        <v>70</v>
      </c>
      <c r="L112" s="310"/>
    </row>
    <row r="113" spans="1:12" x14ac:dyDescent="0.25">
      <c r="A113" s="309" t="s">
        <v>76</v>
      </c>
      <c r="B113" t="s">
        <v>67</v>
      </c>
      <c r="C113">
        <v>20</v>
      </c>
      <c r="D113" t="s">
        <v>68</v>
      </c>
      <c r="E113">
        <v>550</v>
      </c>
      <c r="F113" t="s">
        <v>69</v>
      </c>
      <c r="G113" t="s">
        <v>70</v>
      </c>
      <c r="L113" s="310"/>
    </row>
    <row r="114" spans="1:12" x14ac:dyDescent="0.25">
      <c r="A114" s="309" t="s">
        <v>77</v>
      </c>
      <c r="B114" t="s">
        <v>67</v>
      </c>
      <c r="C114">
        <v>20</v>
      </c>
      <c r="D114" t="s">
        <v>68</v>
      </c>
      <c r="E114">
        <v>550</v>
      </c>
      <c r="F114" t="s">
        <v>69</v>
      </c>
      <c r="G114" t="s">
        <v>70</v>
      </c>
      <c r="L114" s="310"/>
    </row>
    <row r="115" spans="1:12" x14ac:dyDescent="0.25">
      <c r="A115" s="309" t="s">
        <v>78</v>
      </c>
      <c r="B115" t="s">
        <v>67</v>
      </c>
      <c r="C115">
        <v>20</v>
      </c>
      <c r="D115" t="s">
        <v>68</v>
      </c>
      <c r="E115">
        <v>550</v>
      </c>
      <c r="F115" t="s">
        <v>69</v>
      </c>
      <c r="G115" t="s">
        <v>70</v>
      </c>
      <c r="L115" s="310"/>
    </row>
    <row r="116" spans="1:12" x14ac:dyDescent="0.25">
      <c r="A116" s="309" t="s">
        <v>36</v>
      </c>
      <c r="C116" t="s">
        <v>66</v>
      </c>
      <c r="D116" t="s">
        <v>71</v>
      </c>
      <c r="E116" t="s">
        <v>72</v>
      </c>
      <c r="F116" t="s">
        <v>73</v>
      </c>
      <c r="G116" t="s">
        <v>74</v>
      </c>
      <c r="H116" t="s">
        <v>75</v>
      </c>
      <c r="I116" t="s">
        <v>76</v>
      </c>
      <c r="J116" t="s">
        <v>77</v>
      </c>
      <c r="K116" t="s">
        <v>78</v>
      </c>
      <c r="L116" s="310"/>
    </row>
    <row r="117" spans="1:12" ht="15.75" thickBot="1" x14ac:dyDescent="0.3">
      <c r="A117" s="311"/>
      <c r="B117" s="312"/>
      <c r="C117" s="312" t="s">
        <v>70</v>
      </c>
      <c r="D117" s="312" t="s">
        <v>70</v>
      </c>
      <c r="E117" s="312" t="s">
        <v>70</v>
      </c>
      <c r="F117" s="312" t="s">
        <v>70</v>
      </c>
      <c r="G117" s="312" t="s">
        <v>70</v>
      </c>
      <c r="H117" s="312" t="s">
        <v>70</v>
      </c>
      <c r="I117" s="312" t="s">
        <v>70</v>
      </c>
      <c r="J117" s="312" t="s">
        <v>70</v>
      </c>
      <c r="K117" s="312" t="s">
        <v>70</v>
      </c>
      <c r="L117" s="313"/>
    </row>
    <row r="119" spans="1:12" ht="15.75" thickBot="1" x14ac:dyDescent="0.3"/>
    <row r="120" spans="1:12" ht="15.75" thickBot="1" x14ac:dyDescent="0.3">
      <c r="A120" s="329" t="str">
        <f>C121</f>
        <v>Four Thermidor Efita</v>
      </c>
      <c r="B120" s="330"/>
      <c r="C120" s="330"/>
      <c r="D120" s="330"/>
      <c r="E120" s="330"/>
      <c r="F120" s="330"/>
      <c r="G120" s="330"/>
      <c r="H120" s="330"/>
      <c r="I120" s="330"/>
      <c r="J120" s="330"/>
      <c r="K120" s="330"/>
      <c r="L120" s="331"/>
    </row>
    <row r="121" spans="1:12" ht="15.75" thickTop="1" x14ac:dyDescent="0.25">
      <c r="A121" s="309" t="s">
        <v>50</v>
      </c>
      <c r="B121" t="s">
        <v>51</v>
      </c>
      <c r="C121" t="s">
        <v>531</v>
      </c>
      <c r="E121" t="s">
        <v>53</v>
      </c>
      <c r="F121">
        <v>8470479</v>
      </c>
      <c r="H121" t="s">
        <v>54</v>
      </c>
      <c r="I121" t="s">
        <v>532</v>
      </c>
      <c r="L121" s="310"/>
    </row>
    <row r="122" spans="1:12" x14ac:dyDescent="0.25">
      <c r="A122" s="309"/>
      <c r="B122" t="s">
        <v>56</v>
      </c>
      <c r="C122" t="s">
        <v>533</v>
      </c>
      <c r="E122" t="s">
        <v>58</v>
      </c>
      <c r="F122" t="s">
        <v>59</v>
      </c>
      <c r="H122" t="s">
        <v>60</v>
      </c>
      <c r="I122" t="s">
        <v>61</v>
      </c>
      <c r="K122" t="s">
        <v>62</v>
      </c>
      <c r="L122" s="310" t="s">
        <v>63</v>
      </c>
    </row>
    <row r="123" spans="1:12" x14ac:dyDescent="0.25">
      <c r="A123" s="309" t="s">
        <v>64</v>
      </c>
      <c r="B123" t="s">
        <v>65</v>
      </c>
      <c r="L123" s="310"/>
    </row>
    <row r="124" spans="1:12" x14ac:dyDescent="0.25">
      <c r="A124" s="309" t="s">
        <v>526</v>
      </c>
      <c r="B124" t="s">
        <v>67</v>
      </c>
      <c r="C124">
        <v>50</v>
      </c>
      <c r="D124" t="s">
        <v>68</v>
      </c>
      <c r="E124">
        <v>550</v>
      </c>
      <c r="F124" t="s">
        <v>69</v>
      </c>
      <c r="G124" t="s">
        <v>70</v>
      </c>
      <c r="L124" s="310"/>
    </row>
    <row r="125" spans="1:12" x14ac:dyDescent="0.25">
      <c r="A125" s="309" t="s">
        <v>534</v>
      </c>
      <c r="B125" t="s">
        <v>67</v>
      </c>
      <c r="C125">
        <v>0</v>
      </c>
      <c r="D125" t="s">
        <v>68</v>
      </c>
      <c r="E125">
        <v>100</v>
      </c>
      <c r="F125" t="s">
        <v>69</v>
      </c>
      <c r="G125" t="s">
        <v>535</v>
      </c>
      <c r="L125" s="310"/>
    </row>
    <row r="126" spans="1:12" x14ac:dyDescent="0.25">
      <c r="A126" s="309" t="s">
        <v>527</v>
      </c>
      <c r="B126" t="s">
        <v>67</v>
      </c>
      <c r="C126">
        <v>50</v>
      </c>
      <c r="D126" t="s">
        <v>68</v>
      </c>
      <c r="E126">
        <v>550</v>
      </c>
      <c r="F126" t="s">
        <v>69</v>
      </c>
      <c r="G126" t="s">
        <v>70</v>
      </c>
      <c r="L126" s="310"/>
    </row>
    <row r="127" spans="1:12" x14ac:dyDescent="0.25">
      <c r="A127" s="309" t="s">
        <v>529</v>
      </c>
      <c r="B127" t="s">
        <v>67</v>
      </c>
      <c r="C127">
        <v>50</v>
      </c>
      <c r="D127" t="s">
        <v>68</v>
      </c>
      <c r="E127">
        <v>550</v>
      </c>
      <c r="F127" t="s">
        <v>69</v>
      </c>
      <c r="G127" t="s">
        <v>70</v>
      </c>
      <c r="L127" s="310"/>
    </row>
    <row r="128" spans="1:12" x14ac:dyDescent="0.25">
      <c r="A128" s="309" t="s">
        <v>528</v>
      </c>
      <c r="B128" t="s">
        <v>67</v>
      </c>
      <c r="C128">
        <v>50</v>
      </c>
      <c r="D128" t="s">
        <v>68</v>
      </c>
      <c r="E128">
        <v>550</v>
      </c>
      <c r="F128" t="s">
        <v>69</v>
      </c>
      <c r="G128" t="s">
        <v>70</v>
      </c>
      <c r="L128" s="310"/>
    </row>
    <row r="129" spans="1:12" x14ac:dyDescent="0.25">
      <c r="A129" s="309" t="s">
        <v>36</v>
      </c>
      <c r="C129" t="s">
        <v>526</v>
      </c>
      <c r="D129" t="s">
        <v>534</v>
      </c>
      <c r="E129" t="s">
        <v>527</v>
      </c>
      <c r="F129" t="s">
        <v>529</v>
      </c>
      <c r="G129" t="s">
        <v>528</v>
      </c>
      <c r="L129" s="310"/>
    </row>
    <row r="130" spans="1:12" ht="15.75" thickBot="1" x14ac:dyDescent="0.3">
      <c r="A130" s="311"/>
      <c r="B130" s="312"/>
      <c r="C130" s="312" t="s">
        <v>70</v>
      </c>
      <c r="D130" s="312" t="s">
        <v>535</v>
      </c>
      <c r="E130" s="312" t="s">
        <v>70</v>
      </c>
      <c r="F130" s="312" t="s">
        <v>70</v>
      </c>
      <c r="G130" s="312" t="s">
        <v>70</v>
      </c>
      <c r="H130" s="312"/>
      <c r="I130" s="312"/>
      <c r="J130" s="312"/>
      <c r="K130" s="312"/>
      <c r="L130" s="313"/>
    </row>
  </sheetData>
  <sheetProtection algorithmName="SHA-512" hashValue="1PUoZLuWT8yWxfO+86L70oLeJts3q/dmPHJ9lBMjm+wC+8ku1XCRTt+mX3zS1S2hePXxdjd4MkHBwTsBQ6sT5w==" saltValue="qUdJXaxlqGVbYl0ZWOHqUQ==" spinCount="100000" sheet="1" objects="1" scenarios="1"/>
  <mergeCells count="7">
    <mergeCell ref="A103:L103"/>
    <mergeCell ref="A120:L120"/>
    <mergeCell ref="A1:N1"/>
    <mergeCell ref="A24:O24"/>
    <mergeCell ref="A45:K45"/>
    <mergeCell ref="A63:J63"/>
    <mergeCell ref="A79:Q79"/>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opLeftCell="D1" workbookViewId="0">
      <selection activeCell="P13" sqref="P13"/>
    </sheetView>
  </sheetViews>
  <sheetFormatPr baseColWidth="10" defaultColWidth="9.140625" defaultRowHeight="15" x14ac:dyDescent="0.25"/>
  <cols>
    <col min="2" max="2" width="15.28515625" customWidth="1"/>
    <col min="12" max="12" width="17.85546875" customWidth="1"/>
  </cols>
  <sheetData>
    <row r="2" spans="2:13" x14ac:dyDescent="0.25">
      <c r="I2" s="337" t="s">
        <v>560</v>
      </c>
      <c r="J2" s="337"/>
      <c r="K2" s="337"/>
      <c r="L2" t="s">
        <v>561</v>
      </c>
    </row>
    <row r="3" spans="2:13" x14ac:dyDescent="0.25">
      <c r="B3" s="24" t="s">
        <v>279</v>
      </c>
    </row>
    <row r="4" spans="2:13" x14ac:dyDescent="0.25">
      <c r="B4" s="24" t="s">
        <v>242</v>
      </c>
      <c r="D4" s="24"/>
    </row>
    <row r="5" spans="2:13" x14ac:dyDescent="0.25">
      <c r="B5" s="24" t="s">
        <v>284</v>
      </c>
    </row>
    <row r="6" spans="2:13" x14ac:dyDescent="0.25">
      <c r="B6" s="24" t="s">
        <v>243</v>
      </c>
    </row>
    <row r="7" spans="2:13" x14ac:dyDescent="0.25">
      <c r="B7" s="24" t="s">
        <v>285</v>
      </c>
      <c r="K7" s="158" t="s">
        <v>320</v>
      </c>
    </row>
    <row r="8" spans="2:13" x14ac:dyDescent="0.25">
      <c r="B8" s="24" t="s">
        <v>322</v>
      </c>
    </row>
    <row r="10" spans="2:13" x14ac:dyDescent="0.25">
      <c r="M10" t="s">
        <v>244</v>
      </c>
    </row>
  </sheetData>
  <sheetProtection algorithmName="SHA-512" hashValue="lINSt+U2NdedUpznUwABnK6oXVf0T8tAdaGshLvjkU4GcCeczY9XNCDCy1Idsacau5hQc3s2LKl/K9+06ALL8Q==" saltValue="owTlEzctY7bE8mDtgGMWKA=="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zoomScale="70" zoomScaleNormal="85" workbookViewId="0">
      <selection activeCell="B6" sqref="B6"/>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9" t="s">
        <v>471</v>
      </c>
      <c r="B1" s="349"/>
      <c r="C1" s="349"/>
      <c r="D1" s="349"/>
      <c r="E1" s="349"/>
      <c r="F1" s="349"/>
      <c r="G1" s="349"/>
      <c r="H1" s="349"/>
      <c r="I1" s="349"/>
      <c r="J1" s="349"/>
      <c r="K1" s="349"/>
      <c r="L1" s="349"/>
      <c r="M1" s="349"/>
    </row>
    <row r="2" spans="1:14" ht="20.25" x14ac:dyDescent="0.3">
      <c r="A2" s="350" t="s">
        <v>472</v>
      </c>
      <c r="B2" s="350"/>
      <c r="C2" s="350"/>
      <c r="D2" s="350"/>
      <c r="E2" s="350"/>
      <c r="F2" s="350"/>
      <c r="G2" s="350"/>
      <c r="H2" s="350"/>
      <c r="I2" s="350"/>
      <c r="J2" s="350"/>
      <c r="K2" s="350"/>
      <c r="L2" s="350"/>
      <c r="M2" s="350"/>
    </row>
    <row r="4" spans="1:14" x14ac:dyDescent="0.25">
      <c r="A4" t="s">
        <v>473</v>
      </c>
      <c r="B4" s="351" t="str">
        <f>Choose_TUS!L2 &amp; "(PV TUS INTERNE FOUR THERMIDOR)"</f>
        <v>IMP 472 ind O du 07-02-2024 (PV TUS INTERNE FOUR THERMIDOR)</v>
      </c>
      <c r="C4" s="351"/>
      <c r="D4" s="351"/>
      <c r="E4" s="269" t="s">
        <v>474</v>
      </c>
    </row>
    <row r="5" spans="1:14" x14ac:dyDescent="0.25">
      <c r="A5" s="270" t="s">
        <v>475</v>
      </c>
      <c r="B5" s="271" t="s">
        <v>562</v>
      </c>
      <c r="C5" s="24" t="s">
        <v>476</v>
      </c>
    </row>
    <row r="6" spans="1:14" x14ac:dyDescent="0.25">
      <c r="A6" s="270" t="s">
        <v>477</v>
      </c>
      <c r="B6" s="272">
        <v>45342</v>
      </c>
    </row>
    <row r="7" spans="1:14" x14ac:dyDescent="0.25">
      <c r="A7" s="352" t="s">
        <v>478</v>
      </c>
      <c r="B7" s="271" t="s">
        <v>563</v>
      </c>
    </row>
    <row r="8" spans="1:14" x14ac:dyDescent="0.25">
      <c r="A8" s="353"/>
      <c r="B8" s="271"/>
    </row>
    <row r="9" spans="1:14" x14ac:dyDescent="0.25">
      <c r="A9" s="354"/>
      <c r="B9" s="271"/>
    </row>
    <row r="10" spans="1:14" x14ac:dyDescent="0.25">
      <c r="A10" s="270" t="s">
        <v>479</v>
      </c>
      <c r="B10" s="271" t="s">
        <v>563</v>
      </c>
    </row>
    <row r="11" spans="1:14" x14ac:dyDescent="0.25">
      <c r="A11" s="270" t="s">
        <v>5</v>
      </c>
      <c r="B11" s="273">
        <v>45343</v>
      </c>
    </row>
    <row r="12" spans="1:14" x14ac:dyDescent="0.25">
      <c r="A12" s="270" t="s">
        <v>480</v>
      </c>
      <c r="B12" s="274" t="s">
        <v>564</v>
      </c>
    </row>
    <row r="14" spans="1:14" x14ac:dyDescent="0.25">
      <c r="A14" s="275" t="s">
        <v>481</v>
      </c>
      <c r="B14" s="276" t="s">
        <v>482</v>
      </c>
      <c r="C14" s="277" t="s">
        <v>483</v>
      </c>
      <c r="D14" s="355" t="s">
        <v>484</v>
      </c>
      <c r="E14" s="356"/>
      <c r="F14" s="275" t="s">
        <v>485</v>
      </c>
      <c r="H14" s="1"/>
      <c r="J14" s="347" t="s">
        <v>486</v>
      </c>
      <c r="K14" s="347"/>
      <c r="L14" s="347"/>
      <c r="M14" s="347"/>
      <c r="N14" s="347"/>
    </row>
    <row r="15" spans="1:14" x14ac:dyDescent="0.25">
      <c r="B15" s="278"/>
      <c r="C15" s="279"/>
      <c r="D15" s="280" t="s">
        <v>487</v>
      </c>
      <c r="E15" s="281" t="s">
        <v>488</v>
      </c>
      <c r="F15" s="1" t="s">
        <v>488</v>
      </c>
      <c r="H15" s="1"/>
      <c r="J15" s="357" t="s">
        <v>489</v>
      </c>
      <c r="K15" s="357"/>
      <c r="L15" s="357"/>
      <c r="M15" s="357"/>
      <c r="N15" s="357"/>
    </row>
    <row r="16" spans="1:14" x14ac:dyDescent="0.25">
      <c r="A16" s="253" t="s">
        <v>50</v>
      </c>
      <c r="B16" s="282" t="s">
        <v>490</v>
      </c>
      <c r="C16" s="283" t="s">
        <v>186</v>
      </c>
      <c r="D16" s="284" t="s">
        <v>565</v>
      </c>
      <c r="E16" s="284" t="s">
        <v>566</v>
      </c>
      <c r="F16" s="285"/>
      <c r="G16" s="286"/>
    </row>
    <row r="17" spans="1:14" x14ac:dyDescent="0.25">
      <c r="A17" s="253" t="s">
        <v>12</v>
      </c>
      <c r="B17" s="282" t="s">
        <v>491</v>
      </c>
      <c r="C17" s="284" t="s">
        <v>569</v>
      </c>
      <c r="D17" s="284" t="s">
        <v>567</v>
      </c>
      <c r="E17" s="284" t="s">
        <v>568</v>
      </c>
      <c r="F17" s="284" t="s">
        <v>570</v>
      </c>
      <c r="G17" s="286"/>
      <c r="J17" s="287" t="s">
        <v>492</v>
      </c>
      <c r="K17" s="287"/>
      <c r="L17" s="287"/>
      <c r="M17" s="287"/>
      <c r="N17" s="287"/>
    </row>
    <row r="18" spans="1:14" ht="25.5" x14ac:dyDescent="0.25">
      <c r="A18" s="253" t="s">
        <v>12</v>
      </c>
      <c r="B18" s="282" t="s">
        <v>491</v>
      </c>
      <c r="C18" s="284"/>
      <c r="D18" s="284"/>
      <c r="E18" s="284"/>
      <c r="F18" s="284"/>
      <c r="G18" s="286"/>
      <c r="H18" s="288" t="s">
        <v>493</v>
      </c>
      <c r="J18" s="287" t="s">
        <v>494</v>
      </c>
      <c r="K18" s="287"/>
      <c r="L18" s="287"/>
      <c r="M18" s="287"/>
      <c r="N18" s="287"/>
    </row>
    <row r="19" spans="1:14" x14ac:dyDescent="0.25">
      <c r="A19" s="88"/>
      <c r="B19" s="1"/>
      <c r="C19" s="1"/>
      <c r="D19" s="1"/>
      <c r="E19" s="1"/>
      <c r="F19" s="1"/>
      <c r="G19" s="1"/>
      <c r="H19" s="1"/>
      <c r="I19" s="358"/>
      <c r="J19" s="358"/>
      <c r="K19" s="358"/>
      <c r="L19" s="358"/>
      <c r="M19" s="358"/>
    </row>
    <row r="20" spans="1:14" x14ac:dyDescent="0.25">
      <c r="A20" s="88"/>
      <c r="B20" s="290" t="s">
        <v>495</v>
      </c>
      <c r="C20" s="290" t="s">
        <v>496</v>
      </c>
      <c r="D20" s="290" t="s">
        <v>497</v>
      </c>
      <c r="E20" s="290" t="s">
        <v>498</v>
      </c>
      <c r="F20" s="290" t="s">
        <v>499</v>
      </c>
      <c r="G20" s="290" t="s">
        <v>500</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8" t="s">
        <v>501</v>
      </c>
      <c r="B26" s="348"/>
      <c r="C26" s="348"/>
      <c r="D26" s="359" t="s">
        <v>502</v>
      </c>
      <c r="E26" s="360"/>
      <c r="F26" s="360"/>
      <c r="G26" s="360"/>
      <c r="H26" s="361"/>
      <c r="I26" s="289"/>
      <c r="J26" s="289"/>
      <c r="K26" s="289"/>
      <c r="L26" s="289"/>
      <c r="M26" s="289"/>
    </row>
    <row r="27" spans="1:14" ht="36" customHeight="1" x14ac:dyDescent="0.25">
      <c r="A27" s="293" t="s">
        <v>503</v>
      </c>
      <c r="B27" s="293" t="s">
        <v>504</v>
      </c>
      <c r="C27" s="294" t="s">
        <v>505</v>
      </c>
      <c r="D27" s="294" t="str">
        <f>_xlfn.CONCAT(B$21,"°C")</f>
        <v>80°C</v>
      </c>
      <c r="E27" s="294" t="str">
        <f>_xlfn.CONCAT(B$22,"°C")</f>
        <v>200°C</v>
      </c>
      <c r="F27" s="294" t="str">
        <f>_xlfn.CONCAT(B$23,"°C")</f>
        <v>385°C</v>
      </c>
      <c r="G27" s="294" t="str">
        <f>_xlfn.CONCAT(B$24,"°C")</f>
        <v>535°C</v>
      </c>
      <c r="H27" s="294" t="s">
        <v>506</v>
      </c>
      <c r="I27" s="289"/>
      <c r="J27" s="289"/>
      <c r="K27" s="289"/>
      <c r="L27" s="289"/>
      <c r="M27" s="289"/>
    </row>
    <row r="28" spans="1:14" ht="22.5" customHeight="1" x14ac:dyDescent="0.25">
      <c r="A28" s="250">
        <v>1</v>
      </c>
      <c r="B28" s="326" t="s">
        <v>413</v>
      </c>
      <c r="C28" s="326" t="s">
        <v>413</v>
      </c>
      <c r="D28" s="295">
        <v>0.22</v>
      </c>
      <c r="E28" s="295">
        <v>0.17</v>
      </c>
      <c r="F28" s="295">
        <v>0.25</v>
      </c>
      <c r="G28" s="295">
        <v>-0.12</v>
      </c>
      <c r="H28" s="295" t="s">
        <v>567</v>
      </c>
      <c r="I28" s="289"/>
      <c r="J28" s="289"/>
      <c r="K28" s="289"/>
      <c r="L28" s="289"/>
      <c r="M28" s="289"/>
    </row>
    <row r="29" spans="1:14" ht="22.5" customHeight="1" x14ac:dyDescent="0.25">
      <c r="A29" s="250">
        <v>2</v>
      </c>
      <c r="B29" s="326" t="s">
        <v>414</v>
      </c>
      <c r="C29" s="326" t="s">
        <v>414</v>
      </c>
      <c r="D29" s="295">
        <v>0.22</v>
      </c>
      <c r="E29" s="295">
        <v>0.17</v>
      </c>
      <c r="F29" s="295">
        <v>0.25</v>
      </c>
      <c r="G29" s="295">
        <v>-0.12</v>
      </c>
      <c r="H29" s="295" t="s">
        <v>567</v>
      </c>
      <c r="J29" s="347" t="s">
        <v>507</v>
      </c>
      <c r="K29" s="347"/>
      <c r="L29" s="347"/>
      <c r="M29" s="347"/>
      <c r="N29" s="347"/>
    </row>
    <row r="30" spans="1:14" ht="18" customHeight="1" x14ac:dyDescent="0.25">
      <c r="A30" s="250">
        <v>3</v>
      </c>
      <c r="B30" s="326" t="s">
        <v>415</v>
      </c>
      <c r="C30" s="326" t="s">
        <v>415</v>
      </c>
      <c r="D30" s="295">
        <v>0.22</v>
      </c>
      <c r="E30" s="295">
        <v>0.17</v>
      </c>
      <c r="F30" s="295">
        <v>0.25</v>
      </c>
      <c r="G30" s="295">
        <v>-0.12</v>
      </c>
      <c r="H30" s="295" t="s">
        <v>567</v>
      </c>
      <c r="J30" s="347" t="s">
        <v>508</v>
      </c>
      <c r="K30" s="347"/>
      <c r="L30" s="347"/>
      <c r="M30" s="347"/>
      <c r="N30" s="347"/>
    </row>
    <row r="31" spans="1:14" ht="24" customHeight="1" x14ac:dyDescent="0.25">
      <c r="A31" s="250">
        <v>4</v>
      </c>
      <c r="B31" s="326" t="s">
        <v>416</v>
      </c>
      <c r="C31" s="326" t="s">
        <v>416</v>
      </c>
      <c r="D31" s="295">
        <v>0.22</v>
      </c>
      <c r="E31" s="295">
        <v>0.17</v>
      </c>
      <c r="F31" s="295">
        <v>0.25</v>
      </c>
      <c r="G31" s="295">
        <v>-0.12</v>
      </c>
      <c r="H31" s="295" t="s">
        <v>567</v>
      </c>
      <c r="J31" s="347" t="s">
        <v>509</v>
      </c>
      <c r="K31" s="347"/>
      <c r="L31" s="347"/>
      <c r="M31" s="347"/>
      <c r="N31" s="347"/>
    </row>
    <row r="32" spans="1:14" ht="19.5" customHeight="1" x14ac:dyDescent="0.25">
      <c r="A32" s="250">
        <v>5</v>
      </c>
      <c r="B32" s="326" t="s">
        <v>417</v>
      </c>
      <c r="C32" s="326" t="s">
        <v>571</v>
      </c>
      <c r="D32" s="295">
        <v>0.56000000000000005</v>
      </c>
      <c r="E32" s="295">
        <v>0.47</v>
      </c>
      <c r="F32" s="295">
        <v>0.56999999999999995</v>
      </c>
      <c r="G32" s="295">
        <v>0.33</v>
      </c>
      <c r="H32" s="295" t="s">
        <v>572</v>
      </c>
      <c r="I32" s="289"/>
      <c r="J32" s="289"/>
      <c r="K32" s="289"/>
      <c r="L32" s="289"/>
      <c r="M32" s="289"/>
    </row>
    <row r="33" spans="1:13" ht="20.25" customHeight="1" x14ac:dyDescent="0.25">
      <c r="A33" s="250">
        <v>6</v>
      </c>
      <c r="B33" s="326" t="s">
        <v>418</v>
      </c>
      <c r="C33" s="326" t="s">
        <v>418</v>
      </c>
      <c r="D33" s="295">
        <v>0.22</v>
      </c>
      <c r="E33" s="295">
        <v>0.17</v>
      </c>
      <c r="F33" s="295">
        <v>0.25</v>
      </c>
      <c r="G33" s="295">
        <v>-0.12</v>
      </c>
      <c r="H33" s="295" t="s">
        <v>567</v>
      </c>
      <c r="I33" s="289"/>
      <c r="J33" s="289"/>
      <c r="K33" s="289"/>
      <c r="L33" s="289"/>
      <c r="M33" s="289"/>
    </row>
    <row r="34" spans="1:13" ht="20.25" customHeight="1" x14ac:dyDescent="0.25">
      <c r="A34" s="250">
        <v>7</v>
      </c>
      <c r="B34" s="326" t="s">
        <v>419</v>
      </c>
      <c r="C34" s="326" t="s">
        <v>419</v>
      </c>
      <c r="D34" s="295">
        <v>0.22</v>
      </c>
      <c r="E34" s="295">
        <v>0.17</v>
      </c>
      <c r="F34" s="295">
        <v>0.25</v>
      </c>
      <c r="G34" s="295">
        <v>-0.12</v>
      </c>
      <c r="H34" s="295" t="s">
        <v>567</v>
      </c>
      <c r="I34" s="289"/>
      <c r="J34" s="289"/>
      <c r="K34" s="289"/>
      <c r="L34" s="289"/>
      <c r="M34" s="289"/>
    </row>
    <row r="35" spans="1:13" ht="21" customHeight="1" x14ac:dyDescent="0.25">
      <c r="A35" s="250">
        <v>8</v>
      </c>
      <c r="B35" s="326" t="s">
        <v>420</v>
      </c>
      <c r="C35" s="326" t="s">
        <v>420</v>
      </c>
      <c r="D35" s="295">
        <v>0.22</v>
      </c>
      <c r="E35" s="295">
        <v>0.17</v>
      </c>
      <c r="F35" s="295">
        <v>0.25</v>
      </c>
      <c r="G35" s="295">
        <v>-0.12</v>
      </c>
      <c r="H35" s="295" t="s">
        <v>567</v>
      </c>
      <c r="I35" s="289"/>
      <c r="J35" s="289"/>
      <c r="K35" s="289"/>
      <c r="L35" s="289"/>
      <c r="M35" s="289"/>
    </row>
    <row r="36" spans="1:13" ht="26.25" customHeight="1" x14ac:dyDescent="0.25">
      <c r="A36" s="250">
        <v>9</v>
      </c>
      <c r="B36" s="326" t="s">
        <v>421</v>
      </c>
      <c r="C36" s="326" t="s">
        <v>421</v>
      </c>
      <c r="D36" s="295">
        <v>0.22</v>
      </c>
      <c r="E36" s="295">
        <v>0.17</v>
      </c>
      <c r="F36" s="295">
        <v>0.25</v>
      </c>
      <c r="G36" s="295">
        <v>-0.12</v>
      </c>
      <c r="H36" s="295" t="s">
        <v>567</v>
      </c>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8" t="s">
        <v>510</v>
      </c>
      <c r="D38" s="348" t="s">
        <v>511</v>
      </c>
      <c r="E38" s="348"/>
      <c r="F38" s="348"/>
      <c r="G38" s="126" t="str">
        <f>IF(+D16&lt;&gt;"",D16,"")</f>
        <v>20232711</v>
      </c>
      <c r="H38" s="1"/>
      <c r="I38" s="289"/>
      <c r="J38" s="289"/>
      <c r="K38" s="289"/>
      <c r="L38" s="289"/>
      <c r="M38" s="289"/>
    </row>
    <row r="39" spans="1:13" x14ac:dyDescent="0.25">
      <c r="A39" s="88"/>
      <c r="B39" s="1"/>
      <c r="C39" s="348"/>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v>0.26</v>
      </c>
      <c r="E40" s="295">
        <v>0.31</v>
      </c>
      <c r="F40" s="295">
        <v>0.3</v>
      </c>
      <c r="G40" s="295">
        <v>0.24</v>
      </c>
      <c r="H40" s="1"/>
      <c r="I40" s="289"/>
      <c r="J40" s="289"/>
      <c r="K40" s="289"/>
      <c r="L40" s="289"/>
      <c r="M40" s="289"/>
    </row>
    <row r="41" spans="1:13" ht="23.25" customHeight="1" x14ac:dyDescent="0.25">
      <c r="A41" s="88"/>
      <c r="B41" s="1"/>
      <c r="C41" s="250">
        <v>2</v>
      </c>
      <c r="D41" s="295">
        <v>7.0000000000000007E-2</v>
      </c>
      <c r="E41" s="295">
        <v>0.12</v>
      </c>
      <c r="F41" s="295">
        <v>0.09</v>
      </c>
      <c r="G41" s="295">
        <v>0.12</v>
      </c>
      <c r="H41" s="1"/>
      <c r="I41" s="289"/>
      <c r="J41" s="289"/>
      <c r="K41" s="289"/>
      <c r="L41" s="289"/>
      <c r="M41" s="289"/>
    </row>
    <row r="42" spans="1:13" ht="24" customHeight="1" x14ac:dyDescent="0.25">
      <c r="A42" s="88"/>
      <c r="B42" s="1"/>
      <c r="C42" s="250">
        <v>3</v>
      </c>
      <c r="D42" s="295">
        <v>0.3</v>
      </c>
      <c r="E42" s="295">
        <v>0.25</v>
      </c>
      <c r="F42" s="295">
        <v>0.22</v>
      </c>
      <c r="G42" s="295">
        <v>0.25</v>
      </c>
      <c r="H42" s="1"/>
      <c r="I42" s="289"/>
      <c r="J42" s="289"/>
      <c r="K42" s="289"/>
      <c r="L42" s="289"/>
      <c r="M42" s="289"/>
    </row>
    <row r="43" spans="1:13" ht="21" customHeight="1" x14ac:dyDescent="0.25">
      <c r="A43" s="88"/>
      <c r="B43" s="1"/>
      <c r="C43" s="250">
        <v>4</v>
      </c>
      <c r="D43" s="295">
        <v>0.11</v>
      </c>
      <c r="E43" s="295">
        <v>0.17</v>
      </c>
      <c r="F43" s="295">
        <v>0.27</v>
      </c>
      <c r="G43" s="295">
        <v>0.3</v>
      </c>
      <c r="H43" s="1"/>
      <c r="I43" s="289"/>
      <c r="J43" s="289"/>
      <c r="K43" s="289"/>
      <c r="L43" s="289"/>
      <c r="M43" s="289"/>
    </row>
    <row r="44" spans="1:13" ht="28.5" customHeight="1" x14ac:dyDescent="0.25">
      <c r="A44" s="88"/>
      <c r="B44" s="1"/>
      <c r="C44" s="250">
        <v>5</v>
      </c>
      <c r="D44" s="295">
        <v>0.2</v>
      </c>
      <c r="E44" s="295">
        <v>0.16</v>
      </c>
      <c r="F44" s="295">
        <v>0.25</v>
      </c>
      <c r="G44" s="295">
        <v>0.22</v>
      </c>
      <c r="H44" s="1"/>
      <c r="I44" s="289"/>
      <c r="J44" s="289"/>
      <c r="K44" s="289"/>
      <c r="L44" s="289"/>
      <c r="M44" s="289"/>
    </row>
    <row r="45" spans="1:13" ht="24" customHeight="1" x14ac:dyDescent="0.25">
      <c r="A45" s="88"/>
      <c r="B45" s="1"/>
      <c r="C45" s="250">
        <v>6</v>
      </c>
      <c r="D45" s="295">
        <v>0.3</v>
      </c>
      <c r="E45" s="295">
        <v>0.15</v>
      </c>
      <c r="F45" s="295">
        <v>0.28999999999999998</v>
      </c>
      <c r="G45" s="295">
        <v>0.43</v>
      </c>
      <c r="H45" s="1"/>
      <c r="I45" s="289"/>
      <c r="J45" s="289"/>
      <c r="K45" s="289"/>
      <c r="L45" s="289"/>
      <c r="M45" s="289"/>
    </row>
    <row r="46" spans="1:13" ht="24" customHeight="1" x14ac:dyDescent="0.25">
      <c r="A46" s="88"/>
      <c r="B46" s="1"/>
      <c r="C46" s="250">
        <v>7</v>
      </c>
      <c r="D46" s="295">
        <v>0.15</v>
      </c>
      <c r="E46" s="295">
        <v>0.08</v>
      </c>
      <c r="F46" s="295">
        <v>0.15</v>
      </c>
      <c r="G46" s="295">
        <v>0.21</v>
      </c>
      <c r="H46" s="1"/>
      <c r="I46" s="289"/>
      <c r="J46" s="289"/>
      <c r="K46" s="289"/>
      <c r="L46" s="289"/>
      <c r="M46" s="289"/>
    </row>
    <row r="47" spans="1:13" ht="23.25" customHeight="1" x14ac:dyDescent="0.25">
      <c r="A47" s="88"/>
      <c r="B47" s="1"/>
      <c r="C47" s="250">
        <v>8</v>
      </c>
      <c r="D47" s="295">
        <v>0.27</v>
      </c>
      <c r="E47" s="295">
        <v>0.17</v>
      </c>
      <c r="F47" s="295">
        <v>0.13</v>
      </c>
      <c r="G47" s="295">
        <v>0.23</v>
      </c>
      <c r="H47" s="1"/>
      <c r="I47" s="289"/>
      <c r="J47" s="289"/>
      <c r="K47" s="289"/>
      <c r="L47" s="289"/>
      <c r="M47" s="289"/>
    </row>
    <row r="48" spans="1:13" ht="24" customHeight="1" x14ac:dyDescent="0.25">
      <c r="A48" s="88"/>
      <c r="B48" s="1"/>
      <c r="C48" s="250">
        <v>9</v>
      </c>
      <c r="D48" s="295">
        <v>0.27</v>
      </c>
      <c r="E48" s="295">
        <v>0.26</v>
      </c>
      <c r="F48" s="295">
        <v>0.25</v>
      </c>
      <c r="G48" s="295">
        <v>0.35</v>
      </c>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512</v>
      </c>
      <c r="B51" s="1"/>
      <c r="C51" s="297" t="s">
        <v>483</v>
      </c>
      <c r="D51" s="348"/>
      <c r="E51" s="348"/>
      <c r="F51" s="88"/>
      <c r="G51" s="1"/>
      <c r="H51" s="1"/>
    </row>
    <row r="52" spans="1:13" x14ac:dyDescent="0.25">
      <c r="C52" s="279"/>
      <c r="D52" s="250" t="s">
        <v>487</v>
      </c>
      <c r="E52" s="250" t="s">
        <v>488</v>
      </c>
      <c r="F52" s="1"/>
      <c r="I52" s="298"/>
      <c r="J52" s="299"/>
      <c r="K52" s="300"/>
      <c r="L52" s="301"/>
      <c r="M52" s="302"/>
    </row>
    <row r="53" spans="1:13" ht="28.9" customHeight="1" x14ac:dyDescent="0.25">
      <c r="A53" s="303" t="s">
        <v>513</v>
      </c>
      <c r="B53" s="304" t="s">
        <v>514</v>
      </c>
      <c r="C53" s="282" t="s">
        <v>515</v>
      </c>
      <c r="D53" s="282" t="s">
        <v>516</v>
      </c>
      <c r="E53" s="305">
        <v>42901</v>
      </c>
      <c r="F53" s="286"/>
      <c r="G53" s="299"/>
      <c r="H53" s="299"/>
      <c r="I53" s="347" t="s">
        <v>492</v>
      </c>
      <c r="J53" s="347"/>
      <c r="K53" s="347"/>
      <c r="L53" s="347"/>
      <c r="M53" s="347"/>
    </row>
    <row r="54" spans="1:13" ht="25.9" customHeight="1" x14ac:dyDescent="0.25">
      <c r="A54" s="306"/>
      <c r="B54" s="304" t="s">
        <v>517</v>
      </c>
      <c r="C54" s="282" t="s">
        <v>518</v>
      </c>
      <c r="D54" s="282" t="s">
        <v>519</v>
      </c>
      <c r="E54" s="305">
        <v>44785</v>
      </c>
      <c r="F54" s="299"/>
      <c r="G54" s="286"/>
      <c r="H54" s="286"/>
      <c r="I54" s="347" t="s">
        <v>494</v>
      </c>
      <c r="J54" s="347"/>
      <c r="K54" s="347"/>
      <c r="L54" s="347"/>
      <c r="M54" s="347"/>
    </row>
    <row r="55" spans="1:13" ht="28.9" customHeight="1" x14ac:dyDescent="0.25">
      <c r="A55" s="306"/>
      <c r="B55" s="304" t="s">
        <v>520</v>
      </c>
      <c r="C55" s="282" t="s">
        <v>521</v>
      </c>
      <c r="D55" s="282" t="s">
        <v>522</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523</v>
      </c>
      <c r="B58" s="338"/>
      <c r="C58" s="339"/>
      <c r="D58" s="339"/>
      <c r="E58" s="339"/>
      <c r="F58" s="340"/>
    </row>
    <row r="59" spans="1:13" x14ac:dyDescent="0.25">
      <c r="A59" s="306" t="s">
        <v>524</v>
      </c>
      <c r="B59" s="341"/>
      <c r="C59" s="342"/>
      <c r="D59" s="342"/>
      <c r="E59" s="342"/>
      <c r="F59" s="343"/>
    </row>
    <row r="60" spans="1:13" x14ac:dyDescent="0.25">
      <c r="B60" s="344"/>
      <c r="C60" s="345"/>
      <c r="D60" s="345"/>
      <c r="E60" s="345"/>
      <c r="F60" s="346"/>
    </row>
    <row r="63" spans="1:13" ht="30" customHeight="1" x14ac:dyDescent="0.25"/>
  </sheetData>
  <sheetProtection algorithmName="SHA-512" hashValue="ZZdQjyErfOzEYjEoLOuXoewokvm1nfLX+Io5zC4IRZZmEJxdi84Ny4LzeL1oRta0qifoyV5TXEKB0SNXuu5yJA==" saltValue="Am7IzuLcxtDuw6k1wQn5zw=="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176"/>
  <sheetViews>
    <sheetView workbookViewId="0">
      <selection activeCell="B2" sqref="B2"/>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8" t="s">
        <v>685</v>
      </c>
      <c r="B2">
        <v>41.4</v>
      </c>
      <c r="C2">
        <v>41.28</v>
      </c>
      <c r="D2">
        <v>41.19</v>
      </c>
      <c r="E2">
        <v>41.35</v>
      </c>
      <c r="F2">
        <v>41.22</v>
      </c>
      <c r="G2">
        <v>41.42</v>
      </c>
      <c r="H2">
        <v>41.37</v>
      </c>
      <c r="I2">
        <v>41.58</v>
      </c>
      <c r="J2">
        <v>41.31</v>
      </c>
      <c r="P2" s="23"/>
    </row>
    <row r="3" spans="1:16" x14ac:dyDescent="0.25">
      <c r="A3" s="328" t="s">
        <v>686</v>
      </c>
      <c r="B3">
        <v>41.68</v>
      </c>
      <c r="C3">
        <v>41.6</v>
      </c>
      <c r="D3">
        <v>41.53</v>
      </c>
      <c r="E3">
        <v>41.66</v>
      </c>
      <c r="F3">
        <v>41.69</v>
      </c>
      <c r="G3">
        <v>41.63</v>
      </c>
      <c r="H3">
        <v>41.67</v>
      </c>
      <c r="I3">
        <v>41.85</v>
      </c>
      <c r="J3">
        <v>41.69</v>
      </c>
      <c r="P3" s="23"/>
    </row>
    <row r="4" spans="1:16" x14ac:dyDescent="0.25">
      <c r="A4" s="328" t="s">
        <v>687</v>
      </c>
      <c r="B4">
        <v>41.78</v>
      </c>
      <c r="C4">
        <v>41.75</v>
      </c>
      <c r="D4">
        <v>41.69</v>
      </c>
      <c r="E4">
        <v>41.82</v>
      </c>
      <c r="F4">
        <v>41.75</v>
      </c>
      <c r="G4">
        <v>41.83</v>
      </c>
      <c r="H4">
        <v>41.8</v>
      </c>
      <c r="I4">
        <v>42</v>
      </c>
      <c r="J4">
        <v>41.89</v>
      </c>
      <c r="P4" s="23"/>
    </row>
    <row r="5" spans="1:16" x14ac:dyDescent="0.25">
      <c r="A5" s="328" t="s">
        <v>688</v>
      </c>
      <c r="B5">
        <v>42</v>
      </c>
      <c r="C5">
        <v>41.87</v>
      </c>
      <c r="D5">
        <v>41.83</v>
      </c>
      <c r="E5">
        <v>41.95</v>
      </c>
      <c r="F5">
        <v>41.95</v>
      </c>
      <c r="G5">
        <v>41.92</v>
      </c>
      <c r="H5">
        <v>41.97</v>
      </c>
      <c r="I5">
        <v>42.14</v>
      </c>
      <c r="J5">
        <v>42.03</v>
      </c>
      <c r="P5" s="23"/>
    </row>
    <row r="6" spans="1:16" x14ac:dyDescent="0.25">
      <c r="A6" s="328" t="s">
        <v>689</v>
      </c>
      <c r="B6">
        <v>42.2</v>
      </c>
      <c r="C6">
        <v>42.01</v>
      </c>
      <c r="D6">
        <v>42</v>
      </c>
      <c r="E6">
        <v>42.15</v>
      </c>
      <c r="F6">
        <v>42.13</v>
      </c>
      <c r="G6">
        <v>42.06</v>
      </c>
      <c r="H6">
        <v>42.13</v>
      </c>
      <c r="I6">
        <v>42.24</v>
      </c>
      <c r="J6">
        <v>42.11</v>
      </c>
      <c r="P6" s="23"/>
    </row>
    <row r="7" spans="1:16" x14ac:dyDescent="0.25">
      <c r="A7" s="328" t="s">
        <v>690</v>
      </c>
      <c r="B7">
        <v>42.22</v>
      </c>
      <c r="C7">
        <v>42.16</v>
      </c>
      <c r="D7">
        <v>42.06</v>
      </c>
      <c r="E7">
        <v>42.22</v>
      </c>
      <c r="F7">
        <v>42.17</v>
      </c>
      <c r="G7">
        <v>42.26</v>
      </c>
      <c r="H7">
        <v>42.3</v>
      </c>
      <c r="I7">
        <v>42.44</v>
      </c>
      <c r="J7">
        <v>42.29</v>
      </c>
      <c r="P7" s="23"/>
    </row>
    <row r="8" spans="1:16" ht="15.75" thickBot="1" x14ac:dyDescent="0.3">
      <c r="A8" s="328" t="s">
        <v>691</v>
      </c>
      <c r="B8">
        <v>42.4</v>
      </c>
      <c r="C8">
        <v>42.29</v>
      </c>
      <c r="D8">
        <v>42.26</v>
      </c>
      <c r="E8">
        <v>42.39</v>
      </c>
      <c r="F8">
        <v>42.35</v>
      </c>
      <c r="G8">
        <v>42.32</v>
      </c>
      <c r="H8">
        <v>42.36</v>
      </c>
      <c r="I8">
        <v>42.51</v>
      </c>
      <c r="J8">
        <v>42.39</v>
      </c>
      <c r="P8" s="23"/>
    </row>
    <row r="9" spans="1:16" ht="14.45" customHeight="1" x14ac:dyDescent="0.25">
      <c r="A9" s="328" t="s">
        <v>692</v>
      </c>
      <c r="B9">
        <v>42.53</v>
      </c>
      <c r="C9">
        <v>42.42</v>
      </c>
      <c r="D9">
        <v>42.38</v>
      </c>
      <c r="E9">
        <v>42.49</v>
      </c>
      <c r="F9">
        <v>42.47</v>
      </c>
      <c r="G9">
        <v>42.52</v>
      </c>
      <c r="H9">
        <v>42.56</v>
      </c>
      <c r="I9">
        <v>42.64</v>
      </c>
      <c r="J9">
        <v>42.55</v>
      </c>
      <c r="L9" s="362" t="s">
        <v>525</v>
      </c>
      <c r="M9" s="363"/>
      <c r="N9" s="363"/>
      <c r="O9" s="364"/>
      <c r="P9" s="23"/>
    </row>
    <row r="10" spans="1:16" ht="14.45" customHeight="1" x14ac:dyDescent="0.25">
      <c r="A10" s="328" t="s">
        <v>693</v>
      </c>
      <c r="B10">
        <v>42.62</v>
      </c>
      <c r="C10">
        <v>42.49</v>
      </c>
      <c r="D10">
        <v>42.46</v>
      </c>
      <c r="E10">
        <v>42.57</v>
      </c>
      <c r="F10">
        <v>42.54</v>
      </c>
      <c r="G10">
        <v>42.62</v>
      </c>
      <c r="H10">
        <v>42.64</v>
      </c>
      <c r="I10">
        <v>42.77</v>
      </c>
      <c r="J10">
        <v>42.67</v>
      </c>
      <c r="L10" s="365"/>
      <c r="M10" s="366"/>
      <c r="N10" s="366"/>
      <c r="O10" s="367"/>
      <c r="P10" s="23"/>
    </row>
    <row r="11" spans="1:16" ht="14.45" customHeight="1" x14ac:dyDescent="0.25">
      <c r="A11" s="328" t="s">
        <v>694</v>
      </c>
      <c r="B11">
        <v>42.82</v>
      </c>
      <c r="C11">
        <v>42.67</v>
      </c>
      <c r="D11">
        <v>42.62</v>
      </c>
      <c r="E11">
        <v>42.76</v>
      </c>
      <c r="F11">
        <v>42.69</v>
      </c>
      <c r="G11">
        <v>42.8</v>
      </c>
      <c r="H11">
        <v>42.78</v>
      </c>
      <c r="I11">
        <v>42.89</v>
      </c>
      <c r="J11">
        <v>42.79</v>
      </c>
      <c r="L11" s="365"/>
      <c r="M11" s="366"/>
      <c r="N11" s="366"/>
      <c r="O11" s="367"/>
      <c r="P11" s="23"/>
    </row>
    <row r="12" spans="1:16" ht="14.45" customHeight="1" x14ac:dyDescent="0.25">
      <c r="A12" s="328" t="s">
        <v>695</v>
      </c>
      <c r="B12">
        <v>42.84</v>
      </c>
      <c r="C12">
        <v>42.72</v>
      </c>
      <c r="D12">
        <v>42.71</v>
      </c>
      <c r="E12">
        <v>42.81</v>
      </c>
      <c r="F12">
        <v>42.87</v>
      </c>
      <c r="G12">
        <v>42.83</v>
      </c>
      <c r="H12">
        <v>42.88</v>
      </c>
      <c r="I12">
        <v>42.97</v>
      </c>
      <c r="J12">
        <v>42.89</v>
      </c>
      <c r="L12" s="365"/>
      <c r="M12" s="366"/>
      <c r="N12" s="366"/>
      <c r="O12" s="367"/>
      <c r="P12" s="23"/>
    </row>
    <row r="13" spans="1:16" ht="14.45" customHeight="1" x14ac:dyDescent="0.25">
      <c r="A13" s="328" t="s">
        <v>696</v>
      </c>
      <c r="B13">
        <v>42.93</v>
      </c>
      <c r="C13">
        <v>42.86</v>
      </c>
      <c r="D13">
        <v>42.82</v>
      </c>
      <c r="E13">
        <v>42.94</v>
      </c>
      <c r="F13">
        <v>42.96</v>
      </c>
      <c r="G13">
        <v>42.97</v>
      </c>
      <c r="H13">
        <v>42.97</v>
      </c>
      <c r="I13">
        <v>43.12</v>
      </c>
      <c r="J13">
        <v>42.96</v>
      </c>
      <c r="L13" s="365"/>
      <c r="M13" s="366"/>
      <c r="N13" s="366"/>
      <c r="O13" s="367"/>
      <c r="P13" s="23"/>
    </row>
    <row r="14" spans="1:16" ht="14.45" customHeight="1" x14ac:dyDescent="0.25">
      <c r="A14" s="328" t="s">
        <v>697</v>
      </c>
      <c r="B14">
        <v>43.09</v>
      </c>
      <c r="C14">
        <v>42.99</v>
      </c>
      <c r="D14">
        <v>42.93</v>
      </c>
      <c r="E14">
        <v>43.06</v>
      </c>
      <c r="F14">
        <v>43.07</v>
      </c>
      <c r="G14">
        <v>43.1</v>
      </c>
      <c r="H14">
        <v>43.1</v>
      </c>
      <c r="I14">
        <v>43.22</v>
      </c>
      <c r="J14">
        <v>43.09</v>
      </c>
      <c r="L14" s="365"/>
      <c r="M14" s="366"/>
      <c r="N14" s="366"/>
      <c r="O14" s="367"/>
      <c r="P14" s="23"/>
    </row>
    <row r="15" spans="1:16" ht="15" customHeight="1" thickBot="1" x14ac:dyDescent="0.3">
      <c r="A15" s="328" t="s">
        <v>698</v>
      </c>
      <c r="B15">
        <v>43.18</v>
      </c>
      <c r="C15">
        <v>43.1</v>
      </c>
      <c r="D15">
        <v>43.05</v>
      </c>
      <c r="E15">
        <v>43.21</v>
      </c>
      <c r="F15">
        <v>43.18</v>
      </c>
      <c r="G15">
        <v>43.23</v>
      </c>
      <c r="H15">
        <v>43.26</v>
      </c>
      <c r="I15">
        <v>43.4</v>
      </c>
      <c r="J15">
        <v>43.25</v>
      </c>
      <c r="L15" s="368"/>
      <c r="M15" s="369"/>
      <c r="N15" s="369"/>
      <c r="O15" s="370"/>
      <c r="P15" s="23"/>
    </row>
    <row r="16" spans="1:16" x14ac:dyDescent="0.25">
      <c r="A16" s="328" t="s">
        <v>699</v>
      </c>
      <c r="B16">
        <v>43.29</v>
      </c>
      <c r="C16">
        <v>43.18</v>
      </c>
      <c r="D16">
        <v>43.16</v>
      </c>
      <c r="E16">
        <v>43.31</v>
      </c>
      <c r="F16">
        <v>43.24</v>
      </c>
      <c r="G16">
        <v>43.32</v>
      </c>
      <c r="H16">
        <v>43.34</v>
      </c>
      <c r="I16">
        <v>43.46</v>
      </c>
      <c r="J16">
        <v>43.34</v>
      </c>
      <c r="P16" s="23"/>
    </row>
    <row r="17" spans="1:16" x14ac:dyDescent="0.25">
      <c r="A17" s="328" t="s">
        <v>700</v>
      </c>
      <c r="B17">
        <v>43.45</v>
      </c>
      <c r="C17">
        <v>43.35</v>
      </c>
      <c r="D17">
        <v>43.26</v>
      </c>
      <c r="E17">
        <v>43.41</v>
      </c>
      <c r="F17">
        <v>43.37</v>
      </c>
      <c r="G17">
        <v>43.46</v>
      </c>
      <c r="H17">
        <v>43.42</v>
      </c>
      <c r="I17">
        <v>43.54</v>
      </c>
      <c r="J17">
        <v>43.4</v>
      </c>
      <c r="P17" s="23"/>
    </row>
    <row r="18" spans="1:16" x14ac:dyDescent="0.25">
      <c r="A18" s="328" t="s">
        <v>701</v>
      </c>
      <c r="B18">
        <v>43.5</v>
      </c>
      <c r="C18">
        <v>43.4</v>
      </c>
      <c r="D18">
        <v>43.35</v>
      </c>
      <c r="E18">
        <v>43.5</v>
      </c>
      <c r="F18">
        <v>43.47</v>
      </c>
      <c r="G18">
        <v>43.53</v>
      </c>
      <c r="H18">
        <v>43.52</v>
      </c>
      <c r="I18">
        <v>43.61</v>
      </c>
      <c r="J18">
        <v>43.54</v>
      </c>
      <c r="P18" s="23"/>
    </row>
    <row r="19" spans="1:16" x14ac:dyDescent="0.25">
      <c r="A19" s="328" t="s">
        <v>702</v>
      </c>
      <c r="B19">
        <v>43.6</v>
      </c>
      <c r="C19">
        <v>43.51</v>
      </c>
      <c r="D19">
        <v>43.49</v>
      </c>
      <c r="E19">
        <v>43.62</v>
      </c>
      <c r="F19">
        <v>43.54</v>
      </c>
      <c r="G19">
        <v>43.6</v>
      </c>
      <c r="H19">
        <v>43.6</v>
      </c>
      <c r="I19">
        <v>43.65</v>
      </c>
      <c r="J19">
        <v>43.62</v>
      </c>
      <c r="P19" s="23"/>
    </row>
    <row r="20" spans="1:16" x14ac:dyDescent="0.25">
      <c r="A20" s="328" t="s">
        <v>703</v>
      </c>
      <c r="B20">
        <v>43.72</v>
      </c>
      <c r="C20">
        <v>43.61</v>
      </c>
      <c r="D20">
        <v>43.57</v>
      </c>
      <c r="E20">
        <v>43.7</v>
      </c>
      <c r="F20">
        <v>43.65</v>
      </c>
      <c r="G20">
        <v>43.71</v>
      </c>
      <c r="H20">
        <v>43.74</v>
      </c>
      <c r="I20">
        <v>43.79</v>
      </c>
      <c r="J20">
        <v>43.7</v>
      </c>
      <c r="P20" s="23"/>
    </row>
    <row r="21" spans="1:16" x14ac:dyDescent="0.25">
      <c r="A21" s="328" t="s">
        <v>704</v>
      </c>
      <c r="B21">
        <v>43.81</v>
      </c>
      <c r="C21">
        <v>43.74</v>
      </c>
      <c r="D21">
        <v>43.67</v>
      </c>
      <c r="E21">
        <v>43.79</v>
      </c>
      <c r="F21">
        <v>43.7</v>
      </c>
      <c r="G21">
        <v>43.83</v>
      </c>
      <c r="H21">
        <v>43.86</v>
      </c>
      <c r="I21">
        <v>43.94</v>
      </c>
      <c r="J21">
        <v>43.84</v>
      </c>
      <c r="P21" s="23"/>
    </row>
    <row r="22" spans="1:16" x14ac:dyDescent="0.25">
      <c r="A22" s="328" t="s">
        <v>705</v>
      </c>
      <c r="B22">
        <v>43.89</v>
      </c>
      <c r="C22">
        <v>43.81</v>
      </c>
      <c r="D22">
        <v>43.78</v>
      </c>
      <c r="E22">
        <v>43.9</v>
      </c>
      <c r="F22">
        <v>43.82</v>
      </c>
      <c r="G22">
        <v>43.9</v>
      </c>
      <c r="H22">
        <v>43.93</v>
      </c>
      <c r="I22">
        <v>43.97</v>
      </c>
      <c r="J22">
        <v>43.89</v>
      </c>
      <c r="P22" s="23"/>
    </row>
    <row r="23" spans="1:16" x14ac:dyDescent="0.25">
      <c r="A23" s="328" t="s">
        <v>706</v>
      </c>
      <c r="B23">
        <v>43.97</v>
      </c>
      <c r="C23">
        <v>43.92</v>
      </c>
      <c r="D23">
        <v>43.87</v>
      </c>
      <c r="E23">
        <v>44</v>
      </c>
      <c r="F23">
        <v>43.97</v>
      </c>
      <c r="G23">
        <v>44.04</v>
      </c>
      <c r="H23">
        <v>44.07</v>
      </c>
      <c r="I23">
        <v>44.13</v>
      </c>
      <c r="J23">
        <v>44</v>
      </c>
      <c r="P23" s="23"/>
    </row>
    <row r="24" spans="1:16" x14ac:dyDescent="0.25">
      <c r="A24" s="328" t="s">
        <v>707</v>
      </c>
      <c r="B24">
        <v>44.12</v>
      </c>
      <c r="C24">
        <v>44</v>
      </c>
      <c r="D24">
        <v>43.93</v>
      </c>
      <c r="E24">
        <v>44.05</v>
      </c>
      <c r="F24">
        <v>44.01</v>
      </c>
      <c r="G24">
        <v>44.14</v>
      </c>
      <c r="H24">
        <v>44.13</v>
      </c>
      <c r="I24">
        <v>44.24</v>
      </c>
      <c r="J24">
        <v>44.1</v>
      </c>
      <c r="P24" s="23"/>
    </row>
    <row r="25" spans="1:16" x14ac:dyDescent="0.25">
      <c r="A25" s="328" t="s">
        <v>708</v>
      </c>
      <c r="B25">
        <v>44.14</v>
      </c>
      <c r="C25">
        <v>44.07</v>
      </c>
      <c r="D25">
        <v>44.01</v>
      </c>
      <c r="E25">
        <v>44.17</v>
      </c>
      <c r="F25">
        <v>44.14</v>
      </c>
      <c r="G25">
        <v>44.26</v>
      </c>
      <c r="H25">
        <v>44.23</v>
      </c>
      <c r="I25">
        <v>44.34</v>
      </c>
      <c r="J25">
        <v>44.22</v>
      </c>
      <c r="P25" s="23"/>
    </row>
    <row r="26" spans="1:16" x14ac:dyDescent="0.25">
      <c r="A26" s="328" t="s">
        <v>709</v>
      </c>
      <c r="B26">
        <v>44.23</v>
      </c>
      <c r="C26">
        <v>44.17</v>
      </c>
      <c r="D26">
        <v>44.09</v>
      </c>
      <c r="E26">
        <v>44.22</v>
      </c>
      <c r="F26">
        <v>44.19</v>
      </c>
      <c r="G26">
        <v>44.29</v>
      </c>
      <c r="H26">
        <v>44.29</v>
      </c>
      <c r="I26">
        <v>44.37</v>
      </c>
      <c r="J26">
        <v>44.25</v>
      </c>
      <c r="P26" s="23"/>
    </row>
    <row r="27" spans="1:16" x14ac:dyDescent="0.25">
      <c r="A27" s="328" t="s">
        <v>710</v>
      </c>
      <c r="B27">
        <v>44.32</v>
      </c>
      <c r="C27">
        <v>44.27</v>
      </c>
      <c r="D27">
        <v>44.2</v>
      </c>
      <c r="E27">
        <v>44.32</v>
      </c>
      <c r="F27">
        <v>44.27</v>
      </c>
      <c r="G27">
        <v>44.45</v>
      </c>
      <c r="H27">
        <v>44.4</v>
      </c>
      <c r="I27">
        <v>44.46</v>
      </c>
      <c r="J27">
        <v>44.35</v>
      </c>
      <c r="P27" s="23"/>
    </row>
    <row r="28" spans="1:16" x14ac:dyDescent="0.25">
      <c r="A28" s="328" t="s">
        <v>711</v>
      </c>
      <c r="B28">
        <v>44.48</v>
      </c>
      <c r="C28">
        <v>44.35</v>
      </c>
      <c r="D28">
        <v>44.29</v>
      </c>
      <c r="E28">
        <v>44.43</v>
      </c>
      <c r="F28">
        <v>44.43</v>
      </c>
      <c r="G28">
        <v>44.51</v>
      </c>
      <c r="H28">
        <v>44.48</v>
      </c>
      <c r="I28">
        <v>44.55</v>
      </c>
      <c r="J28">
        <v>44.48</v>
      </c>
      <c r="P28" s="23"/>
    </row>
    <row r="29" spans="1:16" x14ac:dyDescent="0.25">
      <c r="A29" s="328" t="s">
        <v>712</v>
      </c>
      <c r="B29">
        <v>44.57</v>
      </c>
      <c r="C29">
        <v>44.44</v>
      </c>
      <c r="D29">
        <v>44.39</v>
      </c>
      <c r="E29">
        <v>44.48</v>
      </c>
      <c r="F29">
        <v>44.47</v>
      </c>
      <c r="G29">
        <v>44.55</v>
      </c>
      <c r="H29">
        <v>44.57</v>
      </c>
      <c r="I29">
        <v>44.59</v>
      </c>
      <c r="J29">
        <v>44.52</v>
      </c>
      <c r="P29" s="23"/>
    </row>
    <row r="30" spans="1:16" x14ac:dyDescent="0.25">
      <c r="A30" s="328" t="s">
        <v>713</v>
      </c>
      <c r="B30">
        <v>44.63</v>
      </c>
      <c r="C30">
        <v>44.52</v>
      </c>
      <c r="D30">
        <v>44.47</v>
      </c>
      <c r="E30">
        <v>44.6</v>
      </c>
      <c r="F30">
        <v>44.56</v>
      </c>
      <c r="G30">
        <v>44.67</v>
      </c>
      <c r="H30">
        <v>44.68</v>
      </c>
      <c r="I30">
        <v>44.71</v>
      </c>
      <c r="J30">
        <v>44.63</v>
      </c>
      <c r="P30" s="23"/>
    </row>
    <row r="31" spans="1:16" x14ac:dyDescent="0.25">
      <c r="A31" s="328" t="s">
        <v>714</v>
      </c>
      <c r="B31">
        <v>44.73</v>
      </c>
      <c r="C31">
        <v>44.59</v>
      </c>
      <c r="D31">
        <v>44.52</v>
      </c>
      <c r="E31">
        <v>44.63</v>
      </c>
      <c r="F31">
        <v>44.62</v>
      </c>
      <c r="G31">
        <v>44.75</v>
      </c>
      <c r="H31">
        <v>44.75</v>
      </c>
      <c r="I31">
        <v>44.8</v>
      </c>
      <c r="J31">
        <v>44.71</v>
      </c>
      <c r="P31" s="23"/>
    </row>
    <row r="32" spans="1:16" x14ac:dyDescent="0.25">
      <c r="A32" s="328" t="s">
        <v>715</v>
      </c>
      <c r="B32">
        <v>44.76</v>
      </c>
      <c r="C32">
        <v>44.7</v>
      </c>
      <c r="D32">
        <v>44.63</v>
      </c>
      <c r="E32">
        <v>44.72</v>
      </c>
      <c r="F32">
        <v>44.73</v>
      </c>
      <c r="G32">
        <v>44.86</v>
      </c>
      <c r="H32">
        <v>44.82</v>
      </c>
      <c r="I32">
        <v>44.88</v>
      </c>
      <c r="J32">
        <v>44.79</v>
      </c>
      <c r="P32" s="23"/>
    </row>
    <row r="33" spans="1:16" x14ac:dyDescent="0.25">
      <c r="A33" s="328" t="s">
        <v>716</v>
      </c>
      <c r="B33">
        <v>44.84</v>
      </c>
      <c r="C33">
        <v>44.77</v>
      </c>
      <c r="D33">
        <v>44.67</v>
      </c>
      <c r="E33">
        <v>44.8</v>
      </c>
      <c r="F33">
        <v>44.78</v>
      </c>
      <c r="G33">
        <v>44.92</v>
      </c>
      <c r="H33">
        <v>44.91</v>
      </c>
      <c r="I33">
        <v>44.93</v>
      </c>
      <c r="J33">
        <v>44.84</v>
      </c>
      <c r="P33" s="23"/>
    </row>
    <row r="34" spans="1:16" x14ac:dyDescent="0.25">
      <c r="A34" s="328" t="s">
        <v>717</v>
      </c>
      <c r="B34">
        <v>44.93</v>
      </c>
      <c r="C34">
        <v>44.86</v>
      </c>
      <c r="D34">
        <v>44.78</v>
      </c>
      <c r="E34">
        <v>44.87</v>
      </c>
      <c r="F34">
        <v>44.79</v>
      </c>
      <c r="G34">
        <v>44.96</v>
      </c>
      <c r="H34">
        <v>44.98</v>
      </c>
      <c r="I34">
        <v>45.02</v>
      </c>
      <c r="J34">
        <v>44.95</v>
      </c>
      <c r="P34" s="23"/>
    </row>
    <row r="35" spans="1:16" x14ac:dyDescent="0.25">
      <c r="A35" s="328" t="s">
        <v>718</v>
      </c>
      <c r="B35">
        <v>44.97</v>
      </c>
      <c r="C35">
        <v>44.93</v>
      </c>
      <c r="D35">
        <v>44.87</v>
      </c>
      <c r="E35">
        <v>44.99</v>
      </c>
      <c r="F35">
        <v>45.05</v>
      </c>
      <c r="G35">
        <v>45.05</v>
      </c>
      <c r="H35">
        <v>45.05</v>
      </c>
      <c r="I35">
        <v>45.08</v>
      </c>
      <c r="J35">
        <v>44.99</v>
      </c>
      <c r="P35" s="23"/>
    </row>
    <row r="36" spans="1:16" x14ac:dyDescent="0.25">
      <c r="A36" s="328" t="s">
        <v>719</v>
      </c>
      <c r="B36">
        <v>45.07</v>
      </c>
      <c r="C36">
        <v>45.01</v>
      </c>
      <c r="D36">
        <v>44.91</v>
      </c>
      <c r="E36">
        <v>45.03</v>
      </c>
      <c r="F36">
        <v>45.04</v>
      </c>
      <c r="G36">
        <v>45.16</v>
      </c>
      <c r="H36">
        <v>45.13</v>
      </c>
      <c r="I36">
        <v>45.16</v>
      </c>
      <c r="J36">
        <v>45.1</v>
      </c>
      <c r="P36" s="23"/>
    </row>
    <row r="37" spans="1:16" x14ac:dyDescent="0.25">
      <c r="A37" s="328" t="s">
        <v>720</v>
      </c>
      <c r="B37">
        <v>45.14</v>
      </c>
      <c r="C37">
        <v>45.06</v>
      </c>
      <c r="D37">
        <v>45.01</v>
      </c>
      <c r="E37">
        <v>45.12</v>
      </c>
      <c r="F37">
        <v>45.1</v>
      </c>
      <c r="G37">
        <v>45.22</v>
      </c>
      <c r="H37">
        <v>45.22</v>
      </c>
      <c r="I37">
        <v>45.26</v>
      </c>
      <c r="J37">
        <v>45.13</v>
      </c>
      <c r="P37" s="23"/>
    </row>
    <row r="38" spans="1:16" x14ac:dyDescent="0.25">
      <c r="A38" s="328" t="s">
        <v>721</v>
      </c>
      <c r="B38">
        <v>45.21</v>
      </c>
      <c r="C38">
        <v>45.16</v>
      </c>
      <c r="D38">
        <v>45.1</v>
      </c>
      <c r="E38">
        <v>45.19</v>
      </c>
      <c r="F38">
        <v>45.17</v>
      </c>
      <c r="G38">
        <v>45.29</v>
      </c>
      <c r="H38">
        <v>45.29</v>
      </c>
      <c r="I38">
        <v>45.32</v>
      </c>
      <c r="J38">
        <v>45.18</v>
      </c>
      <c r="P38" s="23"/>
    </row>
    <row r="39" spans="1:16" x14ac:dyDescent="0.25">
      <c r="A39" s="328" t="s">
        <v>722</v>
      </c>
      <c r="B39">
        <v>45.3</v>
      </c>
      <c r="C39">
        <v>45.24</v>
      </c>
      <c r="D39">
        <v>45.16</v>
      </c>
      <c r="E39">
        <v>45.26</v>
      </c>
      <c r="F39">
        <v>45.24</v>
      </c>
      <c r="G39">
        <v>45.44</v>
      </c>
      <c r="H39">
        <v>45.35</v>
      </c>
      <c r="I39">
        <v>45.37</v>
      </c>
      <c r="J39">
        <v>45.3</v>
      </c>
      <c r="P39" s="23"/>
    </row>
    <row r="40" spans="1:16" x14ac:dyDescent="0.25">
      <c r="A40" s="328" t="s">
        <v>723</v>
      </c>
      <c r="B40">
        <v>45.33</v>
      </c>
      <c r="C40">
        <v>45.3</v>
      </c>
      <c r="D40">
        <v>45.24</v>
      </c>
      <c r="E40">
        <v>45.35</v>
      </c>
      <c r="F40">
        <v>45.27</v>
      </c>
      <c r="G40">
        <v>45.46</v>
      </c>
      <c r="H40">
        <v>45.45</v>
      </c>
      <c r="I40">
        <v>45.47</v>
      </c>
      <c r="J40">
        <v>45.39</v>
      </c>
      <c r="P40" s="23"/>
    </row>
    <row r="41" spans="1:16" x14ac:dyDescent="0.25">
      <c r="A41" s="328" t="s">
        <v>724</v>
      </c>
      <c r="B41">
        <v>45.46</v>
      </c>
      <c r="C41">
        <v>45.36</v>
      </c>
      <c r="D41">
        <v>45.29</v>
      </c>
      <c r="E41">
        <v>45.42</v>
      </c>
      <c r="F41">
        <v>45.42</v>
      </c>
      <c r="G41">
        <v>45.5</v>
      </c>
      <c r="H41">
        <v>45.48</v>
      </c>
      <c r="I41">
        <v>45.53</v>
      </c>
      <c r="J41">
        <v>45.44</v>
      </c>
      <c r="P41" s="23"/>
    </row>
    <row r="42" spans="1:16" x14ac:dyDescent="0.25">
      <c r="A42" s="328" t="s">
        <v>725</v>
      </c>
      <c r="B42">
        <v>45.53</v>
      </c>
      <c r="C42">
        <v>45.46</v>
      </c>
      <c r="D42">
        <v>45.37</v>
      </c>
      <c r="E42">
        <v>45.46</v>
      </c>
      <c r="F42">
        <v>45.44</v>
      </c>
      <c r="G42">
        <v>45.57</v>
      </c>
      <c r="H42">
        <v>45.55</v>
      </c>
      <c r="I42">
        <v>45.59</v>
      </c>
      <c r="J42">
        <v>45.49</v>
      </c>
      <c r="P42" s="23"/>
    </row>
    <row r="43" spans="1:16" x14ac:dyDescent="0.25">
      <c r="A43" s="328" t="s">
        <v>726</v>
      </c>
      <c r="B43">
        <v>45.62</v>
      </c>
      <c r="C43">
        <v>45.52</v>
      </c>
      <c r="D43">
        <v>45.47</v>
      </c>
      <c r="E43">
        <v>45.57</v>
      </c>
      <c r="F43">
        <v>45.52</v>
      </c>
      <c r="G43">
        <v>45.68</v>
      </c>
      <c r="H43">
        <v>45.66</v>
      </c>
      <c r="I43">
        <v>45.68</v>
      </c>
      <c r="J43">
        <v>45.6</v>
      </c>
      <c r="P43" s="23"/>
    </row>
    <row r="44" spans="1:16" x14ac:dyDescent="0.25">
      <c r="A44" s="328" t="s">
        <v>727</v>
      </c>
      <c r="B44">
        <v>45.65</v>
      </c>
      <c r="C44">
        <v>45.59</v>
      </c>
      <c r="D44">
        <v>45.54</v>
      </c>
      <c r="E44">
        <v>45.61</v>
      </c>
      <c r="F44">
        <v>45.6</v>
      </c>
      <c r="G44">
        <v>45.77</v>
      </c>
      <c r="H44">
        <v>45.69</v>
      </c>
      <c r="I44">
        <v>45.78</v>
      </c>
      <c r="J44">
        <v>45.69</v>
      </c>
      <c r="P44" s="23"/>
    </row>
    <row r="45" spans="1:16" x14ac:dyDescent="0.25">
      <c r="A45" s="328" t="s">
        <v>728</v>
      </c>
      <c r="B45">
        <v>45.78</v>
      </c>
      <c r="C45">
        <v>45.66</v>
      </c>
      <c r="D45">
        <v>45.61</v>
      </c>
      <c r="E45">
        <v>45.72</v>
      </c>
      <c r="F45">
        <v>45.61</v>
      </c>
      <c r="G45">
        <v>45.79</v>
      </c>
      <c r="H45">
        <v>45.8</v>
      </c>
      <c r="I45">
        <v>45.82</v>
      </c>
      <c r="J45">
        <v>45.71</v>
      </c>
      <c r="P45" s="23"/>
    </row>
    <row r="46" spans="1:16" x14ac:dyDescent="0.25">
      <c r="A46" s="328" t="s">
        <v>729</v>
      </c>
      <c r="B46">
        <v>45.76</v>
      </c>
      <c r="C46">
        <v>45.7</v>
      </c>
      <c r="D46">
        <v>45.67</v>
      </c>
      <c r="E46">
        <v>45.74</v>
      </c>
      <c r="F46">
        <v>45.69</v>
      </c>
      <c r="G46">
        <v>45.87</v>
      </c>
      <c r="H46">
        <v>45.87</v>
      </c>
      <c r="I46">
        <v>45.89</v>
      </c>
      <c r="J46">
        <v>45.79</v>
      </c>
      <c r="P46" s="23"/>
    </row>
    <row r="47" spans="1:16" x14ac:dyDescent="0.25">
      <c r="A47" s="328" t="s">
        <v>730</v>
      </c>
      <c r="B47">
        <v>45.91</v>
      </c>
      <c r="C47">
        <v>45.77</v>
      </c>
      <c r="D47">
        <v>45.74</v>
      </c>
      <c r="E47">
        <v>45.81</v>
      </c>
      <c r="F47">
        <v>45.69</v>
      </c>
      <c r="G47">
        <v>45.94</v>
      </c>
      <c r="H47">
        <v>45.9</v>
      </c>
      <c r="I47">
        <v>45.91</v>
      </c>
      <c r="J47">
        <v>45.82</v>
      </c>
      <c r="P47" s="23"/>
    </row>
    <row r="48" spans="1:16" x14ac:dyDescent="0.25">
      <c r="A48" s="328" t="s">
        <v>731</v>
      </c>
      <c r="B48">
        <v>45.86</v>
      </c>
      <c r="C48">
        <v>45.85</v>
      </c>
      <c r="D48">
        <v>45.76</v>
      </c>
      <c r="E48">
        <v>45.86</v>
      </c>
      <c r="F48">
        <v>45.82</v>
      </c>
      <c r="G48">
        <v>45.98</v>
      </c>
      <c r="H48">
        <v>45.98</v>
      </c>
      <c r="I48">
        <v>46.02</v>
      </c>
      <c r="J48">
        <v>45.92</v>
      </c>
      <c r="P48" s="23"/>
    </row>
    <row r="49" spans="1:16" x14ac:dyDescent="0.25">
      <c r="A49" s="328" t="s">
        <v>732</v>
      </c>
      <c r="B49">
        <v>46.01</v>
      </c>
      <c r="C49">
        <v>45.91</v>
      </c>
      <c r="D49">
        <v>45.84</v>
      </c>
      <c r="E49">
        <v>45.95</v>
      </c>
      <c r="F49">
        <v>45.8</v>
      </c>
      <c r="G49">
        <v>46.1</v>
      </c>
      <c r="H49">
        <v>46.09</v>
      </c>
      <c r="I49">
        <v>46.1</v>
      </c>
      <c r="J49">
        <v>46.02</v>
      </c>
      <c r="P49" s="23"/>
    </row>
    <row r="50" spans="1:16" x14ac:dyDescent="0.25">
      <c r="A50" s="328" t="s">
        <v>733</v>
      </c>
      <c r="B50">
        <v>46.03</v>
      </c>
      <c r="C50">
        <v>45.96</v>
      </c>
      <c r="D50">
        <v>45.93</v>
      </c>
      <c r="E50">
        <v>45.97</v>
      </c>
      <c r="F50">
        <v>45.95</v>
      </c>
      <c r="G50">
        <v>46.16</v>
      </c>
      <c r="H50">
        <v>46.12</v>
      </c>
      <c r="I50">
        <v>46.16</v>
      </c>
      <c r="J50">
        <v>46.06</v>
      </c>
      <c r="P50" s="23"/>
    </row>
    <row r="51" spans="1:16" x14ac:dyDescent="0.25">
      <c r="A51" s="328" t="s">
        <v>734</v>
      </c>
      <c r="B51">
        <v>46.1</v>
      </c>
      <c r="C51">
        <v>46.04</v>
      </c>
      <c r="D51">
        <v>45.98</v>
      </c>
      <c r="E51">
        <v>46.08</v>
      </c>
      <c r="F51">
        <v>45.93</v>
      </c>
      <c r="G51">
        <v>46.2</v>
      </c>
      <c r="H51">
        <v>46.17</v>
      </c>
      <c r="I51">
        <v>46.23</v>
      </c>
      <c r="J51">
        <v>46.12</v>
      </c>
      <c r="P51" s="23"/>
    </row>
    <row r="52" spans="1:16" x14ac:dyDescent="0.25">
      <c r="A52" s="328" t="s">
        <v>735</v>
      </c>
      <c r="B52">
        <v>46.24</v>
      </c>
      <c r="C52">
        <v>46.13</v>
      </c>
      <c r="D52">
        <v>46.06</v>
      </c>
      <c r="E52">
        <v>46.15</v>
      </c>
      <c r="F52">
        <v>45.99</v>
      </c>
      <c r="G52">
        <v>46.28</v>
      </c>
      <c r="H52">
        <v>46.2</v>
      </c>
      <c r="I52">
        <v>46.25</v>
      </c>
      <c r="J52">
        <v>46.11</v>
      </c>
      <c r="P52" s="23"/>
    </row>
    <row r="53" spans="1:16" x14ac:dyDescent="0.25">
      <c r="A53" s="328" t="s">
        <v>736</v>
      </c>
      <c r="B53">
        <v>46.24</v>
      </c>
      <c r="C53">
        <v>46.15</v>
      </c>
      <c r="D53">
        <v>46.08</v>
      </c>
      <c r="E53">
        <v>46.2</v>
      </c>
      <c r="F53">
        <v>46.09</v>
      </c>
      <c r="G53">
        <v>46.33</v>
      </c>
      <c r="H53">
        <v>46.31</v>
      </c>
      <c r="I53">
        <v>46.3</v>
      </c>
      <c r="J53">
        <v>46.23</v>
      </c>
      <c r="P53" s="23"/>
    </row>
    <row r="54" spans="1:16" x14ac:dyDescent="0.25">
      <c r="A54" s="328" t="s">
        <v>737</v>
      </c>
      <c r="B54">
        <v>46.55</v>
      </c>
      <c r="C54">
        <v>46.39</v>
      </c>
      <c r="D54">
        <v>46.36</v>
      </c>
      <c r="E54">
        <v>46.5</v>
      </c>
      <c r="F54">
        <v>46.48</v>
      </c>
      <c r="G54">
        <v>46.67</v>
      </c>
      <c r="H54">
        <v>46.58</v>
      </c>
      <c r="I54">
        <v>46.7</v>
      </c>
      <c r="J54">
        <v>46.45</v>
      </c>
      <c r="P54" s="23"/>
    </row>
    <row r="55" spans="1:16" x14ac:dyDescent="0.25">
      <c r="A55" s="328" t="s">
        <v>738</v>
      </c>
      <c r="B55">
        <v>47.33</v>
      </c>
      <c r="C55">
        <v>47.11</v>
      </c>
      <c r="D55">
        <v>47.11</v>
      </c>
      <c r="E55">
        <v>47.33</v>
      </c>
      <c r="F55">
        <v>47.51</v>
      </c>
      <c r="G55">
        <v>47.67</v>
      </c>
      <c r="H55">
        <v>47.4</v>
      </c>
      <c r="I55">
        <v>47.68</v>
      </c>
      <c r="J55">
        <v>47.36</v>
      </c>
      <c r="P55" s="23"/>
    </row>
    <row r="56" spans="1:16" x14ac:dyDescent="0.25">
      <c r="A56" s="328" t="s">
        <v>739</v>
      </c>
      <c r="B56">
        <v>48.52</v>
      </c>
      <c r="C56">
        <v>48.24</v>
      </c>
      <c r="D56">
        <v>48.24</v>
      </c>
      <c r="E56">
        <v>48.63</v>
      </c>
      <c r="F56">
        <v>48.96</v>
      </c>
      <c r="G56">
        <v>48.98</v>
      </c>
      <c r="H56">
        <v>48.65</v>
      </c>
      <c r="I56">
        <v>49.14</v>
      </c>
      <c r="J56">
        <v>48.69</v>
      </c>
      <c r="P56" s="23"/>
    </row>
    <row r="57" spans="1:16" x14ac:dyDescent="0.25">
      <c r="A57" s="328" t="s">
        <v>740</v>
      </c>
      <c r="B57">
        <v>49.88</v>
      </c>
      <c r="C57">
        <v>49.53</v>
      </c>
      <c r="D57">
        <v>49.61</v>
      </c>
      <c r="E57">
        <v>50.03</v>
      </c>
      <c r="F57">
        <v>50.6</v>
      </c>
      <c r="G57">
        <v>50.49</v>
      </c>
      <c r="H57">
        <v>50.11</v>
      </c>
      <c r="I57">
        <v>50.66</v>
      </c>
      <c r="J57">
        <v>50.21</v>
      </c>
      <c r="P57" s="23"/>
    </row>
    <row r="58" spans="1:16" x14ac:dyDescent="0.25">
      <c r="A58" s="328" t="s">
        <v>741</v>
      </c>
      <c r="B58">
        <v>51.08</v>
      </c>
      <c r="C58">
        <v>50.78</v>
      </c>
      <c r="D58">
        <v>50.84</v>
      </c>
      <c r="E58">
        <v>51.45</v>
      </c>
      <c r="F58">
        <v>52.16</v>
      </c>
      <c r="G58">
        <v>51.9</v>
      </c>
      <c r="H58">
        <v>51.55</v>
      </c>
      <c r="I58">
        <v>52.25</v>
      </c>
      <c r="J58">
        <v>51.68</v>
      </c>
      <c r="P58" s="23"/>
    </row>
    <row r="59" spans="1:16" x14ac:dyDescent="0.25">
      <c r="A59" s="328" t="s">
        <v>742</v>
      </c>
      <c r="B59">
        <v>52.45</v>
      </c>
      <c r="C59">
        <v>52.05</v>
      </c>
      <c r="D59">
        <v>52.06</v>
      </c>
      <c r="E59">
        <v>52.76</v>
      </c>
      <c r="F59">
        <v>53.46</v>
      </c>
      <c r="G59">
        <v>53.08</v>
      </c>
      <c r="H59">
        <v>52.87</v>
      </c>
      <c r="I59">
        <v>53.63</v>
      </c>
      <c r="J59">
        <v>53.05</v>
      </c>
      <c r="P59" s="23"/>
    </row>
    <row r="60" spans="1:16" x14ac:dyDescent="0.25">
      <c r="A60" s="328" t="s">
        <v>743</v>
      </c>
      <c r="B60">
        <v>53.53</v>
      </c>
      <c r="C60">
        <v>53.14</v>
      </c>
      <c r="D60">
        <v>53.13</v>
      </c>
      <c r="E60">
        <v>54.01</v>
      </c>
      <c r="F60">
        <v>54.72</v>
      </c>
      <c r="G60">
        <v>54.19</v>
      </c>
      <c r="H60">
        <v>54.01</v>
      </c>
      <c r="I60">
        <v>54.8</v>
      </c>
      <c r="J60">
        <v>54.2</v>
      </c>
      <c r="P60" s="23"/>
    </row>
    <row r="61" spans="1:16" x14ac:dyDescent="0.25">
      <c r="A61" s="328" t="s">
        <v>744</v>
      </c>
      <c r="B61">
        <v>54.5</v>
      </c>
      <c r="C61">
        <v>54.19</v>
      </c>
      <c r="D61">
        <v>54.11</v>
      </c>
      <c r="E61">
        <v>54.99</v>
      </c>
      <c r="F61">
        <v>55.85</v>
      </c>
      <c r="G61">
        <v>55.29</v>
      </c>
      <c r="H61">
        <v>55.03</v>
      </c>
      <c r="I61">
        <v>55.81</v>
      </c>
      <c r="J61">
        <v>55.33</v>
      </c>
      <c r="P61" s="23"/>
    </row>
    <row r="62" spans="1:16" x14ac:dyDescent="0.25">
      <c r="A62" s="328" t="s">
        <v>745</v>
      </c>
      <c r="B62">
        <v>55.37</v>
      </c>
      <c r="C62">
        <v>55</v>
      </c>
      <c r="D62">
        <v>54.95</v>
      </c>
      <c r="E62">
        <v>55.79</v>
      </c>
      <c r="F62">
        <v>56.63</v>
      </c>
      <c r="G62">
        <v>56.14</v>
      </c>
      <c r="H62">
        <v>55.87</v>
      </c>
      <c r="I62">
        <v>56.76</v>
      </c>
      <c r="J62">
        <v>56.18</v>
      </c>
      <c r="P62" s="23"/>
    </row>
    <row r="63" spans="1:16" x14ac:dyDescent="0.25">
      <c r="A63" s="328" t="s">
        <v>746</v>
      </c>
      <c r="B63">
        <v>56.02</v>
      </c>
      <c r="C63">
        <v>55.64</v>
      </c>
      <c r="D63">
        <v>55.66</v>
      </c>
      <c r="E63">
        <v>56.51</v>
      </c>
      <c r="F63">
        <v>57.38</v>
      </c>
      <c r="G63">
        <v>56.88</v>
      </c>
      <c r="H63">
        <v>56.55</v>
      </c>
      <c r="I63">
        <v>57.45</v>
      </c>
      <c r="J63">
        <v>56.94</v>
      </c>
      <c r="P63" s="23"/>
    </row>
    <row r="64" spans="1:16" x14ac:dyDescent="0.25">
      <c r="A64" s="328" t="s">
        <v>747</v>
      </c>
      <c r="B64">
        <v>56.6</v>
      </c>
      <c r="C64">
        <v>56.29</v>
      </c>
      <c r="D64">
        <v>56.28</v>
      </c>
      <c r="E64">
        <v>57.12</v>
      </c>
      <c r="F64">
        <v>57.99</v>
      </c>
      <c r="G64">
        <v>57.41</v>
      </c>
      <c r="H64">
        <v>57.24</v>
      </c>
      <c r="I64">
        <v>58.04</v>
      </c>
      <c r="J64">
        <v>57.47</v>
      </c>
      <c r="P64" s="23"/>
    </row>
    <row r="65" spans="1:16" x14ac:dyDescent="0.25">
      <c r="A65" s="328" t="s">
        <v>748</v>
      </c>
      <c r="B65">
        <v>57.19</v>
      </c>
      <c r="C65">
        <v>56.83</v>
      </c>
      <c r="D65">
        <v>56.82</v>
      </c>
      <c r="E65">
        <v>57.6</v>
      </c>
      <c r="F65">
        <v>58.4</v>
      </c>
      <c r="G65">
        <v>57.97</v>
      </c>
      <c r="H65">
        <v>57.81</v>
      </c>
      <c r="I65">
        <v>58.56</v>
      </c>
      <c r="J65">
        <v>58.07</v>
      </c>
      <c r="P65" s="23"/>
    </row>
    <row r="66" spans="1:16" x14ac:dyDescent="0.25">
      <c r="A66" s="328" t="s">
        <v>749</v>
      </c>
      <c r="B66">
        <v>57.67</v>
      </c>
      <c r="C66">
        <v>57.39</v>
      </c>
      <c r="D66">
        <v>57.27</v>
      </c>
      <c r="E66">
        <v>58.09</v>
      </c>
      <c r="F66">
        <v>58.76</v>
      </c>
      <c r="G66">
        <v>58.36</v>
      </c>
      <c r="H66">
        <v>58.33</v>
      </c>
      <c r="I66">
        <v>59.01</v>
      </c>
      <c r="J66">
        <v>58.44</v>
      </c>
      <c r="P66" s="23"/>
    </row>
    <row r="67" spans="1:16" x14ac:dyDescent="0.25">
      <c r="A67" s="328" t="s">
        <v>750</v>
      </c>
      <c r="B67">
        <v>58.11</v>
      </c>
      <c r="C67">
        <v>57.8</v>
      </c>
      <c r="D67">
        <v>57.78</v>
      </c>
      <c r="E67">
        <v>58.48</v>
      </c>
      <c r="F67">
        <v>59.13</v>
      </c>
      <c r="G67">
        <v>58.71</v>
      </c>
      <c r="H67">
        <v>58.65</v>
      </c>
      <c r="I67">
        <v>59.32</v>
      </c>
      <c r="J67">
        <v>58.76</v>
      </c>
    </row>
    <row r="68" spans="1:16" x14ac:dyDescent="0.25">
      <c r="A68" s="328" t="s">
        <v>751</v>
      </c>
      <c r="B68">
        <v>58.49</v>
      </c>
      <c r="C68">
        <v>58.12</v>
      </c>
      <c r="D68">
        <v>58.11</v>
      </c>
      <c r="E68">
        <v>58.85</v>
      </c>
      <c r="F68">
        <v>59.45</v>
      </c>
      <c r="G68">
        <v>59.18</v>
      </c>
      <c r="H68">
        <v>59.05</v>
      </c>
      <c r="I68">
        <v>59.75</v>
      </c>
      <c r="J68">
        <v>59.17</v>
      </c>
    </row>
    <row r="69" spans="1:16" x14ac:dyDescent="0.25">
      <c r="A69" s="328" t="s">
        <v>752</v>
      </c>
      <c r="B69">
        <v>58.83</v>
      </c>
      <c r="C69">
        <v>58.51</v>
      </c>
      <c r="D69">
        <v>58.46</v>
      </c>
      <c r="E69">
        <v>59.25</v>
      </c>
      <c r="F69">
        <v>59.75</v>
      </c>
      <c r="G69">
        <v>59.47</v>
      </c>
      <c r="H69">
        <v>59.29</v>
      </c>
      <c r="I69">
        <v>59.97</v>
      </c>
      <c r="J69">
        <v>59.51</v>
      </c>
    </row>
    <row r="70" spans="1:16" x14ac:dyDescent="0.25">
      <c r="A70" s="328" t="s">
        <v>753</v>
      </c>
      <c r="B70">
        <v>59.31</v>
      </c>
      <c r="C70">
        <v>58.88</v>
      </c>
      <c r="D70">
        <v>58.83</v>
      </c>
      <c r="E70">
        <v>59.58</v>
      </c>
      <c r="F70">
        <v>60</v>
      </c>
      <c r="G70">
        <v>59.84</v>
      </c>
      <c r="H70">
        <v>59.69</v>
      </c>
      <c r="I70">
        <v>60.29</v>
      </c>
      <c r="J70">
        <v>59.76</v>
      </c>
    </row>
    <row r="71" spans="1:16" x14ac:dyDescent="0.25">
      <c r="A71" s="328" t="s">
        <v>754</v>
      </c>
      <c r="B71">
        <v>59.47</v>
      </c>
      <c r="C71">
        <v>59.23</v>
      </c>
      <c r="D71">
        <v>59.19</v>
      </c>
      <c r="E71">
        <v>59.83</v>
      </c>
      <c r="F71">
        <v>60.24</v>
      </c>
      <c r="G71">
        <v>60.16</v>
      </c>
      <c r="H71">
        <v>60.06</v>
      </c>
      <c r="I71">
        <v>60.67</v>
      </c>
      <c r="J71">
        <v>60.1</v>
      </c>
    </row>
    <row r="72" spans="1:16" x14ac:dyDescent="0.25">
      <c r="A72" s="328" t="s">
        <v>755</v>
      </c>
      <c r="B72">
        <v>59.74</v>
      </c>
      <c r="C72">
        <v>59.57</v>
      </c>
      <c r="D72">
        <v>59.48</v>
      </c>
      <c r="E72">
        <v>60.07</v>
      </c>
      <c r="F72">
        <v>60.58</v>
      </c>
      <c r="G72">
        <v>60.38</v>
      </c>
      <c r="H72">
        <v>60.34</v>
      </c>
      <c r="I72">
        <v>60.87</v>
      </c>
      <c r="J72">
        <v>60.35</v>
      </c>
    </row>
    <row r="73" spans="1:16" x14ac:dyDescent="0.25">
      <c r="A73" s="328" t="s">
        <v>756</v>
      </c>
      <c r="B73">
        <v>60.07</v>
      </c>
      <c r="C73">
        <v>59.82</v>
      </c>
      <c r="D73">
        <v>59.75</v>
      </c>
      <c r="E73">
        <v>60.37</v>
      </c>
      <c r="F73">
        <v>60.83</v>
      </c>
      <c r="G73">
        <v>60.7</v>
      </c>
      <c r="H73">
        <v>60.64</v>
      </c>
      <c r="I73">
        <v>61.16</v>
      </c>
      <c r="J73">
        <v>60.6</v>
      </c>
    </row>
    <row r="74" spans="1:16" x14ac:dyDescent="0.25">
      <c r="A74" s="328" t="s">
        <v>757</v>
      </c>
      <c r="B74">
        <v>60.35</v>
      </c>
      <c r="C74">
        <v>60.12</v>
      </c>
      <c r="D74">
        <v>60.08</v>
      </c>
      <c r="E74">
        <v>60.66</v>
      </c>
      <c r="F74">
        <v>60.97</v>
      </c>
      <c r="G74">
        <v>60.99</v>
      </c>
      <c r="H74">
        <v>60.91</v>
      </c>
      <c r="I74">
        <v>61.4</v>
      </c>
      <c r="J74">
        <v>60.92</v>
      </c>
    </row>
    <row r="75" spans="1:16" x14ac:dyDescent="0.25">
      <c r="A75" s="328" t="s">
        <v>758</v>
      </c>
      <c r="B75">
        <v>60.73</v>
      </c>
      <c r="C75">
        <v>60.45</v>
      </c>
      <c r="D75">
        <v>60.37</v>
      </c>
      <c r="E75">
        <v>60.96</v>
      </c>
      <c r="F75">
        <v>61.35</v>
      </c>
      <c r="G75">
        <v>61.34</v>
      </c>
      <c r="H75">
        <v>61.2</v>
      </c>
      <c r="I75">
        <v>61.65</v>
      </c>
      <c r="J75">
        <v>61.2</v>
      </c>
    </row>
    <row r="76" spans="1:16" x14ac:dyDescent="0.25">
      <c r="A76" s="328" t="s">
        <v>759</v>
      </c>
      <c r="B76">
        <v>61</v>
      </c>
      <c r="C76">
        <v>60.78</v>
      </c>
      <c r="D76">
        <v>60.72</v>
      </c>
      <c r="E76">
        <v>61.27</v>
      </c>
      <c r="F76">
        <v>61.65</v>
      </c>
      <c r="G76">
        <v>61.58</v>
      </c>
      <c r="H76">
        <v>61.49</v>
      </c>
      <c r="I76">
        <v>61.97</v>
      </c>
      <c r="J76">
        <v>61.48</v>
      </c>
    </row>
    <row r="77" spans="1:16" x14ac:dyDescent="0.25">
      <c r="A77" s="328" t="s">
        <v>760</v>
      </c>
      <c r="B77">
        <v>61.32</v>
      </c>
      <c r="C77">
        <v>61.05</v>
      </c>
      <c r="D77">
        <v>60.97</v>
      </c>
      <c r="E77">
        <v>61.5</v>
      </c>
      <c r="F77">
        <v>61.85</v>
      </c>
      <c r="G77">
        <v>61.89</v>
      </c>
      <c r="H77">
        <v>61.77</v>
      </c>
      <c r="I77">
        <v>62.23</v>
      </c>
      <c r="J77">
        <v>61.75</v>
      </c>
    </row>
    <row r="78" spans="1:16" x14ac:dyDescent="0.25">
      <c r="A78" s="328" t="s">
        <v>761</v>
      </c>
      <c r="B78">
        <v>61.68</v>
      </c>
      <c r="C78">
        <v>61.32</v>
      </c>
      <c r="D78">
        <v>61.28</v>
      </c>
      <c r="E78">
        <v>61.84</v>
      </c>
      <c r="F78">
        <v>62.13</v>
      </c>
      <c r="G78">
        <v>62.26</v>
      </c>
      <c r="H78">
        <v>62.08</v>
      </c>
      <c r="I78">
        <v>62.49</v>
      </c>
      <c r="J78">
        <v>62.08</v>
      </c>
    </row>
    <row r="79" spans="1:16" x14ac:dyDescent="0.25">
      <c r="A79" s="328" t="s">
        <v>762</v>
      </c>
      <c r="B79">
        <v>62.03</v>
      </c>
      <c r="C79">
        <v>61.71</v>
      </c>
      <c r="D79">
        <v>61.67</v>
      </c>
      <c r="E79">
        <v>62.18</v>
      </c>
      <c r="F79">
        <v>62.45</v>
      </c>
      <c r="G79">
        <v>62.58</v>
      </c>
      <c r="H79">
        <v>62.39</v>
      </c>
      <c r="I79">
        <v>62.84</v>
      </c>
      <c r="J79">
        <v>62.39</v>
      </c>
    </row>
    <row r="80" spans="1:16" x14ac:dyDescent="0.25">
      <c r="A80" s="328" t="s">
        <v>763</v>
      </c>
      <c r="B80">
        <v>62.34</v>
      </c>
      <c r="C80">
        <v>62.02</v>
      </c>
      <c r="D80">
        <v>61.96</v>
      </c>
      <c r="E80">
        <v>62.5</v>
      </c>
      <c r="F80">
        <v>62.72</v>
      </c>
      <c r="G80">
        <v>62.87</v>
      </c>
      <c r="H80">
        <v>62.7</v>
      </c>
      <c r="I80">
        <v>63.14</v>
      </c>
      <c r="J80">
        <v>62.65</v>
      </c>
    </row>
    <row r="81" spans="1:10" x14ac:dyDescent="0.25">
      <c r="A81" s="328" t="s">
        <v>764</v>
      </c>
      <c r="B81">
        <v>62.6</v>
      </c>
      <c r="C81">
        <v>62.33</v>
      </c>
      <c r="D81">
        <v>62.32</v>
      </c>
      <c r="E81">
        <v>62.79</v>
      </c>
      <c r="F81">
        <v>63.01</v>
      </c>
      <c r="G81">
        <v>63.16</v>
      </c>
      <c r="H81">
        <v>63.11</v>
      </c>
      <c r="I81">
        <v>63.48</v>
      </c>
      <c r="J81">
        <v>63.04</v>
      </c>
    </row>
    <row r="82" spans="1:10" x14ac:dyDescent="0.25">
      <c r="A82" s="328" t="s">
        <v>765</v>
      </c>
      <c r="B82">
        <v>62.89</v>
      </c>
      <c r="C82">
        <v>62.72</v>
      </c>
      <c r="D82">
        <v>62.62</v>
      </c>
      <c r="E82">
        <v>63.13</v>
      </c>
      <c r="F82">
        <v>63.34</v>
      </c>
      <c r="G82">
        <v>63.52</v>
      </c>
      <c r="H82">
        <v>63.33</v>
      </c>
      <c r="I82">
        <v>63.82</v>
      </c>
      <c r="J82">
        <v>63.31</v>
      </c>
    </row>
    <row r="83" spans="1:10" x14ac:dyDescent="0.25">
      <c r="A83" s="328" t="s">
        <v>766</v>
      </c>
      <c r="B83">
        <v>63.33</v>
      </c>
      <c r="C83">
        <v>63.01</v>
      </c>
      <c r="D83">
        <v>62.96</v>
      </c>
      <c r="E83">
        <v>63.44</v>
      </c>
      <c r="F83">
        <v>63.66</v>
      </c>
      <c r="G83">
        <v>63.85</v>
      </c>
      <c r="H83">
        <v>63.64</v>
      </c>
      <c r="I83">
        <v>64.040000000000006</v>
      </c>
      <c r="J83">
        <v>63.6</v>
      </c>
    </row>
    <row r="84" spans="1:10" x14ac:dyDescent="0.25">
      <c r="A84" s="328" t="s">
        <v>767</v>
      </c>
      <c r="B84">
        <v>63.57</v>
      </c>
      <c r="C84">
        <v>63.26</v>
      </c>
      <c r="D84">
        <v>63.23</v>
      </c>
      <c r="E84">
        <v>63.75</v>
      </c>
      <c r="F84">
        <v>63.91</v>
      </c>
      <c r="G84">
        <v>64.099999999999994</v>
      </c>
      <c r="H84">
        <v>63.97</v>
      </c>
      <c r="I84">
        <v>64.37</v>
      </c>
      <c r="J84">
        <v>63.89</v>
      </c>
    </row>
    <row r="85" spans="1:10" x14ac:dyDescent="0.25">
      <c r="A85" s="328" t="s">
        <v>768</v>
      </c>
      <c r="B85">
        <v>63.92</v>
      </c>
      <c r="C85">
        <v>63.6</v>
      </c>
      <c r="D85">
        <v>63.56</v>
      </c>
      <c r="E85">
        <v>64.03</v>
      </c>
      <c r="F85">
        <v>64.31</v>
      </c>
      <c r="G85">
        <v>64.42</v>
      </c>
      <c r="H85">
        <v>64.25</v>
      </c>
      <c r="I85">
        <v>64.680000000000007</v>
      </c>
      <c r="J85">
        <v>64.19</v>
      </c>
    </row>
    <row r="86" spans="1:10" x14ac:dyDescent="0.25">
      <c r="A86" s="328" t="s">
        <v>769</v>
      </c>
      <c r="B86">
        <v>64.23</v>
      </c>
      <c r="C86">
        <v>63.97</v>
      </c>
      <c r="D86">
        <v>63.89</v>
      </c>
      <c r="E86">
        <v>64.349999999999994</v>
      </c>
      <c r="F86">
        <v>64.56</v>
      </c>
      <c r="G86">
        <v>64.709999999999994</v>
      </c>
      <c r="H86">
        <v>64.510000000000005</v>
      </c>
      <c r="I86">
        <v>64.989999999999995</v>
      </c>
      <c r="J86">
        <v>64.56</v>
      </c>
    </row>
    <row r="87" spans="1:10" x14ac:dyDescent="0.25">
      <c r="A87" s="328" t="s">
        <v>770</v>
      </c>
      <c r="B87">
        <v>64.48</v>
      </c>
      <c r="C87">
        <v>64.23</v>
      </c>
      <c r="D87">
        <v>64.25</v>
      </c>
      <c r="E87">
        <v>64.680000000000007</v>
      </c>
      <c r="F87">
        <v>64.900000000000006</v>
      </c>
      <c r="G87">
        <v>65.099999999999994</v>
      </c>
      <c r="H87">
        <v>64.91</v>
      </c>
      <c r="I87">
        <v>65.33</v>
      </c>
      <c r="J87">
        <v>64.88</v>
      </c>
    </row>
    <row r="88" spans="1:10" x14ac:dyDescent="0.25">
      <c r="A88" s="328" t="s">
        <v>771</v>
      </c>
      <c r="B88">
        <v>64.819999999999993</v>
      </c>
      <c r="C88">
        <v>64.569999999999993</v>
      </c>
      <c r="D88">
        <v>64.52</v>
      </c>
      <c r="E88">
        <v>64.989999999999995</v>
      </c>
      <c r="F88">
        <v>65.239999999999995</v>
      </c>
      <c r="G88">
        <v>65.430000000000007</v>
      </c>
      <c r="H88">
        <v>65.260000000000005</v>
      </c>
      <c r="I88">
        <v>65.69</v>
      </c>
      <c r="J88">
        <v>65.180000000000007</v>
      </c>
    </row>
    <row r="89" spans="1:10" x14ac:dyDescent="0.25">
      <c r="A89" s="328" t="s">
        <v>772</v>
      </c>
      <c r="B89">
        <v>65.09</v>
      </c>
      <c r="C89">
        <v>64.900000000000006</v>
      </c>
      <c r="D89">
        <v>64.86</v>
      </c>
      <c r="E89">
        <v>65.349999999999994</v>
      </c>
      <c r="F89">
        <v>65.58</v>
      </c>
      <c r="G89">
        <v>65.73</v>
      </c>
      <c r="H89">
        <v>65.55</v>
      </c>
      <c r="I89">
        <v>65.98</v>
      </c>
      <c r="J89">
        <v>65.52</v>
      </c>
    </row>
    <row r="90" spans="1:10" x14ac:dyDescent="0.25">
      <c r="A90" s="328" t="s">
        <v>773</v>
      </c>
      <c r="B90">
        <v>65.5</v>
      </c>
      <c r="C90">
        <v>65.27</v>
      </c>
      <c r="D90">
        <v>65.19</v>
      </c>
      <c r="E90">
        <v>65.66</v>
      </c>
      <c r="F90">
        <v>65.88</v>
      </c>
      <c r="G90">
        <v>66.12</v>
      </c>
      <c r="H90">
        <v>65.89</v>
      </c>
      <c r="I90">
        <v>66.3</v>
      </c>
      <c r="J90">
        <v>65.819999999999993</v>
      </c>
    </row>
    <row r="91" spans="1:10" x14ac:dyDescent="0.25">
      <c r="A91" s="328" t="s">
        <v>774</v>
      </c>
      <c r="B91">
        <v>65.8</v>
      </c>
      <c r="C91">
        <v>65.58</v>
      </c>
      <c r="D91">
        <v>65.52</v>
      </c>
      <c r="E91">
        <v>65.959999999999994</v>
      </c>
      <c r="F91">
        <v>66.180000000000007</v>
      </c>
      <c r="G91">
        <v>66.38</v>
      </c>
      <c r="H91">
        <v>66.19</v>
      </c>
      <c r="I91">
        <v>66.599999999999994</v>
      </c>
      <c r="J91">
        <v>66.180000000000007</v>
      </c>
    </row>
    <row r="92" spans="1:10" x14ac:dyDescent="0.25">
      <c r="A92" s="328" t="s">
        <v>775</v>
      </c>
      <c r="B92">
        <v>66.150000000000006</v>
      </c>
      <c r="C92">
        <v>65.849999999999994</v>
      </c>
      <c r="D92">
        <v>65.87</v>
      </c>
      <c r="E92">
        <v>66.31</v>
      </c>
      <c r="F92">
        <v>66.5</v>
      </c>
      <c r="G92">
        <v>66.709999999999994</v>
      </c>
      <c r="H92">
        <v>66.540000000000006</v>
      </c>
      <c r="I92">
        <v>66.930000000000007</v>
      </c>
      <c r="J92">
        <v>66.489999999999995</v>
      </c>
    </row>
    <row r="93" spans="1:10" x14ac:dyDescent="0.25">
      <c r="A93" s="328" t="s">
        <v>776</v>
      </c>
      <c r="B93">
        <v>66.42</v>
      </c>
      <c r="C93">
        <v>66.2</v>
      </c>
      <c r="D93">
        <v>66.17</v>
      </c>
      <c r="E93">
        <v>66.66</v>
      </c>
      <c r="F93">
        <v>66.75</v>
      </c>
      <c r="G93">
        <v>67.09</v>
      </c>
      <c r="H93">
        <v>66.89</v>
      </c>
      <c r="I93">
        <v>67.31</v>
      </c>
      <c r="J93">
        <v>66.84</v>
      </c>
    </row>
    <row r="94" spans="1:10" x14ac:dyDescent="0.25">
      <c r="A94" s="328" t="s">
        <v>777</v>
      </c>
      <c r="B94">
        <v>66.87</v>
      </c>
      <c r="C94">
        <v>66.59</v>
      </c>
      <c r="D94">
        <v>66.56</v>
      </c>
      <c r="E94">
        <v>66.989999999999995</v>
      </c>
      <c r="F94">
        <v>67.2</v>
      </c>
      <c r="G94">
        <v>67.44</v>
      </c>
      <c r="H94">
        <v>67.22</v>
      </c>
      <c r="I94">
        <v>67.650000000000006</v>
      </c>
      <c r="J94">
        <v>67.13</v>
      </c>
    </row>
    <row r="95" spans="1:10" x14ac:dyDescent="0.25">
      <c r="A95" s="328" t="s">
        <v>778</v>
      </c>
      <c r="B95">
        <v>67.11</v>
      </c>
      <c r="C95">
        <v>66.87</v>
      </c>
      <c r="D95">
        <v>66.84</v>
      </c>
      <c r="E95">
        <v>67.260000000000005</v>
      </c>
      <c r="F95">
        <v>67.44</v>
      </c>
      <c r="G95">
        <v>67.739999999999995</v>
      </c>
      <c r="H95">
        <v>67.55</v>
      </c>
      <c r="I95">
        <v>68</v>
      </c>
      <c r="J95">
        <v>67.42</v>
      </c>
    </row>
    <row r="96" spans="1:10" x14ac:dyDescent="0.25">
      <c r="A96" s="328" t="s">
        <v>779</v>
      </c>
      <c r="B96">
        <v>67.5</v>
      </c>
      <c r="C96">
        <v>67.239999999999995</v>
      </c>
      <c r="D96">
        <v>67.25</v>
      </c>
      <c r="E96">
        <v>67.67</v>
      </c>
      <c r="F96">
        <v>67.87</v>
      </c>
      <c r="G96">
        <v>68.08</v>
      </c>
      <c r="H96">
        <v>67.92</v>
      </c>
      <c r="I96">
        <v>68.33</v>
      </c>
      <c r="J96">
        <v>67.819999999999993</v>
      </c>
    </row>
    <row r="97" spans="1:10" x14ac:dyDescent="0.25">
      <c r="A97" s="328" t="s">
        <v>780</v>
      </c>
      <c r="B97">
        <v>67.760000000000005</v>
      </c>
      <c r="C97">
        <v>67.59</v>
      </c>
      <c r="D97">
        <v>67.53</v>
      </c>
      <c r="E97">
        <v>67.959999999999994</v>
      </c>
      <c r="F97">
        <v>68.180000000000007</v>
      </c>
      <c r="G97">
        <v>68.48</v>
      </c>
      <c r="H97">
        <v>68.23</v>
      </c>
      <c r="I97">
        <v>68.650000000000006</v>
      </c>
      <c r="J97">
        <v>68.14</v>
      </c>
    </row>
    <row r="98" spans="1:10" x14ac:dyDescent="0.25">
      <c r="A98" s="328" t="s">
        <v>781</v>
      </c>
      <c r="B98">
        <v>68.099999999999994</v>
      </c>
      <c r="C98">
        <v>67.87</v>
      </c>
      <c r="D98">
        <v>67.81</v>
      </c>
      <c r="E98">
        <v>68.3</v>
      </c>
      <c r="F98">
        <v>68.540000000000006</v>
      </c>
      <c r="G98">
        <v>68.78</v>
      </c>
      <c r="H98">
        <v>68.55</v>
      </c>
      <c r="I98">
        <v>69.010000000000005</v>
      </c>
      <c r="J98">
        <v>68.52</v>
      </c>
    </row>
    <row r="99" spans="1:10" x14ac:dyDescent="0.25">
      <c r="A99" s="328" t="s">
        <v>782</v>
      </c>
      <c r="B99">
        <v>68.45</v>
      </c>
      <c r="C99">
        <v>68.19</v>
      </c>
      <c r="D99">
        <v>68.150000000000006</v>
      </c>
      <c r="E99">
        <v>68.64</v>
      </c>
      <c r="F99">
        <v>68.849999999999994</v>
      </c>
      <c r="G99">
        <v>69.14</v>
      </c>
      <c r="H99">
        <v>68.89</v>
      </c>
      <c r="I99">
        <v>69.33</v>
      </c>
      <c r="J99">
        <v>68.819999999999993</v>
      </c>
    </row>
    <row r="100" spans="1:10" x14ac:dyDescent="0.25">
      <c r="A100" s="328" t="s">
        <v>783</v>
      </c>
      <c r="B100">
        <v>68.77</v>
      </c>
      <c r="C100">
        <v>68.52</v>
      </c>
      <c r="D100">
        <v>68.489999999999995</v>
      </c>
      <c r="E100">
        <v>68.94</v>
      </c>
      <c r="F100">
        <v>69.239999999999995</v>
      </c>
      <c r="G100">
        <v>69.45</v>
      </c>
      <c r="H100">
        <v>69.22</v>
      </c>
      <c r="I100">
        <v>69.67</v>
      </c>
      <c r="J100">
        <v>69.17</v>
      </c>
    </row>
    <row r="101" spans="1:10" x14ac:dyDescent="0.25">
      <c r="A101" s="328" t="s">
        <v>784</v>
      </c>
      <c r="B101">
        <v>69.22</v>
      </c>
      <c r="C101">
        <v>68.92</v>
      </c>
      <c r="D101">
        <v>68.88</v>
      </c>
      <c r="E101">
        <v>69.34</v>
      </c>
      <c r="F101">
        <v>69.489999999999995</v>
      </c>
      <c r="G101">
        <v>69.78</v>
      </c>
      <c r="H101">
        <v>69.599999999999994</v>
      </c>
      <c r="I101">
        <v>70</v>
      </c>
      <c r="J101">
        <v>69.489999999999995</v>
      </c>
    </row>
    <row r="102" spans="1:10" x14ac:dyDescent="0.25">
      <c r="A102" s="328" t="s">
        <v>785</v>
      </c>
      <c r="B102">
        <v>69.45</v>
      </c>
      <c r="C102">
        <v>69.23</v>
      </c>
      <c r="D102">
        <v>69.17</v>
      </c>
      <c r="E102">
        <v>69.63</v>
      </c>
      <c r="F102">
        <v>69.739999999999995</v>
      </c>
      <c r="G102">
        <v>70.08</v>
      </c>
      <c r="H102">
        <v>69.88</v>
      </c>
      <c r="I102">
        <v>70.290000000000006</v>
      </c>
      <c r="J102">
        <v>69.760000000000005</v>
      </c>
    </row>
    <row r="103" spans="1:10" x14ac:dyDescent="0.25">
      <c r="A103" s="328" t="s">
        <v>786</v>
      </c>
      <c r="B103">
        <v>69.75</v>
      </c>
      <c r="C103">
        <v>69.52</v>
      </c>
      <c r="D103">
        <v>69.48</v>
      </c>
      <c r="E103">
        <v>69.92</v>
      </c>
      <c r="F103">
        <v>70.040000000000006</v>
      </c>
      <c r="G103">
        <v>70.39</v>
      </c>
      <c r="H103">
        <v>70.180000000000007</v>
      </c>
      <c r="I103">
        <v>70.599999999999994</v>
      </c>
      <c r="J103">
        <v>70.05</v>
      </c>
    </row>
    <row r="104" spans="1:10" x14ac:dyDescent="0.25">
      <c r="A104" s="328" t="s">
        <v>787</v>
      </c>
      <c r="B104">
        <v>70.14</v>
      </c>
      <c r="C104">
        <v>69.86</v>
      </c>
      <c r="D104">
        <v>69.83</v>
      </c>
      <c r="E104">
        <v>70.31</v>
      </c>
      <c r="F104">
        <v>70.38</v>
      </c>
      <c r="G104">
        <v>70.73</v>
      </c>
      <c r="H104">
        <v>70.52</v>
      </c>
      <c r="I104">
        <v>70.959999999999994</v>
      </c>
      <c r="J104">
        <v>70.47</v>
      </c>
    </row>
    <row r="105" spans="1:10" x14ac:dyDescent="0.25">
      <c r="A105" s="328" t="s">
        <v>788</v>
      </c>
      <c r="B105">
        <v>70.400000000000006</v>
      </c>
      <c r="C105">
        <v>70.16</v>
      </c>
      <c r="D105">
        <v>70.09</v>
      </c>
      <c r="E105">
        <v>70.55</v>
      </c>
      <c r="F105">
        <v>70.680000000000007</v>
      </c>
      <c r="G105">
        <v>71.06</v>
      </c>
      <c r="H105">
        <v>70.86</v>
      </c>
      <c r="I105">
        <v>71.28</v>
      </c>
      <c r="J105">
        <v>70.77</v>
      </c>
    </row>
    <row r="106" spans="1:10" x14ac:dyDescent="0.25">
      <c r="A106" s="328" t="s">
        <v>789</v>
      </c>
      <c r="B106">
        <v>70.73</v>
      </c>
      <c r="C106">
        <v>70.540000000000006</v>
      </c>
      <c r="D106">
        <v>70.5</v>
      </c>
      <c r="E106">
        <v>70.92</v>
      </c>
      <c r="F106">
        <v>71.13</v>
      </c>
      <c r="G106">
        <v>71.47</v>
      </c>
      <c r="H106">
        <v>71.22</v>
      </c>
      <c r="I106">
        <v>71.69</v>
      </c>
      <c r="J106">
        <v>71.13</v>
      </c>
    </row>
    <row r="107" spans="1:10" x14ac:dyDescent="0.25">
      <c r="A107" s="328" t="s">
        <v>790</v>
      </c>
      <c r="B107">
        <v>71.08</v>
      </c>
      <c r="C107">
        <v>70.86</v>
      </c>
      <c r="D107">
        <v>70.84</v>
      </c>
      <c r="E107">
        <v>71.23</v>
      </c>
      <c r="F107">
        <v>71.430000000000007</v>
      </c>
      <c r="G107">
        <v>71.83</v>
      </c>
      <c r="H107">
        <v>71.55</v>
      </c>
      <c r="I107">
        <v>71.989999999999995</v>
      </c>
      <c r="J107">
        <v>71.44</v>
      </c>
    </row>
    <row r="108" spans="1:10" x14ac:dyDescent="0.25">
      <c r="A108" s="328" t="s">
        <v>791</v>
      </c>
      <c r="B108">
        <v>71.430000000000007</v>
      </c>
      <c r="C108">
        <v>71.23</v>
      </c>
      <c r="D108">
        <v>71.180000000000007</v>
      </c>
      <c r="E108">
        <v>71.64</v>
      </c>
      <c r="F108">
        <v>71.73</v>
      </c>
      <c r="G108">
        <v>72.16</v>
      </c>
      <c r="H108">
        <v>71.91</v>
      </c>
      <c r="I108">
        <v>72.34</v>
      </c>
      <c r="J108">
        <v>71.77</v>
      </c>
    </row>
    <row r="109" spans="1:10" x14ac:dyDescent="0.25">
      <c r="A109" s="328" t="s">
        <v>792</v>
      </c>
      <c r="B109">
        <v>71.7</v>
      </c>
      <c r="C109">
        <v>71.540000000000006</v>
      </c>
      <c r="D109">
        <v>71.510000000000005</v>
      </c>
      <c r="E109">
        <v>71.930000000000007</v>
      </c>
      <c r="F109">
        <v>72.13</v>
      </c>
      <c r="G109">
        <v>72.44</v>
      </c>
      <c r="H109">
        <v>72.27</v>
      </c>
      <c r="I109">
        <v>72.7</v>
      </c>
      <c r="J109">
        <v>72.19</v>
      </c>
    </row>
    <row r="110" spans="1:10" x14ac:dyDescent="0.25">
      <c r="A110" s="328" t="s">
        <v>793</v>
      </c>
      <c r="B110">
        <v>72.209999999999994</v>
      </c>
      <c r="C110">
        <v>71.89</v>
      </c>
      <c r="D110">
        <v>71.84</v>
      </c>
      <c r="E110">
        <v>72.319999999999993</v>
      </c>
      <c r="F110">
        <v>72.459999999999994</v>
      </c>
      <c r="G110">
        <v>72.86</v>
      </c>
      <c r="H110">
        <v>72.540000000000006</v>
      </c>
      <c r="I110">
        <v>73.03</v>
      </c>
      <c r="J110">
        <v>72.489999999999995</v>
      </c>
    </row>
    <row r="111" spans="1:10" x14ac:dyDescent="0.25">
      <c r="A111" s="328" t="s">
        <v>794</v>
      </c>
      <c r="B111">
        <v>72.47</v>
      </c>
      <c r="C111">
        <v>72.2</v>
      </c>
      <c r="D111">
        <v>72.2</v>
      </c>
      <c r="E111">
        <v>72.680000000000007</v>
      </c>
      <c r="F111">
        <v>72.81</v>
      </c>
      <c r="G111">
        <v>73.13</v>
      </c>
      <c r="H111">
        <v>72.94</v>
      </c>
      <c r="I111">
        <v>73.42</v>
      </c>
      <c r="J111">
        <v>72.86</v>
      </c>
    </row>
    <row r="112" spans="1:10" x14ac:dyDescent="0.25">
      <c r="A112" s="328" t="s">
        <v>795</v>
      </c>
      <c r="B112">
        <v>72.81</v>
      </c>
      <c r="C112">
        <v>72.569999999999993</v>
      </c>
      <c r="D112">
        <v>72.53</v>
      </c>
      <c r="E112">
        <v>73.010000000000005</v>
      </c>
      <c r="F112">
        <v>73.08</v>
      </c>
      <c r="G112">
        <v>73.52</v>
      </c>
      <c r="H112">
        <v>73.27</v>
      </c>
      <c r="I112">
        <v>73.739999999999995</v>
      </c>
      <c r="J112">
        <v>73.19</v>
      </c>
    </row>
    <row r="113" spans="1:10" x14ac:dyDescent="0.25">
      <c r="A113" s="328" t="s">
        <v>796</v>
      </c>
      <c r="B113">
        <v>73.16</v>
      </c>
      <c r="C113">
        <v>72.900000000000006</v>
      </c>
      <c r="D113">
        <v>72.84</v>
      </c>
      <c r="E113">
        <v>73.34</v>
      </c>
      <c r="F113">
        <v>73.400000000000006</v>
      </c>
      <c r="G113">
        <v>73.849999999999994</v>
      </c>
      <c r="H113">
        <v>73.61</v>
      </c>
      <c r="I113">
        <v>74.08</v>
      </c>
      <c r="J113">
        <v>73.5</v>
      </c>
    </row>
    <row r="114" spans="1:10" x14ac:dyDescent="0.25">
      <c r="A114" s="328" t="s">
        <v>797</v>
      </c>
      <c r="B114">
        <v>73.52</v>
      </c>
      <c r="C114">
        <v>73.239999999999995</v>
      </c>
      <c r="D114">
        <v>73.2</v>
      </c>
      <c r="E114">
        <v>73.680000000000007</v>
      </c>
      <c r="F114">
        <v>73.760000000000005</v>
      </c>
      <c r="G114">
        <v>74.040000000000006</v>
      </c>
      <c r="H114">
        <v>73.900000000000006</v>
      </c>
      <c r="I114">
        <v>74.34</v>
      </c>
      <c r="J114">
        <v>73.77</v>
      </c>
    </row>
    <row r="115" spans="1:10" x14ac:dyDescent="0.25">
      <c r="A115" s="328" t="s">
        <v>798</v>
      </c>
      <c r="B115">
        <v>73.86</v>
      </c>
      <c r="C115">
        <v>73.540000000000006</v>
      </c>
      <c r="D115">
        <v>73.52</v>
      </c>
      <c r="E115">
        <v>73.98</v>
      </c>
      <c r="F115">
        <v>74.069999999999993</v>
      </c>
      <c r="G115">
        <v>74.53</v>
      </c>
      <c r="H115">
        <v>74.239999999999995</v>
      </c>
      <c r="I115">
        <v>74.72</v>
      </c>
      <c r="J115">
        <v>74.13</v>
      </c>
    </row>
    <row r="116" spans="1:10" x14ac:dyDescent="0.25">
      <c r="A116" s="328" t="s">
        <v>799</v>
      </c>
      <c r="B116">
        <v>74.13</v>
      </c>
      <c r="C116">
        <v>73.89</v>
      </c>
      <c r="D116">
        <v>73.849999999999994</v>
      </c>
      <c r="E116">
        <v>74.3</v>
      </c>
      <c r="F116">
        <v>74.53</v>
      </c>
      <c r="G116">
        <v>74.81</v>
      </c>
      <c r="H116">
        <v>74.56</v>
      </c>
      <c r="I116">
        <v>75.02</v>
      </c>
      <c r="J116">
        <v>74.42</v>
      </c>
    </row>
    <row r="117" spans="1:10" x14ac:dyDescent="0.25">
      <c r="A117" s="328" t="s">
        <v>800</v>
      </c>
      <c r="B117">
        <v>74.5</v>
      </c>
      <c r="C117">
        <v>74.239999999999995</v>
      </c>
      <c r="D117">
        <v>74.14</v>
      </c>
      <c r="E117">
        <v>74.599999999999994</v>
      </c>
      <c r="F117">
        <v>74.8</v>
      </c>
      <c r="G117">
        <v>75.2</v>
      </c>
      <c r="H117">
        <v>74.930000000000007</v>
      </c>
      <c r="I117">
        <v>75.349999999999994</v>
      </c>
      <c r="J117">
        <v>74.81</v>
      </c>
    </row>
    <row r="118" spans="1:10" x14ac:dyDescent="0.25">
      <c r="A118" s="328" t="s">
        <v>801</v>
      </c>
      <c r="B118">
        <v>74.790000000000006</v>
      </c>
      <c r="C118">
        <v>74.53</v>
      </c>
      <c r="D118">
        <v>74.459999999999994</v>
      </c>
      <c r="E118">
        <v>74.900000000000006</v>
      </c>
      <c r="F118">
        <v>75.14</v>
      </c>
      <c r="G118">
        <v>75.48</v>
      </c>
      <c r="H118">
        <v>75.22</v>
      </c>
      <c r="I118">
        <v>75.709999999999994</v>
      </c>
      <c r="J118">
        <v>75.099999999999994</v>
      </c>
    </row>
    <row r="119" spans="1:10" x14ac:dyDescent="0.25">
      <c r="A119" s="328" t="s">
        <v>802</v>
      </c>
      <c r="B119">
        <v>75.13</v>
      </c>
      <c r="C119">
        <v>74.83</v>
      </c>
      <c r="D119">
        <v>74.790000000000006</v>
      </c>
      <c r="E119">
        <v>75.260000000000005</v>
      </c>
      <c r="F119">
        <v>75.48</v>
      </c>
      <c r="G119">
        <v>75.819999999999993</v>
      </c>
      <c r="H119">
        <v>75.599999999999994</v>
      </c>
      <c r="I119">
        <v>76.05</v>
      </c>
      <c r="J119">
        <v>75.459999999999994</v>
      </c>
    </row>
    <row r="120" spans="1:10" x14ac:dyDescent="0.25">
      <c r="A120" s="328" t="s">
        <v>803</v>
      </c>
      <c r="B120">
        <v>75.400000000000006</v>
      </c>
      <c r="C120">
        <v>75.19</v>
      </c>
      <c r="D120">
        <v>75.14</v>
      </c>
      <c r="E120">
        <v>75.59</v>
      </c>
      <c r="F120">
        <v>75.819999999999993</v>
      </c>
      <c r="G120">
        <v>76.23</v>
      </c>
      <c r="H120">
        <v>75.86</v>
      </c>
      <c r="I120">
        <v>76.349999999999994</v>
      </c>
      <c r="J120">
        <v>75.8</v>
      </c>
    </row>
    <row r="121" spans="1:10" x14ac:dyDescent="0.25">
      <c r="A121" s="328" t="s">
        <v>804</v>
      </c>
      <c r="B121">
        <v>75.84</v>
      </c>
      <c r="C121">
        <v>75.540000000000006</v>
      </c>
      <c r="D121">
        <v>75.47</v>
      </c>
      <c r="E121">
        <v>75.959999999999994</v>
      </c>
      <c r="F121">
        <v>76.13</v>
      </c>
      <c r="G121">
        <v>76.489999999999995</v>
      </c>
      <c r="H121">
        <v>76.239999999999995</v>
      </c>
      <c r="I121">
        <v>76.64</v>
      </c>
      <c r="J121">
        <v>76.13</v>
      </c>
    </row>
    <row r="122" spans="1:10" x14ac:dyDescent="0.25">
      <c r="A122" s="328" t="s">
        <v>805</v>
      </c>
      <c r="B122">
        <v>76.209999999999994</v>
      </c>
      <c r="C122">
        <v>75.89</v>
      </c>
      <c r="D122">
        <v>75.81</v>
      </c>
      <c r="E122">
        <v>76.290000000000006</v>
      </c>
      <c r="F122">
        <v>76.44</v>
      </c>
      <c r="G122">
        <v>76.91</v>
      </c>
      <c r="H122">
        <v>76.58</v>
      </c>
      <c r="I122">
        <v>77.069999999999993</v>
      </c>
      <c r="J122">
        <v>76.489999999999995</v>
      </c>
    </row>
    <row r="123" spans="1:10" x14ac:dyDescent="0.25">
      <c r="A123" s="328" t="s">
        <v>806</v>
      </c>
      <c r="B123">
        <v>76.489999999999995</v>
      </c>
      <c r="C123">
        <v>76.239999999999995</v>
      </c>
      <c r="D123">
        <v>76.16</v>
      </c>
      <c r="E123">
        <v>76.62</v>
      </c>
      <c r="F123">
        <v>76.83</v>
      </c>
      <c r="G123">
        <v>77.17</v>
      </c>
      <c r="H123">
        <v>76.930000000000007</v>
      </c>
      <c r="I123">
        <v>77.39</v>
      </c>
      <c r="J123">
        <v>76.78</v>
      </c>
    </row>
    <row r="124" spans="1:10" x14ac:dyDescent="0.25">
      <c r="A124" s="328" t="s">
        <v>807</v>
      </c>
      <c r="B124">
        <v>76.790000000000006</v>
      </c>
      <c r="C124">
        <v>76.569999999999993</v>
      </c>
      <c r="D124">
        <v>76.48</v>
      </c>
      <c r="E124">
        <v>76.95</v>
      </c>
      <c r="F124">
        <v>77.14</v>
      </c>
      <c r="G124">
        <v>77.61</v>
      </c>
      <c r="H124">
        <v>77.27</v>
      </c>
      <c r="I124">
        <v>77.72</v>
      </c>
      <c r="J124">
        <v>77.11</v>
      </c>
    </row>
    <row r="125" spans="1:10" x14ac:dyDescent="0.25">
      <c r="A125" s="328" t="s">
        <v>808</v>
      </c>
      <c r="B125">
        <v>77.08</v>
      </c>
      <c r="C125">
        <v>76.83</v>
      </c>
      <c r="D125">
        <v>76.790000000000006</v>
      </c>
      <c r="E125">
        <v>77.28</v>
      </c>
      <c r="F125">
        <v>77.38</v>
      </c>
      <c r="G125">
        <v>77.83</v>
      </c>
      <c r="H125">
        <v>77.52</v>
      </c>
      <c r="I125">
        <v>78.02</v>
      </c>
      <c r="J125">
        <v>77.489999999999995</v>
      </c>
    </row>
    <row r="126" spans="1:10" x14ac:dyDescent="0.25">
      <c r="A126" s="328" t="s">
        <v>809</v>
      </c>
      <c r="B126">
        <v>77.45</v>
      </c>
      <c r="C126">
        <v>77.14</v>
      </c>
      <c r="D126">
        <v>77.08</v>
      </c>
      <c r="E126">
        <v>77.56</v>
      </c>
      <c r="F126">
        <v>77.73</v>
      </c>
      <c r="G126">
        <v>78.14</v>
      </c>
      <c r="H126">
        <v>77.88</v>
      </c>
      <c r="I126">
        <v>78.36</v>
      </c>
      <c r="J126">
        <v>77.72</v>
      </c>
    </row>
    <row r="127" spans="1:10" x14ac:dyDescent="0.25">
      <c r="A127" s="328" t="s">
        <v>810</v>
      </c>
      <c r="B127">
        <v>77.790000000000006</v>
      </c>
      <c r="C127">
        <v>77.45</v>
      </c>
      <c r="D127">
        <v>77.45</v>
      </c>
      <c r="E127">
        <v>77.92</v>
      </c>
      <c r="F127">
        <v>78.09</v>
      </c>
      <c r="G127">
        <v>78.53</v>
      </c>
      <c r="H127">
        <v>78.25</v>
      </c>
      <c r="I127">
        <v>78.709999999999994</v>
      </c>
      <c r="J127">
        <v>78.099999999999994</v>
      </c>
    </row>
    <row r="128" spans="1:10" x14ac:dyDescent="0.25">
      <c r="A128" s="328" t="s">
        <v>811</v>
      </c>
      <c r="B128">
        <v>78.14</v>
      </c>
      <c r="C128">
        <v>77.88</v>
      </c>
      <c r="D128">
        <v>77.790000000000006</v>
      </c>
      <c r="E128">
        <v>78.33</v>
      </c>
      <c r="F128">
        <v>78.38</v>
      </c>
      <c r="G128">
        <v>78.849999999999994</v>
      </c>
      <c r="H128">
        <v>78.59</v>
      </c>
      <c r="I128">
        <v>79.069999999999993</v>
      </c>
      <c r="J128">
        <v>78.47</v>
      </c>
    </row>
    <row r="129" spans="1:10" x14ac:dyDescent="0.25">
      <c r="A129" s="328" t="s">
        <v>812</v>
      </c>
      <c r="B129">
        <v>78.42</v>
      </c>
      <c r="C129">
        <v>78.16</v>
      </c>
      <c r="D129">
        <v>78.13</v>
      </c>
      <c r="E129">
        <v>78.59</v>
      </c>
      <c r="F129">
        <v>78.62</v>
      </c>
      <c r="G129">
        <v>79.22</v>
      </c>
      <c r="H129">
        <v>78.89</v>
      </c>
      <c r="I129">
        <v>79.319999999999993</v>
      </c>
      <c r="J129">
        <v>78.66</v>
      </c>
    </row>
    <row r="130" spans="1:10" x14ac:dyDescent="0.25">
      <c r="A130" s="328" t="s">
        <v>813</v>
      </c>
      <c r="B130">
        <v>78.739999999999995</v>
      </c>
      <c r="C130">
        <v>78.489999999999995</v>
      </c>
      <c r="D130">
        <v>78.44</v>
      </c>
      <c r="E130">
        <v>78.92</v>
      </c>
      <c r="F130">
        <v>79.06</v>
      </c>
      <c r="G130">
        <v>79.489999999999995</v>
      </c>
      <c r="H130">
        <v>79.22</v>
      </c>
      <c r="I130">
        <v>79.73</v>
      </c>
      <c r="J130">
        <v>79.069999999999993</v>
      </c>
    </row>
    <row r="131" spans="1:10" x14ac:dyDescent="0.25">
      <c r="A131" s="328" t="s">
        <v>814</v>
      </c>
      <c r="B131">
        <v>79.09</v>
      </c>
      <c r="C131">
        <v>78.86</v>
      </c>
      <c r="D131">
        <v>78.790000000000006</v>
      </c>
      <c r="E131">
        <v>79.27</v>
      </c>
      <c r="F131">
        <v>79.459999999999994</v>
      </c>
      <c r="G131">
        <v>79.930000000000007</v>
      </c>
      <c r="H131">
        <v>79.61</v>
      </c>
      <c r="I131">
        <v>80.13</v>
      </c>
      <c r="J131">
        <v>79.48</v>
      </c>
    </row>
    <row r="132" spans="1:10" x14ac:dyDescent="0.25">
      <c r="A132" s="328" t="s">
        <v>815</v>
      </c>
      <c r="B132">
        <v>79.48</v>
      </c>
      <c r="C132">
        <v>79.209999999999994</v>
      </c>
      <c r="D132">
        <v>79.14</v>
      </c>
      <c r="E132">
        <v>79.66</v>
      </c>
      <c r="F132">
        <v>79.72</v>
      </c>
      <c r="G132">
        <v>80.209999999999994</v>
      </c>
      <c r="H132">
        <v>79.92</v>
      </c>
      <c r="I132">
        <v>80.39</v>
      </c>
      <c r="J132">
        <v>79.78</v>
      </c>
    </row>
    <row r="133" spans="1:10" x14ac:dyDescent="0.25">
      <c r="A133" s="328" t="s">
        <v>816</v>
      </c>
      <c r="B133">
        <v>79.83</v>
      </c>
      <c r="C133">
        <v>79.569999999999993</v>
      </c>
      <c r="D133">
        <v>79.510000000000005</v>
      </c>
      <c r="E133">
        <v>79.98</v>
      </c>
      <c r="F133">
        <v>80.14</v>
      </c>
      <c r="G133">
        <v>80.63</v>
      </c>
      <c r="H133">
        <v>80.33</v>
      </c>
      <c r="I133">
        <v>80.78</v>
      </c>
      <c r="J133">
        <v>80.180000000000007</v>
      </c>
    </row>
    <row r="134" spans="1:10" x14ac:dyDescent="0.25">
      <c r="A134" s="328" t="s">
        <v>817</v>
      </c>
      <c r="B134">
        <v>80.180000000000007</v>
      </c>
      <c r="C134">
        <v>79.92</v>
      </c>
      <c r="D134">
        <v>79.86</v>
      </c>
      <c r="E134">
        <v>80.349999999999994</v>
      </c>
      <c r="F134">
        <v>80.42</v>
      </c>
      <c r="G134">
        <v>80.87</v>
      </c>
      <c r="H134">
        <v>80.62</v>
      </c>
      <c r="I134">
        <v>81.08</v>
      </c>
      <c r="J134">
        <v>80.47</v>
      </c>
    </row>
    <row r="135" spans="1:10" x14ac:dyDescent="0.25">
      <c r="A135" s="328" t="s">
        <v>818</v>
      </c>
      <c r="B135">
        <v>80.459999999999994</v>
      </c>
      <c r="C135">
        <v>80.180000000000007</v>
      </c>
      <c r="D135">
        <v>80.14</v>
      </c>
      <c r="E135">
        <v>80.650000000000006</v>
      </c>
      <c r="F135">
        <v>80.73</v>
      </c>
      <c r="G135">
        <v>81.260000000000005</v>
      </c>
      <c r="H135">
        <v>80.97</v>
      </c>
      <c r="I135">
        <v>81.45</v>
      </c>
      <c r="J135">
        <v>80.8</v>
      </c>
    </row>
    <row r="136" spans="1:10" x14ac:dyDescent="0.25">
      <c r="A136" s="328" t="s">
        <v>819</v>
      </c>
      <c r="B136">
        <v>80.83</v>
      </c>
      <c r="C136">
        <v>80.52</v>
      </c>
      <c r="D136">
        <v>80.47</v>
      </c>
      <c r="E136">
        <v>81</v>
      </c>
      <c r="F136">
        <v>81.150000000000006</v>
      </c>
      <c r="G136">
        <v>81.61</v>
      </c>
      <c r="H136">
        <v>81.27</v>
      </c>
      <c r="I136">
        <v>81.790000000000006</v>
      </c>
      <c r="J136">
        <v>81.150000000000006</v>
      </c>
    </row>
    <row r="137" spans="1:10" x14ac:dyDescent="0.25">
      <c r="A137" s="328" t="s">
        <v>820</v>
      </c>
      <c r="B137">
        <v>81.09</v>
      </c>
      <c r="C137">
        <v>80.819999999999993</v>
      </c>
      <c r="D137">
        <v>80.790000000000006</v>
      </c>
      <c r="E137">
        <v>81.31</v>
      </c>
      <c r="F137">
        <v>81.34</v>
      </c>
      <c r="G137">
        <v>81.89</v>
      </c>
      <c r="H137">
        <v>81.59</v>
      </c>
      <c r="I137">
        <v>82.11</v>
      </c>
      <c r="J137">
        <v>81.47</v>
      </c>
    </row>
    <row r="138" spans="1:10" x14ac:dyDescent="0.25">
      <c r="A138" s="328" t="s">
        <v>821</v>
      </c>
      <c r="B138">
        <v>81.42</v>
      </c>
      <c r="C138">
        <v>81.08</v>
      </c>
      <c r="D138">
        <v>81</v>
      </c>
      <c r="E138">
        <v>81.47</v>
      </c>
      <c r="F138">
        <v>81.459999999999994</v>
      </c>
      <c r="G138">
        <v>82.09</v>
      </c>
      <c r="H138">
        <v>81.8</v>
      </c>
      <c r="I138">
        <v>82.23</v>
      </c>
      <c r="J138">
        <v>81.599999999999994</v>
      </c>
    </row>
    <row r="139" spans="1:10" x14ac:dyDescent="0.25">
      <c r="A139" s="328" t="s">
        <v>822</v>
      </c>
      <c r="B139">
        <v>81.37</v>
      </c>
      <c r="C139">
        <v>81.180000000000007</v>
      </c>
      <c r="D139">
        <v>81.09</v>
      </c>
      <c r="E139">
        <v>81.47</v>
      </c>
      <c r="F139">
        <v>81.540000000000006</v>
      </c>
      <c r="G139">
        <v>82.11</v>
      </c>
      <c r="H139">
        <v>81.81</v>
      </c>
      <c r="I139">
        <v>82.21</v>
      </c>
      <c r="J139">
        <v>81.62</v>
      </c>
    </row>
    <row r="140" spans="1:10" x14ac:dyDescent="0.25">
      <c r="A140" s="328" t="s">
        <v>823</v>
      </c>
      <c r="B140">
        <v>81.400000000000006</v>
      </c>
      <c r="C140">
        <v>81.14</v>
      </c>
      <c r="D140">
        <v>81.069999999999993</v>
      </c>
      <c r="E140">
        <v>81.48</v>
      </c>
      <c r="F140">
        <v>81.349999999999994</v>
      </c>
      <c r="G140">
        <v>82.04</v>
      </c>
      <c r="H140">
        <v>81.78</v>
      </c>
      <c r="I140">
        <v>82.09</v>
      </c>
      <c r="J140">
        <v>81.58</v>
      </c>
    </row>
    <row r="141" spans="1:10" x14ac:dyDescent="0.25">
      <c r="A141" s="328" t="s">
        <v>824</v>
      </c>
      <c r="B141">
        <v>81.37</v>
      </c>
      <c r="C141">
        <v>81.13</v>
      </c>
      <c r="D141">
        <v>81.040000000000006</v>
      </c>
      <c r="E141">
        <v>81.400000000000006</v>
      </c>
      <c r="F141">
        <v>81.209999999999994</v>
      </c>
      <c r="G141">
        <v>81.92</v>
      </c>
      <c r="H141">
        <v>81.73</v>
      </c>
      <c r="I141">
        <v>82.03</v>
      </c>
      <c r="J141">
        <v>81.48</v>
      </c>
    </row>
    <row r="142" spans="1:10" x14ac:dyDescent="0.25">
      <c r="A142" s="328" t="s">
        <v>825</v>
      </c>
      <c r="B142">
        <v>81.260000000000005</v>
      </c>
      <c r="C142">
        <v>81.069999999999993</v>
      </c>
      <c r="D142">
        <v>81.010000000000005</v>
      </c>
      <c r="E142">
        <v>81.28</v>
      </c>
      <c r="F142">
        <v>81.06</v>
      </c>
      <c r="G142">
        <v>81.819999999999993</v>
      </c>
      <c r="H142">
        <v>81.63</v>
      </c>
      <c r="I142">
        <v>81.83</v>
      </c>
      <c r="J142">
        <v>81.33</v>
      </c>
    </row>
    <row r="143" spans="1:10" x14ac:dyDescent="0.25">
      <c r="A143" s="328" t="s">
        <v>826</v>
      </c>
      <c r="B143">
        <v>81.14</v>
      </c>
      <c r="C143">
        <v>80.97</v>
      </c>
      <c r="D143">
        <v>80.86</v>
      </c>
      <c r="E143">
        <v>81.12</v>
      </c>
      <c r="F143">
        <v>80.95</v>
      </c>
      <c r="G143">
        <v>81.709999999999994</v>
      </c>
      <c r="H143">
        <v>81.5</v>
      </c>
      <c r="I143">
        <v>81.709999999999994</v>
      </c>
      <c r="J143">
        <v>81.239999999999995</v>
      </c>
    </row>
    <row r="144" spans="1:10" x14ac:dyDescent="0.25">
      <c r="A144" s="328" t="s">
        <v>827</v>
      </c>
      <c r="B144">
        <v>81.099999999999994</v>
      </c>
      <c r="C144">
        <v>80.92</v>
      </c>
      <c r="D144">
        <v>80.86</v>
      </c>
      <c r="E144">
        <v>81.06</v>
      </c>
      <c r="F144">
        <v>80.849999999999994</v>
      </c>
      <c r="G144">
        <v>81.62</v>
      </c>
      <c r="H144">
        <v>81.39</v>
      </c>
      <c r="I144">
        <v>81.53</v>
      </c>
      <c r="J144">
        <v>81.12</v>
      </c>
    </row>
    <row r="145" spans="1:10" x14ac:dyDescent="0.25">
      <c r="A145" s="328" t="s">
        <v>828</v>
      </c>
      <c r="B145">
        <v>81.03</v>
      </c>
      <c r="C145">
        <v>80.88</v>
      </c>
      <c r="D145">
        <v>80.75</v>
      </c>
      <c r="E145">
        <v>80.989999999999995</v>
      </c>
      <c r="F145">
        <v>80.67</v>
      </c>
      <c r="G145">
        <v>81.56</v>
      </c>
      <c r="H145">
        <v>81.349999999999994</v>
      </c>
      <c r="I145">
        <v>81.510000000000005</v>
      </c>
      <c r="J145">
        <v>81.010000000000005</v>
      </c>
    </row>
    <row r="146" spans="1:10" x14ac:dyDescent="0.25">
      <c r="A146" s="328" t="s">
        <v>829</v>
      </c>
      <c r="B146">
        <v>80.959999999999994</v>
      </c>
      <c r="C146">
        <v>80.77</v>
      </c>
      <c r="D146">
        <v>80.680000000000007</v>
      </c>
      <c r="E146">
        <v>80.88</v>
      </c>
      <c r="F146">
        <v>80.56</v>
      </c>
      <c r="G146">
        <v>81.459999999999994</v>
      </c>
      <c r="H146">
        <v>81.239999999999995</v>
      </c>
      <c r="I146">
        <v>81.38</v>
      </c>
      <c r="J146">
        <v>80.87</v>
      </c>
    </row>
    <row r="147" spans="1:10" x14ac:dyDescent="0.25">
      <c r="A147" s="328" t="s">
        <v>830</v>
      </c>
      <c r="B147">
        <v>80.92</v>
      </c>
      <c r="C147">
        <v>80.73</v>
      </c>
      <c r="D147">
        <v>80.69</v>
      </c>
      <c r="E147">
        <v>80.83</v>
      </c>
      <c r="F147">
        <v>80.44</v>
      </c>
      <c r="G147">
        <v>81.400000000000006</v>
      </c>
      <c r="H147">
        <v>81.17</v>
      </c>
      <c r="I147">
        <v>81.31</v>
      </c>
      <c r="J147">
        <v>80.819999999999993</v>
      </c>
    </row>
    <row r="148" spans="1:10" x14ac:dyDescent="0.25">
      <c r="A148" s="328" t="s">
        <v>831</v>
      </c>
      <c r="B148">
        <v>80.819999999999993</v>
      </c>
      <c r="C148">
        <v>80.7</v>
      </c>
      <c r="D148">
        <v>80.62</v>
      </c>
      <c r="E148">
        <v>80.739999999999995</v>
      </c>
      <c r="F148">
        <v>80.459999999999994</v>
      </c>
      <c r="G148">
        <v>81.37</v>
      </c>
      <c r="H148">
        <v>81.09</v>
      </c>
      <c r="I148">
        <v>81.209999999999994</v>
      </c>
      <c r="J148">
        <v>80.760000000000005</v>
      </c>
    </row>
    <row r="149" spans="1:10" x14ac:dyDescent="0.25">
      <c r="A149" s="328" t="s">
        <v>832</v>
      </c>
      <c r="B149">
        <v>80.78</v>
      </c>
      <c r="C149">
        <v>80.67</v>
      </c>
      <c r="D149">
        <v>80.61</v>
      </c>
      <c r="E149">
        <v>80.73</v>
      </c>
      <c r="F149">
        <v>80.38</v>
      </c>
      <c r="G149">
        <v>81.31</v>
      </c>
      <c r="H149">
        <v>81.040000000000006</v>
      </c>
      <c r="I149">
        <v>81.16</v>
      </c>
      <c r="J149">
        <v>80.739999999999995</v>
      </c>
    </row>
    <row r="150" spans="1:10" x14ac:dyDescent="0.25">
      <c r="A150" s="328" t="s">
        <v>833</v>
      </c>
      <c r="B150">
        <v>80.77</v>
      </c>
      <c r="C150">
        <v>80.64</v>
      </c>
      <c r="D150">
        <v>80.55</v>
      </c>
      <c r="E150">
        <v>80.72</v>
      </c>
      <c r="F150">
        <v>80.37</v>
      </c>
      <c r="G150">
        <v>81.3</v>
      </c>
      <c r="H150">
        <v>81.05</v>
      </c>
      <c r="I150">
        <v>81.099999999999994</v>
      </c>
      <c r="J150">
        <v>80.7</v>
      </c>
    </row>
    <row r="151" spans="1:10" x14ac:dyDescent="0.25">
      <c r="A151" s="328" t="s">
        <v>834</v>
      </c>
      <c r="B151">
        <v>80.739999999999995</v>
      </c>
      <c r="C151">
        <v>80.63</v>
      </c>
      <c r="D151">
        <v>80.569999999999993</v>
      </c>
      <c r="E151">
        <v>80.680000000000007</v>
      </c>
      <c r="F151">
        <v>80.23</v>
      </c>
      <c r="G151">
        <v>81.23</v>
      </c>
      <c r="H151">
        <v>80.98</v>
      </c>
      <c r="I151">
        <v>81.040000000000006</v>
      </c>
      <c r="J151">
        <v>80.61</v>
      </c>
    </row>
    <row r="152" spans="1:10" x14ac:dyDescent="0.25">
      <c r="A152" s="328" t="s">
        <v>835</v>
      </c>
      <c r="B152">
        <v>80.73</v>
      </c>
      <c r="C152">
        <v>80.61</v>
      </c>
      <c r="D152">
        <v>80.510000000000005</v>
      </c>
      <c r="E152">
        <v>80.650000000000006</v>
      </c>
      <c r="F152">
        <v>80.180000000000007</v>
      </c>
      <c r="G152">
        <v>81.19</v>
      </c>
      <c r="H152">
        <v>80.94</v>
      </c>
      <c r="I152">
        <v>81.040000000000006</v>
      </c>
      <c r="J152">
        <v>80.59</v>
      </c>
    </row>
    <row r="153" spans="1:10" x14ac:dyDescent="0.25">
      <c r="A153" s="328" t="s">
        <v>836</v>
      </c>
      <c r="B153">
        <v>80.72</v>
      </c>
      <c r="C153">
        <v>80.599999999999994</v>
      </c>
      <c r="D153">
        <v>80.489999999999995</v>
      </c>
      <c r="E153">
        <v>80.62</v>
      </c>
      <c r="F153">
        <v>80.17</v>
      </c>
      <c r="G153">
        <v>81.17</v>
      </c>
      <c r="H153">
        <v>80.91</v>
      </c>
      <c r="I153">
        <v>80.98</v>
      </c>
      <c r="J153">
        <v>80.5</v>
      </c>
    </row>
    <row r="154" spans="1:10" x14ac:dyDescent="0.25">
      <c r="A154" s="328" t="s">
        <v>837</v>
      </c>
      <c r="B154">
        <v>80.77</v>
      </c>
      <c r="C154">
        <v>80.56</v>
      </c>
      <c r="D154">
        <v>80.459999999999994</v>
      </c>
      <c r="E154">
        <v>80.58</v>
      </c>
      <c r="F154">
        <v>80.17</v>
      </c>
      <c r="G154">
        <v>81.14</v>
      </c>
      <c r="H154">
        <v>80.89</v>
      </c>
      <c r="I154">
        <v>80.930000000000007</v>
      </c>
      <c r="J154">
        <v>80.510000000000005</v>
      </c>
    </row>
    <row r="155" spans="1:10" x14ac:dyDescent="0.25">
      <c r="A155" s="328" t="s">
        <v>838</v>
      </c>
      <c r="B155">
        <v>80.72</v>
      </c>
      <c r="C155">
        <v>80.58</v>
      </c>
      <c r="D155">
        <v>80.53</v>
      </c>
      <c r="E155">
        <v>80.599999999999994</v>
      </c>
      <c r="F155">
        <v>80.2</v>
      </c>
      <c r="G155">
        <v>81.17</v>
      </c>
      <c r="H155">
        <v>80.900000000000006</v>
      </c>
      <c r="I155">
        <v>80.959999999999994</v>
      </c>
      <c r="J155">
        <v>80.510000000000005</v>
      </c>
    </row>
    <row r="156" spans="1:10" x14ac:dyDescent="0.25">
      <c r="A156" s="328" t="s">
        <v>839</v>
      </c>
      <c r="B156">
        <v>80.709999999999994</v>
      </c>
      <c r="C156">
        <v>80.569999999999993</v>
      </c>
      <c r="D156">
        <v>80.56</v>
      </c>
      <c r="E156">
        <v>80.650000000000006</v>
      </c>
      <c r="F156">
        <v>80.27</v>
      </c>
      <c r="G156">
        <v>81.19</v>
      </c>
      <c r="H156">
        <v>80.91</v>
      </c>
      <c r="I156">
        <v>81.02</v>
      </c>
      <c r="J156">
        <v>80.58</v>
      </c>
    </row>
    <row r="157" spans="1:10" x14ac:dyDescent="0.25">
      <c r="A157" s="328" t="s">
        <v>840</v>
      </c>
      <c r="B157">
        <v>80.760000000000005</v>
      </c>
      <c r="C157">
        <v>80.66</v>
      </c>
      <c r="D157">
        <v>80.56</v>
      </c>
      <c r="E157">
        <v>80.67</v>
      </c>
      <c r="F157">
        <v>80.209999999999994</v>
      </c>
      <c r="G157">
        <v>81.22</v>
      </c>
      <c r="H157">
        <v>80.95</v>
      </c>
      <c r="I157">
        <v>81.03</v>
      </c>
      <c r="J157">
        <v>80.59</v>
      </c>
    </row>
    <row r="158" spans="1:10" x14ac:dyDescent="0.25">
      <c r="A158" s="328" t="s">
        <v>841</v>
      </c>
      <c r="B158">
        <v>80.69</v>
      </c>
      <c r="C158">
        <v>80.62</v>
      </c>
      <c r="D158">
        <v>80.540000000000006</v>
      </c>
      <c r="E158">
        <v>80.59</v>
      </c>
      <c r="F158">
        <v>80.2</v>
      </c>
      <c r="G158">
        <v>81.17</v>
      </c>
      <c r="H158">
        <v>80.89</v>
      </c>
      <c r="I158">
        <v>80.959999999999994</v>
      </c>
      <c r="J158">
        <v>80.569999999999993</v>
      </c>
    </row>
    <row r="159" spans="1:10" x14ac:dyDescent="0.25">
      <c r="A159" s="328" t="s">
        <v>842</v>
      </c>
      <c r="B159">
        <v>80.66</v>
      </c>
      <c r="C159">
        <v>80.59</v>
      </c>
      <c r="D159">
        <v>80.489999999999995</v>
      </c>
      <c r="E159">
        <v>80.56</v>
      </c>
      <c r="F159">
        <v>80.17</v>
      </c>
      <c r="G159">
        <v>81.13</v>
      </c>
      <c r="H159">
        <v>80.87</v>
      </c>
      <c r="I159">
        <v>80.88</v>
      </c>
      <c r="J159">
        <v>80.52</v>
      </c>
    </row>
    <row r="160" spans="1:10" x14ac:dyDescent="0.25">
      <c r="A160" s="328" t="s">
        <v>843</v>
      </c>
      <c r="B160">
        <v>80.67</v>
      </c>
      <c r="C160">
        <v>80.55</v>
      </c>
      <c r="D160">
        <v>80.53</v>
      </c>
      <c r="E160">
        <v>80.61</v>
      </c>
      <c r="F160">
        <v>80.19</v>
      </c>
      <c r="G160">
        <v>81.19</v>
      </c>
      <c r="H160">
        <v>80.900000000000006</v>
      </c>
      <c r="I160">
        <v>80.930000000000007</v>
      </c>
      <c r="J160">
        <v>80.569999999999993</v>
      </c>
    </row>
    <row r="161" spans="1:10" x14ac:dyDescent="0.25">
      <c r="A161" s="328" t="s">
        <v>844</v>
      </c>
      <c r="B161">
        <v>80.69</v>
      </c>
      <c r="C161">
        <v>80.650000000000006</v>
      </c>
      <c r="D161">
        <v>80.53</v>
      </c>
      <c r="E161">
        <v>80.599999999999994</v>
      </c>
      <c r="F161">
        <v>80.14</v>
      </c>
      <c r="G161">
        <v>81.19</v>
      </c>
      <c r="H161">
        <v>80.900000000000006</v>
      </c>
      <c r="I161">
        <v>80.92</v>
      </c>
      <c r="J161">
        <v>80.55</v>
      </c>
    </row>
    <row r="162" spans="1:10" x14ac:dyDescent="0.25">
      <c r="A162" s="328" t="s">
        <v>845</v>
      </c>
      <c r="B162">
        <v>80.680000000000007</v>
      </c>
      <c r="C162">
        <v>80.599999999999994</v>
      </c>
      <c r="D162">
        <v>80.55</v>
      </c>
      <c r="E162">
        <v>80.599999999999994</v>
      </c>
      <c r="F162">
        <v>80.17</v>
      </c>
      <c r="G162">
        <v>81.12</v>
      </c>
      <c r="H162">
        <v>80.89</v>
      </c>
      <c r="I162">
        <v>80.92</v>
      </c>
      <c r="J162">
        <v>80.510000000000005</v>
      </c>
    </row>
    <row r="163" spans="1:10" x14ac:dyDescent="0.25">
      <c r="A163" s="328" t="s">
        <v>846</v>
      </c>
      <c r="B163">
        <v>80.760000000000005</v>
      </c>
      <c r="C163">
        <v>80.569999999999993</v>
      </c>
      <c r="D163">
        <v>80.510000000000005</v>
      </c>
      <c r="E163">
        <v>80.59</v>
      </c>
      <c r="F163">
        <v>80.16</v>
      </c>
      <c r="G163">
        <v>81.14</v>
      </c>
      <c r="H163">
        <v>80.94</v>
      </c>
      <c r="I163">
        <v>80.959999999999994</v>
      </c>
      <c r="J163">
        <v>80.540000000000006</v>
      </c>
    </row>
    <row r="164" spans="1:10" x14ac:dyDescent="0.25">
      <c r="A164" s="328" t="s">
        <v>847</v>
      </c>
      <c r="B164">
        <v>80.77</v>
      </c>
      <c r="C164">
        <v>80.63</v>
      </c>
      <c r="D164">
        <v>80.540000000000006</v>
      </c>
      <c r="E164">
        <v>80.64</v>
      </c>
      <c r="F164">
        <v>80.16</v>
      </c>
      <c r="G164">
        <v>81.17</v>
      </c>
      <c r="H164">
        <v>80.900000000000006</v>
      </c>
      <c r="I164">
        <v>80.95</v>
      </c>
      <c r="J164">
        <v>80.55</v>
      </c>
    </row>
    <row r="165" spans="1:10" x14ac:dyDescent="0.25">
      <c r="A165" s="328" t="s">
        <v>848</v>
      </c>
      <c r="B165">
        <v>80.73</v>
      </c>
      <c r="C165">
        <v>80.64</v>
      </c>
      <c r="D165">
        <v>80.55</v>
      </c>
      <c r="E165">
        <v>80.599999999999994</v>
      </c>
      <c r="F165">
        <v>80.22</v>
      </c>
      <c r="G165">
        <v>81.14</v>
      </c>
      <c r="H165">
        <v>80.89</v>
      </c>
      <c r="I165">
        <v>80.98</v>
      </c>
      <c r="J165">
        <v>80.56</v>
      </c>
    </row>
    <row r="166" spans="1:10" x14ac:dyDescent="0.25">
      <c r="A166" s="328" t="s">
        <v>849</v>
      </c>
      <c r="B166">
        <v>80.7</v>
      </c>
      <c r="C166">
        <v>80.599999999999994</v>
      </c>
      <c r="D166">
        <v>80.53</v>
      </c>
      <c r="E166">
        <v>80.55</v>
      </c>
      <c r="F166">
        <v>80.150000000000006</v>
      </c>
      <c r="G166">
        <v>81.13</v>
      </c>
      <c r="H166">
        <v>80.89</v>
      </c>
      <c r="I166">
        <v>80.91</v>
      </c>
      <c r="J166">
        <v>80.540000000000006</v>
      </c>
    </row>
    <row r="167" spans="1:10" x14ac:dyDescent="0.25">
      <c r="A167" s="328" t="s">
        <v>850</v>
      </c>
      <c r="B167">
        <v>80.59</v>
      </c>
      <c r="C167">
        <v>80.540000000000006</v>
      </c>
      <c r="D167">
        <v>80.44</v>
      </c>
      <c r="E167">
        <v>80.52</v>
      </c>
      <c r="F167">
        <v>80.13</v>
      </c>
      <c r="G167">
        <v>81.08</v>
      </c>
      <c r="H167">
        <v>80.83</v>
      </c>
      <c r="I167">
        <v>80.849999999999994</v>
      </c>
      <c r="J167">
        <v>80.489999999999995</v>
      </c>
    </row>
    <row r="168" spans="1:10" x14ac:dyDescent="0.25">
      <c r="A168" s="328" t="s">
        <v>851</v>
      </c>
      <c r="B168">
        <v>80.64</v>
      </c>
      <c r="C168">
        <v>80.569999999999993</v>
      </c>
      <c r="D168">
        <v>80.489999999999995</v>
      </c>
      <c r="E168">
        <v>80.55</v>
      </c>
      <c r="F168">
        <v>80.17</v>
      </c>
      <c r="G168">
        <v>81.08</v>
      </c>
      <c r="H168">
        <v>80.849999999999994</v>
      </c>
      <c r="I168">
        <v>80.89</v>
      </c>
      <c r="J168">
        <v>80.47</v>
      </c>
    </row>
    <row r="169" spans="1:10" x14ac:dyDescent="0.25">
      <c r="A169" s="328" t="s">
        <v>852</v>
      </c>
      <c r="B169">
        <v>80.67</v>
      </c>
      <c r="C169">
        <v>80.599999999999994</v>
      </c>
      <c r="D169">
        <v>80.52</v>
      </c>
      <c r="E169">
        <v>80.59</v>
      </c>
      <c r="F169">
        <v>80.19</v>
      </c>
      <c r="G169">
        <v>81.11</v>
      </c>
      <c r="H169">
        <v>80.88</v>
      </c>
      <c r="I169">
        <v>80.900000000000006</v>
      </c>
      <c r="J169">
        <v>80.489999999999995</v>
      </c>
    </row>
    <row r="170" spans="1:10" x14ac:dyDescent="0.25">
      <c r="A170" s="328" t="s">
        <v>853</v>
      </c>
      <c r="B170">
        <v>80.67</v>
      </c>
      <c r="C170">
        <v>80.59</v>
      </c>
      <c r="D170">
        <v>80.52</v>
      </c>
      <c r="E170">
        <v>80.62</v>
      </c>
      <c r="F170">
        <v>80.13</v>
      </c>
      <c r="G170">
        <v>81.09</v>
      </c>
      <c r="H170">
        <v>80.8</v>
      </c>
      <c r="I170">
        <v>80.87</v>
      </c>
      <c r="J170">
        <v>80.47</v>
      </c>
    </row>
    <row r="171" spans="1:10" x14ac:dyDescent="0.25">
      <c r="A171" s="328" t="s">
        <v>854</v>
      </c>
      <c r="B171">
        <v>80.62</v>
      </c>
      <c r="C171">
        <v>80.52</v>
      </c>
      <c r="D171">
        <v>80.47</v>
      </c>
      <c r="E171">
        <v>80.489999999999995</v>
      </c>
      <c r="F171">
        <v>80.13</v>
      </c>
      <c r="G171">
        <v>81.069999999999993</v>
      </c>
      <c r="H171">
        <v>80.87</v>
      </c>
      <c r="I171">
        <v>80.849999999999994</v>
      </c>
      <c r="J171">
        <v>80.48</v>
      </c>
    </row>
    <row r="172" spans="1:10" x14ac:dyDescent="0.25">
      <c r="A172" s="328" t="s">
        <v>855</v>
      </c>
      <c r="B172">
        <v>80.709999999999994</v>
      </c>
      <c r="C172">
        <v>80.62</v>
      </c>
      <c r="D172">
        <v>80.55</v>
      </c>
      <c r="E172">
        <v>80.62</v>
      </c>
      <c r="F172">
        <v>80.09</v>
      </c>
      <c r="G172">
        <v>81.099999999999994</v>
      </c>
      <c r="H172">
        <v>80.86</v>
      </c>
      <c r="I172">
        <v>80.900000000000006</v>
      </c>
      <c r="J172">
        <v>80.510000000000005</v>
      </c>
    </row>
    <row r="173" spans="1:10" x14ac:dyDescent="0.25">
      <c r="A173" s="328" t="s">
        <v>856</v>
      </c>
      <c r="B173">
        <v>80.75</v>
      </c>
      <c r="C173">
        <v>80.62</v>
      </c>
      <c r="D173">
        <v>80.55</v>
      </c>
      <c r="E173">
        <v>80.61</v>
      </c>
      <c r="F173">
        <v>80.209999999999994</v>
      </c>
      <c r="G173">
        <v>81.16</v>
      </c>
      <c r="H173">
        <v>80.92</v>
      </c>
      <c r="I173">
        <v>80.95</v>
      </c>
      <c r="J173">
        <v>80.56</v>
      </c>
    </row>
    <row r="174" spans="1:10" x14ac:dyDescent="0.25">
      <c r="A174" s="328" t="s">
        <v>857</v>
      </c>
      <c r="B174">
        <v>80.760000000000005</v>
      </c>
      <c r="C174">
        <v>80.62</v>
      </c>
      <c r="D174">
        <v>80.55</v>
      </c>
      <c r="E174">
        <v>80.64</v>
      </c>
      <c r="F174">
        <v>80.180000000000007</v>
      </c>
      <c r="G174">
        <v>81.19</v>
      </c>
      <c r="H174">
        <v>80.92</v>
      </c>
      <c r="I174">
        <v>80.930000000000007</v>
      </c>
      <c r="J174">
        <v>80.569999999999993</v>
      </c>
    </row>
    <row r="175" spans="1:10" x14ac:dyDescent="0.25">
      <c r="A175" s="328" t="s">
        <v>858</v>
      </c>
      <c r="B175">
        <v>80.739999999999995</v>
      </c>
      <c r="C175">
        <v>80.63</v>
      </c>
      <c r="D175">
        <v>80.55</v>
      </c>
      <c r="E175">
        <v>80.61</v>
      </c>
      <c r="F175">
        <v>80.17</v>
      </c>
      <c r="G175">
        <v>81.14</v>
      </c>
      <c r="H175">
        <v>80.91</v>
      </c>
      <c r="I175">
        <v>80.97</v>
      </c>
      <c r="J175">
        <v>80.53</v>
      </c>
    </row>
    <row r="176" spans="1:10" x14ac:dyDescent="0.25">
      <c r="A176" s="328" t="s">
        <v>859</v>
      </c>
      <c r="B176">
        <v>80.78</v>
      </c>
      <c r="C176">
        <v>80.650000000000006</v>
      </c>
      <c r="D176">
        <v>80.55</v>
      </c>
      <c r="E176">
        <v>80.599999999999994</v>
      </c>
      <c r="F176">
        <v>80.14</v>
      </c>
      <c r="G176">
        <v>81.13</v>
      </c>
      <c r="H176">
        <v>80.87</v>
      </c>
      <c r="I176">
        <v>80.88</v>
      </c>
      <c r="J176">
        <v>80.510000000000005</v>
      </c>
    </row>
  </sheetData>
  <sheetProtection algorithmName="SHA-512" hashValue="zGTZNxDWsrRjs3zHBHUPk87b5tXpoukzrcn83aA8QrayURU6gvoKskgNlZIHlH3RNCucSto6FeRrnUtHmp7/9g==" saltValue="gv9BqF7TVE/M8oTyElwjG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93"/>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8" t="s">
        <v>860</v>
      </c>
      <c r="B2">
        <v>161.34</v>
      </c>
      <c r="C2">
        <v>159.86000000000001</v>
      </c>
      <c r="D2">
        <v>160.16999999999999</v>
      </c>
      <c r="E2">
        <v>162.84</v>
      </c>
      <c r="F2">
        <v>165.68</v>
      </c>
      <c r="G2">
        <v>164.69</v>
      </c>
      <c r="H2">
        <v>163.44999999999999</v>
      </c>
      <c r="I2">
        <v>166.72</v>
      </c>
      <c r="J2">
        <v>164.52</v>
      </c>
    </row>
    <row r="3" spans="1:15" x14ac:dyDescent="0.25">
      <c r="A3" s="321" t="s">
        <v>861</v>
      </c>
      <c r="B3" s="88">
        <v>166.14</v>
      </c>
      <c r="C3" s="88">
        <v>164.64</v>
      </c>
      <c r="D3" s="88">
        <v>164.76</v>
      </c>
      <c r="E3" s="88">
        <v>167.51</v>
      </c>
      <c r="F3" s="88">
        <v>170.11</v>
      </c>
      <c r="G3" s="88">
        <v>169.31</v>
      </c>
      <c r="H3" s="88">
        <v>167.91</v>
      </c>
      <c r="I3" s="88">
        <v>171.26</v>
      </c>
      <c r="J3" s="88">
        <v>169.03</v>
      </c>
    </row>
    <row r="4" spans="1:15" x14ac:dyDescent="0.25">
      <c r="A4" s="321" t="s">
        <v>862</v>
      </c>
      <c r="B4" s="88">
        <v>170.57</v>
      </c>
      <c r="C4" s="88">
        <v>168.97</v>
      </c>
      <c r="D4" s="88">
        <v>169.28</v>
      </c>
      <c r="E4" s="88">
        <v>171.98</v>
      </c>
      <c r="F4" s="88">
        <v>174.72</v>
      </c>
      <c r="G4" s="88">
        <v>173.82</v>
      </c>
      <c r="H4" s="88">
        <v>172.48</v>
      </c>
      <c r="I4" s="88">
        <v>175.89</v>
      </c>
      <c r="J4" s="88">
        <v>173.64</v>
      </c>
    </row>
    <row r="5" spans="1:15" x14ac:dyDescent="0.25">
      <c r="A5" s="321" t="s">
        <v>863</v>
      </c>
      <c r="B5" s="88">
        <v>175.43</v>
      </c>
      <c r="C5" s="88">
        <v>173.62</v>
      </c>
      <c r="D5" s="88">
        <v>173.71</v>
      </c>
      <c r="E5" s="88">
        <v>176.45</v>
      </c>
      <c r="F5" s="88">
        <v>179.15</v>
      </c>
      <c r="G5" s="88">
        <v>178.38</v>
      </c>
      <c r="H5" s="88">
        <v>176.86</v>
      </c>
      <c r="I5" s="88">
        <v>180.38</v>
      </c>
      <c r="J5" s="88">
        <v>178.19</v>
      </c>
    </row>
    <row r="6" spans="1:15" x14ac:dyDescent="0.25">
      <c r="A6" s="321" t="s">
        <v>864</v>
      </c>
      <c r="B6" s="88">
        <v>179.69</v>
      </c>
      <c r="C6" s="88">
        <v>177.98</v>
      </c>
      <c r="D6" s="88">
        <v>178.11</v>
      </c>
      <c r="E6" s="88">
        <v>180.98</v>
      </c>
      <c r="F6" s="88">
        <v>183.4</v>
      </c>
      <c r="G6" s="88">
        <v>183.06</v>
      </c>
      <c r="H6" s="88">
        <v>181.33</v>
      </c>
      <c r="I6" s="88">
        <v>184.76</v>
      </c>
      <c r="J6" s="88">
        <v>182.38</v>
      </c>
    </row>
    <row r="7" spans="1:15" x14ac:dyDescent="0.25">
      <c r="A7" s="321" t="s">
        <v>865</v>
      </c>
      <c r="B7" s="88">
        <v>184.03</v>
      </c>
      <c r="C7" s="88">
        <v>182.39</v>
      </c>
      <c r="D7" s="88">
        <v>182.53</v>
      </c>
      <c r="E7" s="88">
        <v>185.5</v>
      </c>
      <c r="F7" s="88">
        <v>187.89</v>
      </c>
      <c r="G7" s="88">
        <v>187.26</v>
      </c>
      <c r="H7" s="88">
        <v>185.75</v>
      </c>
      <c r="I7" s="88">
        <v>189.18</v>
      </c>
      <c r="J7" s="88">
        <v>186.88</v>
      </c>
    </row>
    <row r="8" spans="1:15" ht="15.75" thickBot="1" x14ac:dyDescent="0.3">
      <c r="A8" s="321" t="s">
        <v>866</v>
      </c>
      <c r="B8" s="88">
        <v>188.43</v>
      </c>
      <c r="C8" s="88">
        <v>186.48</v>
      </c>
      <c r="D8" s="88">
        <v>186.78</v>
      </c>
      <c r="E8" s="88">
        <v>189.36</v>
      </c>
      <c r="F8" s="88">
        <v>192.23</v>
      </c>
      <c r="G8" s="88">
        <v>191.89</v>
      </c>
      <c r="H8" s="88">
        <v>190.04</v>
      </c>
      <c r="I8" s="88">
        <v>193.46</v>
      </c>
      <c r="J8" s="88">
        <v>191.04</v>
      </c>
    </row>
    <row r="9" spans="1:15" ht="14.45" customHeight="1" x14ac:dyDescent="0.25">
      <c r="A9" s="321" t="s">
        <v>867</v>
      </c>
      <c r="B9" s="88">
        <v>190.59</v>
      </c>
      <c r="C9" s="88">
        <v>189.01</v>
      </c>
      <c r="D9" s="88">
        <v>189.02</v>
      </c>
      <c r="E9" s="88">
        <v>191.47</v>
      </c>
      <c r="F9" s="88">
        <v>193.33</v>
      </c>
      <c r="G9" s="88">
        <v>193.2</v>
      </c>
      <c r="H9" s="88">
        <v>192.06</v>
      </c>
      <c r="I9" s="88">
        <v>194.85</v>
      </c>
      <c r="J9" s="88">
        <v>192.86</v>
      </c>
      <c r="L9" s="362" t="s">
        <v>525</v>
      </c>
      <c r="M9" s="363"/>
      <c r="N9" s="363"/>
      <c r="O9" s="364"/>
    </row>
    <row r="10" spans="1:15" ht="14.45" customHeight="1" x14ac:dyDescent="0.25">
      <c r="A10" s="321" t="s">
        <v>868</v>
      </c>
      <c r="B10" s="88">
        <v>191.16</v>
      </c>
      <c r="C10" s="88">
        <v>189.81</v>
      </c>
      <c r="D10" s="88">
        <v>189.79</v>
      </c>
      <c r="E10" s="88">
        <v>191.69</v>
      </c>
      <c r="F10" s="88">
        <v>192.99</v>
      </c>
      <c r="G10" s="88">
        <v>193.43</v>
      </c>
      <c r="H10" s="88">
        <v>192.46</v>
      </c>
      <c r="I10" s="88">
        <v>194.8</v>
      </c>
      <c r="J10" s="88">
        <v>192.95</v>
      </c>
      <c r="L10" s="365"/>
      <c r="M10" s="366"/>
      <c r="N10" s="366"/>
      <c r="O10" s="367"/>
    </row>
    <row r="11" spans="1:15" ht="14.45" customHeight="1" x14ac:dyDescent="0.25">
      <c r="A11" s="321" t="s">
        <v>869</v>
      </c>
      <c r="B11" s="88">
        <v>191.38</v>
      </c>
      <c r="C11" s="88">
        <v>190.01</v>
      </c>
      <c r="D11" s="88">
        <v>189.93</v>
      </c>
      <c r="E11" s="88">
        <v>191.58</v>
      </c>
      <c r="F11" s="88">
        <v>192.44</v>
      </c>
      <c r="G11" s="88">
        <v>193.45</v>
      </c>
      <c r="H11" s="88">
        <v>192.6</v>
      </c>
      <c r="I11" s="88">
        <v>194.52</v>
      </c>
      <c r="J11" s="88">
        <v>192.73</v>
      </c>
      <c r="L11" s="365"/>
      <c r="M11" s="366"/>
      <c r="N11" s="366"/>
      <c r="O11" s="367"/>
    </row>
    <row r="12" spans="1:15" ht="14.45" customHeight="1" x14ac:dyDescent="0.25">
      <c r="A12" s="321" t="s">
        <v>870</v>
      </c>
      <c r="B12" s="88">
        <v>191.51</v>
      </c>
      <c r="C12" s="88">
        <v>190.38</v>
      </c>
      <c r="D12" s="88">
        <v>190.25</v>
      </c>
      <c r="E12" s="88">
        <v>191.63</v>
      </c>
      <c r="F12" s="88">
        <v>192.09</v>
      </c>
      <c r="G12" s="88">
        <v>193.29</v>
      </c>
      <c r="H12" s="88">
        <v>192.5</v>
      </c>
      <c r="I12" s="88">
        <v>194.16</v>
      </c>
      <c r="J12" s="88">
        <v>192.46</v>
      </c>
      <c r="L12" s="365"/>
      <c r="M12" s="366"/>
      <c r="N12" s="366"/>
      <c r="O12" s="367"/>
    </row>
    <row r="13" spans="1:15" ht="14.45" customHeight="1" x14ac:dyDescent="0.25">
      <c r="A13" s="321" t="s">
        <v>871</v>
      </c>
      <c r="B13" s="88">
        <v>191.59</v>
      </c>
      <c r="C13" s="88">
        <v>190.64</v>
      </c>
      <c r="D13" s="88">
        <v>190.42</v>
      </c>
      <c r="E13" s="88">
        <v>191.58</v>
      </c>
      <c r="F13" s="88">
        <v>191.69</v>
      </c>
      <c r="G13" s="88">
        <v>193.31</v>
      </c>
      <c r="H13" s="88">
        <v>192.43</v>
      </c>
      <c r="I13" s="88">
        <v>193.86</v>
      </c>
      <c r="J13" s="88">
        <v>192.28</v>
      </c>
      <c r="L13" s="365"/>
      <c r="M13" s="366"/>
      <c r="N13" s="366"/>
      <c r="O13" s="367"/>
    </row>
    <row r="14" spans="1:15" ht="14.45" customHeight="1" x14ac:dyDescent="0.25">
      <c r="A14" s="321" t="s">
        <v>872</v>
      </c>
      <c r="B14" s="88">
        <v>191.44</v>
      </c>
      <c r="C14" s="88">
        <v>190.56</v>
      </c>
      <c r="D14" s="88">
        <v>190.39</v>
      </c>
      <c r="E14" s="88">
        <v>191.38</v>
      </c>
      <c r="F14" s="88">
        <v>191.12</v>
      </c>
      <c r="G14" s="88">
        <v>193.03</v>
      </c>
      <c r="H14" s="88">
        <v>192.24</v>
      </c>
      <c r="I14" s="88">
        <v>193.44</v>
      </c>
      <c r="J14" s="88">
        <v>191.95</v>
      </c>
      <c r="L14" s="365"/>
      <c r="M14" s="366"/>
      <c r="N14" s="366"/>
      <c r="O14" s="367"/>
    </row>
    <row r="15" spans="1:15" ht="15.75" thickBot="1" x14ac:dyDescent="0.3">
      <c r="A15" s="321" t="s">
        <v>873</v>
      </c>
      <c r="B15" s="88">
        <v>191.33</v>
      </c>
      <c r="C15" s="88">
        <v>190.5</v>
      </c>
      <c r="D15" s="88">
        <v>190.4</v>
      </c>
      <c r="E15" s="88">
        <v>191.19</v>
      </c>
      <c r="F15" s="88">
        <v>190.85</v>
      </c>
      <c r="G15" s="88">
        <v>192.78</v>
      </c>
      <c r="H15" s="88">
        <v>192.07</v>
      </c>
      <c r="I15" s="88">
        <v>193.1</v>
      </c>
      <c r="J15" s="88">
        <v>191.66</v>
      </c>
      <c r="L15" s="368"/>
      <c r="M15" s="369"/>
      <c r="N15" s="369"/>
      <c r="O15" s="370"/>
    </row>
    <row r="16" spans="1:15" x14ac:dyDescent="0.25">
      <c r="A16" s="321" t="s">
        <v>874</v>
      </c>
      <c r="B16" s="88">
        <v>191.43</v>
      </c>
      <c r="C16" s="88">
        <v>190.54</v>
      </c>
      <c r="D16" s="88">
        <v>190.45</v>
      </c>
      <c r="E16" s="88">
        <v>191.12</v>
      </c>
      <c r="F16" s="88">
        <v>190.55</v>
      </c>
      <c r="G16" s="88">
        <v>192.68</v>
      </c>
      <c r="H16" s="88">
        <v>191.93</v>
      </c>
      <c r="I16" s="88">
        <v>192.83</v>
      </c>
      <c r="J16" s="88">
        <v>191.52</v>
      </c>
    </row>
    <row r="17" spans="1:10" x14ac:dyDescent="0.25">
      <c r="A17" s="321" t="s">
        <v>875</v>
      </c>
      <c r="B17" s="88">
        <v>191.26</v>
      </c>
      <c r="C17" s="88">
        <v>190.52</v>
      </c>
      <c r="D17" s="88">
        <v>190.36</v>
      </c>
      <c r="E17" s="88">
        <v>190.99</v>
      </c>
      <c r="F17" s="88">
        <v>190.29</v>
      </c>
      <c r="G17" s="88">
        <v>192.49</v>
      </c>
      <c r="H17" s="88">
        <v>191.74</v>
      </c>
      <c r="I17" s="88">
        <v>192.55</v>
      </c>
      <c r="J17" s="88">
        <v>191.27</v>
      </c>
    </row>
    <row r="18" spans="1:10" x14ac:dyDescent="0.25">
      <c r="A18" s="321" t="s">
        <v>876</v>
      </c>
      <c r="B18" s="88">
        <v>191.11</v>
      </c>
      <c r="C18" s="88">
        <v>190.53</v>
      </c>
      <c r="D18" s="88">
        <v>190.33</v>
      </c>
      <c r="E18" s="88">
        <v>190.92</v>
      </c>
      <c r="F18" s="88">
        <v>190.08</v>
      </c>
      <c r="G18" s="88">
        <v>192.31</v>
      </c>
      <c r="H18" s="88">
        <v>191.66</v>
      </c>
      <c r="I18" s="88">
        <v>192.33</v>
      </c>
      <c r="J18" s="88">
        <v>191.11</v>
      </c>
    </row>
    <row r="19" spans="1:10" x14ac:dyDescent="0.25">
      <c r="A19" s="321" t="s">
        <v>877</v>
      </c>
      <c r="B19" s="88">
        <v>191.15</v>
      </c>
      <c r="C19" s="88">
        <v>190.55</v>
      </c>
      <c r="D19" s="88">
        <v>190.41</v>
      </c>
      <c r="E19" s="88">
        <v>190.85</v>
      </c>
      <c r="F19" s="88">
        <v>189.89</v>
      </c>
      <c r="G19" s="88">
        <v>192.25</v>
      </c>
      <c r="H19" s="88">
        <v>191.58</v>
      </c>
      <c r="I19" s="88">
        <v>192.2</v>
      </c>
      <c r="J19" s="88">
        <v>190.96</v>
      </c>
    </row>
    <row r="20" spans="1:10" x14ac:dyDescent="0.25">
      <c r="A20" s="321" t="s">
        <v>878</v>
      </c>
      <c r="B20" s="88">
        <v>191.08</v>
      </c>
      <c r="C20" s="88">
        <v>190.54</v>
      </c>
      <c r="D20" s="88">
        <v>190.4</v>
      </c>
      <c r="E20" s="88">
        <v>190.83</v>
      </c>
      <c r="F20" s="88">
        <v>189.83</v>
      </c>
      <c r="G20" s="88">
        <v>192.13</v>
      </c>
      <c r="H20" s="88">
        <v>191.46</v>
      </c>
      <c r="I20" s="88">
        <v>191.99</v>
      </c>
      <c r="J20" s="88">
        <v>190.88</v>
      </c>
    </row>
    <row r="21" spans="1:10" x14ac:dyDescent="0.25">
      <c r="A21" s="321" t="s">
        <v>879</v>
      </c>
      <c r="B21" s="88">
        <v>191.09</v>
      </c>
      <c r="C21" s="88">
        <v>190.54</v>
      </c>
      <c r="D21" s="88">
        <v>190.42</v>
      </c>
      <c r="E21" s="88">
        <v>190.78</v>
      </c>
      <c r="F21" s="88">
        <v>189.62</v>
      </c>
      <c r="G21" s="88">
        <v>192.05</v>
      </c>
      <c r="H21" s="88">
        <v>191.41</v>
      </c>
      <c r="I21" s="88">
        <v>191.92</v>
      </c>
      <c r="J21" s="88">
        <v>190.79</v>
      </c>
    </row>
    <row r="22" spans="1:10" x14ac:dyDescent="0.25">
      <c r="A22" s="321" t="s">
        <v>880</v>
      </c>
      <c r="B22" s="88">
        <v>191.02</v>
      </c>
      <c r="C22" s="88">
        <v>190.57</v>
      </c>
      <c r="D22" s="88">
        <v>190.47</v>
      </c>
      <c r="E22" s="88">
        <v>190.75</v>
      </c>
      <c r="F22" s="88">
        <v>189.6</v>
      </c>
      <c r="G22" s="88">
        <v>192.03</v>
      </c>
      <c r="H22" s="88">
        <v>191.35</v>
      </c>
      <c r="I22" s="88">
        <v>191.77</v>
      </c>
      <c r="J22" s="88">
        <v>190.71</v>
      </c>
    </row>
    <row r="23" spans="1:10" x14ac:dyDescent="0.25">
      <c r="A23" s="321" t="s">
        <v>881</v>
      </c>
      <c r="B23" s="88">
        <v>190.99</v>
      </c>
      <c r="C23" s="88">
        <v>190.59</v>
      </c>
      <c r="D23" s="88">
        <v>190.47</v>
      </c>
      <c r="E23" s="88">
        <v>190.73</v>
      </c>
      <c r="F23" s="88">
        <v>189.55</v>
      </c>
      <c r="G23" s="88">
        <v>191.94</v>
      </c>
      <c r="H23" s="88">
        <v>191.33</v>
      </c>
      <c r="I23" s="88">
        <v>191.74</v>
      </c>
      <c r="J23" s="88">
        <v>190.66</v>
      </c>
    </row>
    <row r="24" spans="1:10" x14ac:dyDescent="0.25">
      <c r="A24" s="321" t="s">
        <v>882</v>
      </c>
      <c r="B24" s="88">
        <v>190.92</v>
      </c>
      <c r="C24" s="88">
        <v>190.55</v>
      </c>
      <c r="D24" s="88">
        <v>190.39</v>
      </c>
      <c r="E24" s="88">
        <v>190.68</v>
      </c>
      <c r="F24" s="88">
        <v>189.42</v>
      </c>
      <c r="G24" s="88">
        <v>191.82</v>
      </c>
      <c r="H24" s="88">
        <v>191.24</v>
      </c>
      <c r="I24" s="88">
        <v>191.56</v>
      </c>
      <c r="J24" s="88">
        <v>190.57</v>
      </c>
    </row>
    <row r="25" spans="1:10" x14ac:dyDescent="0.25">
      <c r="A25" s="321" t="s">
        <v>883</v>
      </c>
      <c r="B25" s="88">
        <v>190.92</v>
      </c>
      <c r="C25" s="88">
        <v>190.53</v>
      </c>
      <c r="D25" s="88">
        <v>190.4</v>
      </c>
      <c r="E25" s="88">
        <v>190.6</v>
      </c>
      <c r="F25" s="88">
        <v>189.34</v>
      </c>
      <c r="G25" s="88">
        <v>191.8</v>
      </c>
      <c r="H25" s="88">
        <v>191.17</v>
      </c>
      <c r="I25" s="88">
        <v>191.5</v>
      </c>
      <c r="J25" s="88">
        <v>190.52</v>
      </c>
    </row>
    <row r="26" spans="1:10" x14ac:dyDescent="0.25">
      <c r="A26" s="321" t="s">
        <v>884</v>
      </c>
      <c r="B26" s="88">
        <v>190.94</v>
      </c>
      <c r="C26" s="88">
        <v>190.58</v>
      </c>
      <c r="D26" s="88">
        <v>190.43</v>
      </c>
      <c r="E26" s="88">
        <v>190.68</v>
      </c>
      <c r="F26" s="88">
        <v>189.37</v>
      </c>
      <c r="G26" s="88">
        <v>191.81</v>
      </c>
      <c r="H26" s="88">
        <v>191.18</v>
      </c>
      <c r="I26" s="88">
        <v>191.52</v>
      </c>
      <c r="J26" s="88">
        <v>190.58</v>
      </c>
    </row>
    <row r="27" spans="1:10" x14ac:dyDescent="0.25">
      <c r="A27" s="321" t="s">
        <v>885</v>
      </c>
      <c r="B27" s="88">
        <v>190.98</v>
      </c>
      <c r="C27" s="88">
        <v>190.61</v>
      </c>
      <c r="D27" s="88">
        <v>190.5</v>
      </c>
      <c r="E27" s="88">
        <v>190.74</v>
      </c>
      <c r="F27" s="88">
        <v>189.28</v>
      </c>
      <c r="G27" s="88">
        <v>191.79</v>
      </c>
      <c r="H27" s="88">
        <v>191.22</v>
      </c>
      <c r="I27" s="88">
        <v>191.52</v>
      </c>
      <c r="J27" s="88">
        <v>190.52</v>
      </c>
    </row>
    <row r="28" spans="1:10" x14ac:dyDescent="0.25">
      <c r="A28" s="321" t="s">
        <v>886</v>
      </c>
      <c r="B28" s="88">
        <v>190.86</v>
      </c>
      <c r="C28" s="88">
        <v>190.58</v>
      </c>
      <c r="D28" s="88">
        <v>190.48</v>
      </c>
      <c r="E28" s="88">
        <v>190.65</v>
      </c>
      <c r="F28" s="88">
        <v>189.32</v>
      </c>
      <c r="G28" s="88">
        <v>191.72</v>
      </c>
      <c r="H28" s="88">
        <v>191.12</v>
      </c>
      <c r="I28" s="88">
        <v>191.4</v>
      </c>
      <c r="J28" s="88">
        <v>190.48</v>
      </c>
    </row>
    <row r="29" spans="1:10" x14ac:dyDescent="0.25">
      <c r="A29" s="321" t="s">
        <v>887</v>
      </c>
      <c r="B29" s="88">
        <v>190.9</v>
      </c>
      <c r="C29" s="88">
        <v>190.61</v>
      </c>
      <c r="D29" s="88">
        <v>190.46</v>
      </c>
      <c r="E29" s="88">
        <v>190.65</v>
      </c>
      <c r="F29" s="88">
        <v>189.37</v>
      </c>
      <c r="G29" s="88">
        <v>191.76</v>
      </c>
      <c r="H29" s="88">
        <v>191.13</v>
      </c>
      <c r="I29" s="88">
        <v>191.38</v>
      </c>
      <c r="J29" s="88">
        <v>190.44</v>
      </c>
    </row>
    <row r="30" spans="1:10" x14ac:dyDescent="0.25">
      <c r="A30" s="321" t="s">
        <v>888</v>
      </c>
      <c r="B30" s="88">
        <v>190.84</v>
      </c>
      <c r="C30" s="88">
        <v>190.63</v>
      </c>
      <c r="D30" s="88">
        <v>190.51</v>
      </c>
      <c r="E30" s="88">
        <v>190.66</v>
      </c>
      <c r="F30" s="88">
        <v>189.28</v>
      </c>
      <c r="G30" s="88">
        <v>191.7</v>
      </c>
      <c r="H30" s="88">
        <v>191.11</v>
      </c>
      <c r="I30" s="88">
        <v>191.39</v>
      </c>
      <c r="J30" s="88">
        <v>190.44</v>
      </c>
    </row>
    <row r="31" spans="1:10" x14ac:dyDescent="0.25">
      <c r="A31" s="321" t="s">
        <v>889</v>
      </c>
      <c r="B31" s="88">
        <v>190.87</v>
      </c>
      <c r="C31" s="88">
        <v>190.65</v>
      </c>
      <c r="D31" s="88">
        <v>190.51</v>
      </c>
      <c r="E31" s="88">
        <v>190.64</v>
      </c>
      <c r="F31" s="88">
        <v>189.31</v>
      </c>
      <c r="G31" s="88">
        <v>191.68</v>
      </c>
      <c r="H31" s="88">
        <v>191.13</v>
      </c>
      <c r="I31" s="88">
        <v>191.36</v>
      </c>
      <c r="J31" s="88">
        <v>190.46</v>
      </c>
    </row>
    <row r="32" spans="1:10" x14ac:dyDescent="0.25">
      <c r="A32" s="321" t="s">
        <v>890</v>
      </c>
      <c r="B32" s="88">
        <v>190.93</v>
      </c>
      <c r="C32" s="88">
        <v>190.67</v>
      </c>
      <c r="D32" s="88">
        <v>190.57</v>
      </c>
      <c r="E32" s="88">
        <v>190.72</v>
      </c>
      <c r="F32" s="88">
        <v>189.23</v>
      </c>
      <c r="G32" s="88">
        <v>191.68</v>
      </c>
      <c r="H32" s="88">
        <v>191.1</v>
      </c>
      <c r="I32" s="88">
        <v>191.39</v>
      </c>
      <c r="J32" s="88">
        <v>190.42</v>
      </c>
    </row>
    <row r="33" spans="1:10" x14ac:dyDescent="0.25">
      <c r="A33" s="321" t="s">
        <v>891</v>
      </c>
      <c r="B33" s="88">
        <v>190.83</v>
      </c>
      <c r="C33" s="88">
        <v>190.61</v>
      </c>
      <c r="D33" s="88">
        <v>190.48</v>
      </c>
      <c r="E33" s="88">
        <v>190.63</v>
      </c>
      <c r="F33" s="88">
        <v>189.2</v>
      </c>
      <c r="G33" s="88">
        <v>191.57</v>
      </c>
      <c r="H33" s="88">
        <v>191.01</v>
      </c>
      <c r="I33" s="88">
        <v>191.23</v>
      </c>
      <c r="J33" s="88">
        <v>190.36</v>
      </c>
    </row>
    <row r="34" spans="1:10" x14ac:dyDescent="0.25">
      <c r="A34" s="321" t="s">
        <v>892</v>
      </c>
      <c r="B34" s="88">
        <v>190.82</v>
      </c>
      <c r="C34" s="88">
        <v>190.64</v>
      </c>
      <c r="D34" s="88">
        <v>190.48</v>
      </c>
      <c r="E34" s="88">
        <v>190.65</v>
      </c>
      <c r="F34" s="88">
        <v>189.07</v>
      </c>
      <c r="G34" s="88">
        <v>191.56</v>
      </c>
      <c r="H34" s="88">
        <v>191.08</v>
      </c>
      <c r="I34" s="88">
        <v>191.26</v>
      </c>
      <c r="J34" s="88">
        <v>190.39</v>
      </c>
    </row>
    <row r="35" spans="1:10" x14ac:dyDescent="0.25">
      <c r="A35" s="321" t="s">
        <v>893</v>
      </c>
      <c r="B35" s="88">
        <v>190.86</v>
      </c>
      <c r="C35" s="88">
        <v>190.65</v>
      </c>
      <c r="D35" s="88">
        <v>190.53</v>
      </c>
      <c r="E35" s="88">
        <v>190.69</v>
      </c>
      <c r="F35" s="88">
        <v>189.18</v>
      </c>
      <c r="G35" s="88">
        <v>191.58</v>
      </c>
      <c r="H35" s="88">
        <v>191.05</v>
      </c>
      <c r="I35" s="88">
        <v>191.24</v>
      </c>
      <c r="J35" s="88">
        <v>190.38</v>
      </c>
    </row>
    <row r="36" spans="1:10" x14ac:dyDescent="0.25">
      <c r="A36" s="321" t="s">
        <v>894</v>
      </c>
      <c r="B36" s="88">
        <v>190.84</v>
      </c>
      <c r="C36" s="88">
        <v>190.65</v>
      </c>
      <c r="D36" s="88">
        <v>190.53</v>
      </c>
      <c r="E36" s="88">
        <v>190.68</v>
      </c>
      <c r="F36" s="88">
        <v>189.12</v>
      </c>
      <c r="G36" s="88">
        <v>191.57</v>
      </c>
      <c r="H36" s="88">
        <v>191.06</v>
      </c>
      <c r="I36" s="88">
        <v>191.23</v>
      </c>
      <c r="J36" s="88">
        <v>190.41</v>
      </c>
    </row>
    <row r="37" spans="1:10" x14ac:dyDescent="0.25">
      <c r="A37" s="321" t="s">
        <v>895</v>
      </c>
      <c r="B37" s="88">
        <v>190.81</v>
      </c>
      <c r="C37" s="88">
        <v>190.63</v>
      </c>
      <c r="D37" s="88">
        <v>190.47</v>
      </c>
      <c r="E37" s="88">
        <v>190.61</v>
      </c>
      <c r="F37" s="88">
        <v>189.02</v>
      </c>
      <c r="G37" s="88">
        <v>191.52</v>
      </c>
      <c r="H37" s="88">
        <v>191.02</v>
      </c>
      <c r="I37" s="88">
        <v>191.17</v>
      </c>
      <c r="J37" s="88">
        <v>190.31</v>
      </c>
    </row>
    <row r="38" spans="1:10" x14ac:dyDescent="0.25">
      <c r="A38" s="321" t="s">
        <v>896</v>
      </c>
      <c r="B38" s="88">
        <v>190.8</v>
      </c>
      <c r="C38" s="88">
        <v>190.65</v>
      </c>
      <c r="D38" s="88">
        <v>190.51</v>
      </c>
      <c r="E38" s="88">
        <v>190.65</v>
      </c>
      <c r="F38" s="88">
        <v>189.11</v>
      </c>
      <c r="G38" s="88">
        <v>191.53</v>
      </c>
      <c r="H38" s="88">
        <v>190.98</v>
      </c>
      <c r="I38" s="88">
        <v>191.22</v>
      </c>
      <c r="J38" s="88">
        <v>190.34</v>
      </c>
    </row>
    <row r="39" spans="1:10" x14ac:dyDescent="0.25">
      <c r="A39" s="321" t="s">
        <v>897</v>
      </c>
      <c r="B39" s="88">
        <v>190.9</v>
      </c>
      <c r="C39" s="88">
        <v>190.71</v>
      </c>
      <c r="D39" s="88">
        <v>190.57</v>
      </c>
      <c r="E39" s="88">
        <v>190.7</v>
      </c>
      <c r="F39" s="88">
        <v>189.11</v>
      </c>
      <c r="G39" s="88">
        <v>191.57</v>
      </c>
      <c r="H39" s="88">
        <v>191.08</v>
      </c>
      <c r="I39" s="88">
        <v>191.2</v>
      </c>
      <c r="J39" s="88">
        <v>190.36</v>
      </c>
    </row>
    <row r="40" spans="1:10" x14ac:dyDescent="0.25">
      <c r="A40" s="321" t="s">
        <v>898</v>
      </c>
      <c r="B40" s="88">
        <v>191.33</v>
      </c>
      <c r="C40" s="88">
        <v>191.1</v>
      </c>
      <c r="D40" s="88">
        <v>191.02</v>
      </c>
      <c r="E40" s="88">
        <v>191.23</v>
      </c>
      <c r="F40" s="88">
        <v>189.78</v>
      </c>
      <c r="G40" s="88">
        <v>192.16</v>
      </c>
      <c r="H40" s="88">
        <v>191.52</v>
      </c>
      <c r="I40" s="88">
        <v>191.78</v>
      </c>
      <c r="J40" s="88">
        <v>190.85</v>
      </c>
    </row>
    <row r="41" spans="1:10" x14ac:dyDescent="0.25">
      <c r="A41" s="321" t="s">
        <v>899</v>
      </c>
      <c r="B41" s="88">
        <v>192.56</v>
      </c>
      <c r="C41" s="88">
        <v>192.24</v>
      </c>
      <c r="D41" s="88">
        <v>192.14</v>
      </c>
      <c r="E41" s="88">
        <v>192.48</v>
      </c>
      <c r="F41" s="88">
        <v>191.25</v>
      </c>
      <c r="G41" s="88">
        <v>193.49</v>
      </c>
      <c r="H41" s="88">
        <v>192.79</v>
      </c>
      <c r="I41" s="88">
        <v>193.26</v>
      </c>
      <c r="J41" s="88">
        <v>192.19</v>
      </c>
    </row>
    <row r="42" spans="1:10" x14ac:dyDescent="0.25">
      <c r="A42" s="321" t="s">
        <v>900</v>
      </c>
      <c r="B42" s="88">
        <v>193.75</v>
      </c>
      <c r="C42" s="88">
        <v>193.42</v>
      </c>
      <c r="D42" s="88">
        <v>193.41</v>
      </c>
      <c r="E42" s="88">
        <v>193.81</v>
      </c>
      <c r="F42" s="88">
        <v>192.68</v>
      </c>
      <c r="G42" s="88">
        <v>194.88</v>
      </c>
      <c r="H42" s="88">
        <v>194.17</v>
      </c>
      <c r="I42" s="88">
        <v>194.7</v>
      </c>
      <c r="J42" s="88">
        <v>193.66</v>
      </c>
    </row>
    <row r="43" spans="1:10" x14ac:dyDescent="0.25">
      <c r="A43" s="321" t="s">
        <v>901</v>
      </c>
      <c r="B43" s="88">
        <v>194.93</v>
      </c>
      <c r="C43" s="88">
        <v>194.57</v>
      </c>
      <c r="D43" s="88">
        <v>194.51</v>
      </c>
      <c r="E43" s="88">
        <v>195.01</v>
      </c>
      <c r="F43" s="88">
        <v>194.01</v>
      </c>
      <c r="G43" s="88">
        <v>196.06</v>
      </c>
      <c r="H43" s="88">
        <v>195.36</v>
      </c>
      <c r="I43" s="88">
        <v>195.93</v>
      </c>
      <c r="J43" s="88">
        <v>194.84</v>
      </c>
    </row>
    <row r="44" spans="1:10" x14ac:dyDescent="0.25">
      <c r="A44" s="321" t="s">
        <v>902</v>
      </c>
      <c r="B44" s="88">
        <v>196.03</v>
      </c>
      <c r="C44" s="88">
        <v>195.68</v>
      </c>
      <c r="D44" s="88">
        <v>195.6</v>
      </c>
      <c r="E44" s="88">
        <v>196.16</v>
      </c>
      <c r="F44" s="88">
        <v>195.29</v>
      </c>
      <c r="G44" s="88">
        <v>197.31</v>
      </c>
      <c r="H44" s="88">
        <v>196.54</v>
      </c>
      <c r="I44" s="88">
        <v>197.22</v>
      </c>
      <c r="J44" s="88">
        <v>196.05</v>
      </c>
    </row>
    <row r="45" spans="1:10" x14ac:dyDescent="0.25">
      <c r="A45" s="321" t="s">
        <v>903</v>
      </c>
      <c r="B45" s="88">
        <v>197.18</v>
      </c>
      <c r="C45" s="88">
        <v>196.8</v>
      </c>
      <c r="D45" s="88">
        <v>196.72</v>
      </c>
      <c r="E45" s="88">
        <v>197.34</v>
      </c>
      <c r="F45" s="88">
        <v>196.43</v>
      </c>
      <c r="G45" s="88">
        <v>198.47</v>
      </c>
      <c r="H45" s="88">
        <v>197.76</v>
      </c>
      <c r="I45" s="88">
        <v>198.4</v>
      </c>
      <c r="J45" s="88">
        <v>197.24</v>
      </c>
    </row>
    <row r="46" spans="1:10" x14ac:dyDescent="0.25">
      <c r="A46" s="321" t="s">
        <v>904</v>
      </c>
      <c r="B46" s="88">
        <v>198.21</v>
      </c>
      <c r="C46" s="88">
        <v>197.81</v>
      </c>
      <c r="D46" s="88">
        <v>197.78</v>
      </c>
      <c r="E46" s="88">
        <v>198.38</v>
      </c>
      <c r="F46" s="88">
        <v>197.58</v>
      </c>
      <c r="G46" s="88">
        <v>199.46</v>
      </c>
      <c r="H46" s="88">
        <v>198.79</v>
      </c>
      <c r="I46" s="88">
        <v>199.55</v>
      </c>
      <c r="J46" s="88">
        <v>198.37</v>
      </c>
    </row>
    <row r="47" spans="1:10" x14ac:dyDescent="0.25">
      <c r="A47" s="321" t="s">
        <v>905</v>
      </c>
      <c r="B47" s="88">
        <v>199.33</v>
      </c>
      <c r="C47" s="88">
        <v>198.91</v>
      </c>
      <c r="D47" s="88">
        <v>198.89</v>
      </c>
      <c r="E47" s="88">
        <v>199.56</v>
      </c>
      <c r="F47" s="88">
        <v>198.61</v>
      </c>
      <c r="G47" s="88">
        <v>200.62</v>
      </c>
      <c r="H47" s="88">
        <v>199.9</v>
      </c>
      <c r="I47" s="88">
        <v>200.61</v>
      </c>
      <c r="J47" s="88">
        <v>199.42</v>
      </c>
    </row>
    <row r="48" spans="1:10" x14ac:dyDescent="0.25">
      <c r="A48" s="321" t="s">
        <v>906</v>
      </c>
      <c r="B48" s="88">
        <v>200.01</v>
      </c>
      <c r="C48" s="88">
        <v>199.71</v>
      </c>
      <c r="D48" s="88">
        <v>199.6</v>
      </c>
      <c r="E48" s="88">
        <v>200.22</v>
      </c>
      <c r="F48" s="88">
        <v>199.29</v>
      </c>
      <c r="G48" s="88">
        <v>201.25</v>
      </c>
      <c r="H48" s="88">
        <v>200.62</v>
      </c>
      <c r="I48" s="88">
        <v>201.28</v>
      </c>
      <c r="J48" s="88">
        <v>200.18</v>
      </c>
    </row>
    <row r="49" spans="1:10" x14ac:dyDescent="0.25">
      <c r="A49" s="321" t="s">
        <v>907</v>
      </c>
      <c r="B49" s="88">
        <v>200.29</v>
      </c>
      <c r="C49" s="88">
        <v>199.97</v>
      </c>
      <c r="D49" s="88">
        <v>199.83</v>
      </c>
      <c r="E49" s="88">
        <v>200.39</v>
      </c>
      <c r="F49" s="88">
        <v>199.27</v>
      </c>
      <c r="G49" s="88">
        <v>201.34</v>
      </c>
      <c r="H49" s="88">
        <v>200.83</v>
      </c>
      <c r="I49" s="88">
        <v>201.33</v>
      </c>
      <c r="J49" s="88">
        <v>200.33</v>
      </c>
    </row>
    <row r="50" spans="1:10" x14ac:dyDescent="0.25">
      <c r="A50" s="321" t="s">
        <v>908</v>
      </c>
      <c r="B50" s="88">
        <v>200.54</v>
      </c>
      <c r="C50" s="88">
        <v>200.23</v>
      </c>
      <c r="D50" s="88">
        <v>200.11</v>
      </c>
      <c r="E50" s="88">
        <v>200.62</v>
      </c>
      <c r="F50" s="88">
        <v>199.51</v>
      </c>
      <c r="G50" s="88">
        <v>201.61</v>
      </c>
      <c r="H50" s="88">
        <v>201.04</v>
      </c>
      <c r="I50" s="88">
        <v>201.55</v>
      </c>
      <c r="J50" s="88">
        <v>200.49</v>
      </c>
    </row>
    <row r="51" spans="1:10" x14ac:dyDescent="0.25">
      <c r="A51" s="321" t="s">
        <v>909</v>
      </c>
      <c r="B51" s="88">
        <v>200.75</v>
      </c>
      <c r="C51" s="88">
        <v>200.43</v>
      </c>
      <c r="D51" s="88">
        <v>200.31</v>
      </c>
      <c r="E51" s="88">
        <v>200.78</v>
      </c>
      <c r="F51" s="88">
        <v>199.66</v>
      </c>
      <c r="G51" s="88">
        <v>201.74</v>
      </c>
      <c r="H51" s="88">
        <v>201.2</v>
      </c>
      <c r="I51" s="88">
        <v>201.66</v>
      </c>
      <c r="J51" s="88">
        <v>200.65</v>
      </c>
    </row>
    <row r="52" spans="1:10" x14ac:dyDescent="0.25">
      <c r="A52" s="321" t="s">
        <v>910</v>
      </c>
      <c r="B52" s="88">
        <v>201.01</v>
      </c>
      <c r="C52" s="88">
        <v>200.74</v>
      </c>
      <c r="D52" s="88">
        <v>200.59</v>
      </c>
      <c r="E52" s="88">
        <v>200.98</v>
      </c>
      <c r="F52" s="88">
        <v>199.78</v>
      </c>
      <c r="G52" s="88">
        <v>201.99</v>
      </c>
      <c r="H52" s="88">
        <v>201.41</v>
      </c>
      <c r="I52" s="88">
        <v>201.87</v>
      </c>
      <c r="J52" s="88">
        <v>200.89</v>
      </c>
    </row>
    <row r="53" spans="1:10" x14ac:dyDescent="0.25">
      <c r="A53" s="321" t="s">
        <v>911</v>
      </c>
      <c r="B53" s="88">
        <v>201.33</v>
      </c>
      <c r="C53" s="88">
        <v>201.02</v>
      </c>
      <c r="D53" s="88">
        <v>200.9</v>
      </c>
      <c r="E53" s="88">
        <v>201.28</v>
      </c>
      <c r="F53" s="88">
        <v>200.05</v>
      </c>
      <c r="G53" s="88">
        <v>202.27</v>
      </c>
      <c r="H53" s="88">
        <v>201.68</v>
      </c>
      <c r="I53" s="88">
        <v>202.12</v>
      </c>
      <c r="J53" s="88">
        <v>201.16</v>
      </c>
    </row>
    <row r="54" spans="1:10" x14ac:dyDescent="0.25">
      <c r="A54" s="321" t="s">
        <v>912</v>
      </c>
      <c r="B54" s="88">
        <v>201.46</v>
      </c>
      <c r="C54" s="88">
        <v>201.16</v>
      </c>
      <c r="D54" s="88">
        <v>201.07</v>
      </c>
      <c r="E54" s="88">
        <v>201.47</v>
      </c>
      <c r="F54" s="88">
        <v>200.01</v>
      </c>
      <c r="G54" s="88">
        <v>202.3</v>
      </c>
      <c r="H54" s="88">
        <v>201.83</v>
      </c>
      <c r="I54" s="88">
        <v>202.17</v>
      </c>
      <c r="J54" s="88">
        <v>201.26</v>
      </c>
    </row>
    <row r="55" spans="1:10" x14ac:dyDescent="0.25">
      <c r="A55" s="321" t="s">
        <v>913</v>
      </c>
      <c r="B55" s="88">
        <v>201.37</v>
      </c>
      <c r="C55" s="88">
        <v>201.13</v>
      </c>
      <c r="D55" s="88">
        <v>200.95</v>
      </c>
      <c r="E55" s="88">
        <v>201.22</v>
      </c>
      <c r="F55" s="88">
        <v>199.9</v>
      </c>
      <c r="G55" s="88">
        <v>202.16</v>
      </c>
      <c r="H55" s="88">
        <v>201.68</v>
      </c>
      <c r="I55" s="88">
        <v>201.96</v>
      </c>
      <c r="J55" s="88">
        <v>201.07</v>
      </c>
    </row>
    <row r="56" spans="1:10" x14ac:dyDescent="0.25">
      <c r="A56" s="321" t="s">
        <v>914</v>
      </c>
      <c r="B56" s="88">
        <v>201.3</v>
      </c>
      <c r="C56" s="88">
        <v>201.01</v>
      </c>
      <c r="D56" s="88">
        <v>200.85</v>
      </c>
      <c r="E56" s="88">
        <v>201.16</v>
      </c>
      <c r="F56" s="88">
        <v>199.62</v>
      </c>
      <c r="G56" s="88">
        <v>201.99</v>
      </c>
      <c r="H56" s="88">
        <v>201.48</v>
      </c>
      <c r="I56" s="88">
        <v>201.76</v>
      </c>
      <c r="J56" s="88">
        <v>200.88</v>
      </c>
    </row>
    <row r="57" spans="1:10" x14ac:dyDescent="0.25">
      <c r="A57" s="321" t="s">
        <v>915</v>
      </c>
      <c r="B57" s="88">
        <v>201.19</v>
      </c>
      <c r="C57" s="88">
        <v>200.98</v>
      </c>
      <c r="D57" s="88">
        <v>200.85</v>
      </c>
      <c r="E57" s="88">
        <v>201.1</v>
      </c>
      <c r="F57" s="88">
        <v>199.56</v>
      </c>
      <c r="G57" s="88">
        <v>201.95</v>
      </c>
      <c r="H57" s="88">
        <v>201.46</v>
      </c>
      <c r="I57" s="88">
        <v>201.7</v>
      </c>
      <c r="J57" s="88">
        <v>200.83</v>
      </c>
    </row>
    <row r="58" spans="1:10" x14ac:dyDescent="0.25">
      <c r="A58" s="321" t="s">
        <v>916</v>
      </c>
      <c r="B58" s="88">
        <v>201.13</v>
      </c>
      <c r="C58" s="88">
        <v>200.92</v>
      </c>
      <c r="D58" s="88">
        <v>200.79</v>
      </c>
      <c r="E58" s="88">
        <v>201</v>
      </c>
      <c r="F58" s="88">
        <v>199.4</v>
      </c>
      <c r="G58" s="88">
        <v>201.87</v>
      </c>
      <c r="H58" s="88">
        <v>201.36</v>
      </c>
      <c r="I58" s="88">
        <v>201.57</v>
      </c>
      <c r="J58" s="88">
        <v>200.73</v>
      </c>
    </row>
    <row r="59" spans="1:10" x14ac:dyDescent="0.25">
      <c r="A59" s="321" t="s">
        <v>917</v>
      </c>
      <c r="B59" s="88">
        <v>201.03</v>
      </c>
      <c r="C59" s="88">
        <v>200.87</v>
      </c>
      <c r="D59" s="88">
        <v>200.72</v>
      </c>
      <c r="E59" s="88">
        <v>200.9</v>
      </c>
      <c r="F59" s="88">
        <v>199.33</v>
      </c>
      <c r="G59" s="88">
        <v>201.75</v>
      </c>
      <c r="H59" s="88">
        <v>201.26</v>
      </c>
      <c r="I59" s="88">
        <v>201.47</v>
      </c>
      <c r="J59" s="88">
        <v>200.63</v>
      </c>
    </row>
    <row r="60" spans="1:10" x14ac:dyDescent="0.25">
      <c r="A60" s="321" t="s">
        <v>918</v>
      </c>
      <c r="B60" s="88">
        <v>201.08</v>
      </c>
      <c r="C60" s="88">
        <v>200.91</v>
      </c>
      <c r="D60" s="88">
        <v>200.73</v>
      </c>
      <c r="E60" s="88">
        <v>200.92</v>
      </c>
      <c r="F60" s="88">
        <v>199.4</v>
      </c>
      <c r="G60" s="88">
        <v>201.72</v>
      </c>
      <c r="H60" s="88">
        <v>201.26</v>
      </c>
      <c r="I60" s="88">
        <v>201.41</v>
      </c>
      <c r="J60" s="88">
        <v>200.65</v>
      </c>
    </row>
    <row r="61" spans="1:10" x14ac:dyDescent="0.25">
      <c r="A61" s="321" t="s">
        <v>919</v>
      </c>
      <c r="B61" s="88">
        <v>201.09</v>
      </c>
      <c r="C61" s="88">
        <v>200.87</v>
      </c>
      <c r="D61" s="88">
        <v>200.77</v>
      </c>
      <c r="E61" s="88">
        <v>200.93</v>
      </c>
      <c r="F61" s="88">
        <v>199.37</v>
      </c>
      <c r="G61" s="88">
        <v>201.73</v>
      </c>
      <c r="H61" s="88">
        <v>201.23</v>
      </c>
      <c r="I61" s="88">
        <v>201.41</v>
      </c>
      <c r="J61" s="88">
        <v>200.63</v>
      </c>
    </row>
    <row r="62" spans="1:10" x14ac:dyDescent="0.25">
      <c r="A62" s="321" t="s">
        <v>920</v>
      </c>
      <c r="B62" s="88">
        <v>201.08</v>
      </c>
      <c r="C62" s="88">
        <v>200.88</v>
      </c>
      <c r="D62" s="88">
        <v>200.74</v>
      </c>
      <c r="E62" s="88">
        <v>200.88</v>
      </c>
      <c r="F62" s="88">
        <v>199.27</v>
      </c>
      <c r="G62" s="88">
        <v>201.72</v>
      </c>
      <c r="H62" s="88">
        <v>201.24</v>
      </c>
      <c r="I62" s="88">
        <v>201.37</v>
      </c>
      <c r="J62" s="88">
        <v>200.58</v>
      </c>
    </row>
    <row r="63" spans="1:10" x14ac:dyDescent="0.25">
      <c r="A63" s="321" t="s">
        <v>921</v>
      </c>
      <c r="B63" s="88">
        <v>201.07</v>
      </c>
      <c r="C63" s="88">
        <v>200.87</v>
      </c>
      <c r="D63" s="88">
        <v>200.71</v>
      </c>
      <c r="E63" s="88">
        <v>200.87</v>
      </c>
      <c r="F63" s="88">
        <v>199.19</v>
      </c>
      <c r="G63" s="88">
        <v>201.67</v>
      </c>
      <c r="H63" s="88">
        <v>201.14</v>
      </c>
      <c r="I63" s="88">
        <v>201.3</v>
      </c>
      <c r="J63" s="88">
        <v>200.51</v>
      </c>
    </row>
    <row r="64" spans="1:10" x14ac:dyDescent="0.25">
      <c r="A64" s="321" t="s">
        <v>922</v>
      </c>
      <c r="B64" s="88">
        <v>201.03</v>
      </c>
      <c r="C64" s="88">
        <v>200.85</v>
      </c>
      <c r="D64" s="88">
        <v>200.73</v>
      </c>
      <c r="E64" s="88">
        <v>200.88</v>
      </c>
      <c r="F64" s="88">
        <v>199.21</v>
      </c>
      <c r="G64" s="88">
        <v>201.67</v>
      </c>
      <c r="H64" s="88">
        <v>201.16</v>
      </c>
      <c r="I64" s="88">
        <v>201.3</v>
      </c>
      <c r="J64" s="88">
        <v>200.55</v>
      </c>
    </row>
    <row r="65" spans="1:10" x14ac:dyDescent="0.25">
      <c r="A65" s="321" t="s">
        <v>923</v>
      </c>
      <c r="B65" s="88">
        <v>201.03</v>
      </c>
      <c r="C65" s="88">
        <v>200.83</v>
      </c>
      <c r="D65" s="88">
        <v>200.7</v>
      </c>
      <c r="E65" s="88">
        <v>200.82</v>
      </c>
      <c r="F65" s="88">
        <v>199.04</v>
      </c>
      <c r="G65" s="88">
        <v>201.6</v>
      </c>
      <c r="H65" s="88">
        <v>201.12</v>
      </c>
      <c r="I65" s="88">
        <v>201.27</v>
      </c>
      <c r="J65" s="88">
        <v>200.48</v>
      </c>
    </row>
    <row r="66" spans="1:10" x14ac:dyDescent="0.25">
      <c r="A66" s="321" t="s">
        <v>924</v>
      </c>
      <c r="B66" s="88">
        <v>201</v>
      </c>
      <c r="C66" s="88">
        <v>200.79</v>
      </c>
      <c r="D66" s="88">
        <v>200.68</v>
      </c>
      <c r="E66" s="88">
        <v>200.76</v>
      </c>
      <c r="F66" s="88">
        <v>199.19</v>
      </c>
      <c r="G66" s="88">
        <v>201.62</v>
      </c>
      <c r="H66" s="88">
        <v>201.14</v>
      </c>
      <c r="I66" s="88">
        <v>201.27</v>
      </c>
      <c r="J66" s="88">
        <v>200.5</v>
      </c>
    </row>
    <row r="67" spans="1:10" x14ac:dyDescent="0.25">
      <c r="A67" s="321" t="s">
        <v>925</v>
      </c>
      <c r="B67" s="88">
        <v>201.03</v>
      </c>
      <c r="C67" s="88">
        <v>200.85</v>
      </c>
      <c r="D67" s="88">
        <v>200.74</v>
      </c>
      <c r="E67" s="88">
        <v>200.9</v>
      </c>
      <c r="F67" s="88">
        <v>199.19</v>
      </c>
      <c r="G67" s="88">
        <v>201.65</v>
      </c>
      <c r="H67" s="88">
        <v>201.11</v>
      </c>
      <c r="I67" s="88">
        <v>201.25</v>
      </c>
      <c r="J67" s="88">
        <v>200.5</v>
      </c>
    </row>
    <row r="68" spans="1:10" x14ac:dyDescent="0.25">
      <c r="A68" s="321" t="s">
        <v>926</v>
      </c>
      <c r="B68" s="88">
        <v>201.04</v>
      </c>
      <c r="C68" s="88">
        <v>200.86</v>
      </c>
      <c r="D68" s="88">
        <v>200.73</v>
      </c>
      <c r="E68" s="88">
        <v>200.86</v>
      </c>
      <c r="F68" s="88">
        <v>199.26</v>
      </c>
      <c r="G68" s="88">
        <v>201.67</v>
      </c>
      <c r="H68" s="88">
        <v>201.19</v>
      </c>
      <c r="I68" s="88">
        <v>201.29</v>
      </c>
      <c r="J68" s="88">
        <v>200.52</v>
      </c>
    </row>
    <row r="69" spans="1:10" x14ac:dyDescent="0.25">
      <c r="A69" s="321" t="s">
        <v>927</v>
      </c>
      <c r="B69" s="88">
        <v>200.99</v>
      </c>
      <c r="C69" s="88">
        <v>200.85</v>
      </c>
      <c r="D69" s="88">
        <v>200.72</v>
      </c>
      <c r="E69" s="88">
        <v>200.85</v>
      </c>
      <c r="F69" s="88">
        <v>199.18</v>
      </c>
      <c r="G69" s="88">
        <v>201.61</v>
      </c>
      <c r="H69" s="88">
        <v>201.17</v>
      </c>
      <c r="I69" s="88">
        <v>201.24</v>
      </c>
      <c r="J69" s="88">
        <v>200.5</v>
      </c>
    </row>
    <row r="70" spans="1:10" x14ac:dyDescent="0.25">
      <c r="A70" s="321" t="s">
        <v>928</v>
      </c>
      <c r="B70" s="88">
        <v>201.01</v>
      </c>
      <c r="C70" s="88">
        <v>200.86</v>
      </c>
      <c r="D70" s="88">
        <v>200.75</v>
      </c>
      <c r="E70" s="88">
        <v>200.88</v>
      </c>
      <c r="F70" s="88">
        <v>199.2</v>
      </c>
      <c r="G70" s="88">
        <v>201.62</v>
      </c>
      <c r="H70" s="88">
        <v>201.16</v>
      </c>
      <c r="I70" s="88">
        <v>201.29</v>
      </c>
      <c r="J70" s="88">
        <v>200.52</v>
      </c>
    </row>
    <row r="71" spans="1:10" x14ac:dyDescent="0.25">
      <c r="A71" s="321" t="s">
        <v>929</v>
      </c>
      <c r="B71" s="88">
        <v>200.98</v>
      </c>
      <c r="C71" s="88">
        <v>200.8</v>
      </c>
      <c r="D71" s="88">
        <v>200.68</v>
      </c>
      <c r="E71" s="88">
        <v>200.83</v>
      </c>
      <c r="F71" s="88">
        <v>199.11</v>
      </c>
      <c r="G71" s="88">
        <v>201.56</v>
      </c>
      <c r="H71" s="88">
        <v>201.1</v>
      </c>
      <c r="I71" s="88">
        <v>201.29</v>
      </c>
      <c r="J71" s="88">
        <v>200.48</v>
      </c>
    </row>
    <row r="72" spans="1:10" x14ac:dyDescent="0.25">
      <c r="A72" s="321" t="s">
        <v>930</v>
      </c>
      <c r="B72" s="88">
        <v>200.96</v>
      </c>
      <c r="C72" s="88">
        <v>200.78</v>
      </c>
      <c r="D72" s="88">
        <v>200.69</v>
      </c>
      <c r="E72" s="88">
        <v>200.82</v>
      </c>
      <c r="F72" s="88">
        <v>199.06</v>
      </c>
      <c r="G72" s="88">
        <v>201.52</v>
      </c>
      <c r="H72" s="88">
        <v>201.06</v>
      </c>
      <c r="I72" s="88">
        <v>201.17</v>
      </c>
      <c r="J72" s="88">
        <v>200.45</v>
      </c>
    </row>
    <row r="73" spans="1:10" x14ac:dyDescent="0.25">
      <c r="A73" s="321" t="s">
        <v>931</v>
      </c>
      <c r="B73" s="88">
        <v>200.96</v>
      </c>
      <c r="C73" s="88">
        <v>200.83</v>
      </c>
      <c r="D73" s="88">
        <v>200.7</v>
      </c>
      <c r="E73" s="88">
        <v>200.83</v>
      </c>
      <c r="F73" s="88">
        <v>199.22</v>
      </c>
      <c r="G73" s="88">
        <v>201.56</v>
      </c>
      <c r="H73" s="88">
        <v>201.1</v>
      </c>
      <c r="I73" s="88">
        <v>201.19</v>
      </c>
      <c r="J73" s="88">
        <v>200.48</v>
      </c>
    </row>
    <row r="74" spans="1:10" x14ac:dyDescent="0.25">
      <c r="A74" s="321" t="s">
        <v>932</v>
      </c>
      <c r="B74" s="88">
        <v>201.01</v>
      </c>
      <c r="C74" s="88">
        <v>200.83</v>
      </c>
      <c r="D74" s="88">
        <v>200.7</v>
      </c>
      <c r="E74" s="88">
        <v>200.86</v>
      </c>
      <c r="F74" s="88">
        <v>199.2</v>
      </c>
      <c r="G74" s="88">
        <v>201.57</v>
      </c>
      <c r="H74" s="88">
        <v>201.12</v>
      </c>
      <c r="I74" s="88">
        <v>201.2</v>
      </c>
      <c r="J74" s="88">
        <v>200.47</v>
      </c>
    </row>
    <row r="75" spans="1:10" x14ac:dyDescent="0.25">
      <c r="A75" s="321" t="s">
        <v>933</v>
      </c>
      <c r="B75" s="88">
        <v>201.05</v>
      </c>
      <c r="C75" s="88">
        <v>200.84</v>
      </c>
      <c r="D75" s="88">
        <v>200.76</v>
      </c>
      <c r="E75" s="88">
        <v>200.86</v>
      </c>
      <c r="F75" s="88">
        <v>199.23</v>
      </c>
      <c r="G75" s="88">
        <v>201.59</v>
      </c>
      <c r="H75" s="88">
        <v>201.13</v>
      </c>
      <c r="I75" s="88">
        <v>201.23</v>
      </c>
      <c r="J75" s="88">
        <v>200.56</v>
      </c>
    </row>
    <row r="76" spans="1:10" x14ac:dyDescent="0.25">
      <c r="A76" s="321" t="s">
        <v>934</v>
      </c>
      <c r="B76" s="88">
        <v>200.99</v>
      </c>
      <c r="C76" s="88">
        <v>200.85</v>
      </c>
      <c r="D76" s="88">
        <v>200.69</v>
      </c>
      <c r="E76" s="88">
        <v>200.8</v>
      </c>
      <c r="F76" s="88">
        <v>199.16</v>
      </c>
      <c r="G76" s="88">
        <v>201.56</v>
      </c>
      <c r="H76" s="88">
        <v>201.08</v>
      </c>
      <c r="I76" s="88">
        <v>201.2</v>
      </c>
      <c r="J76" s="88">
        <v>200.47</v>
      </c>
    </row>
    <row r="77" spans="1:10" x14ac:dyDescent="0.25">
      <c r="A77" s="321" t="s">
        <v>935</v>
      </c>
      <c r="B77" s="88">
        <v>201.08</v>
      </c>
      <c r="C77" s="88">
        <v>200.82</v>
      </c>
      <c r="D77" s="88">
        <v>200.71</v>
      </c>
      <c r="E77" s="88">
        <v>200.86</v>
      </c>
      <c r="F77" s="88">
        <v>199.21</v>
      </c>
      <c r="G77" s="88">
        <v>201.55</v>
      </c>
      <c r="H77" s="88">
        <v>201.09</v>
      </c>
      <c r="I77" s="88">
        <v>201.17</v>
      </c>
      <c r="J77" s="88">
        <v>200.5</v>
      </c>
    </row>
    <row r="78" spans="1:10" x14ac:dyDescent="0.25">
      <c r="A78" s="321" t="s">
        <v>936</v>
      </c>
      <c r="B78" s="88">
        <v>200.95</v>
      </c>
      <c r="C78" s="88">
        <v>200.8</v>
      </c>
      <c r="D78" s="88">
        <v>200.7</v>
      </c>
      <c r="E78" s="88">
        <v>200.79</v>
      </c>
      <c r="F78" s="88">
        <v>199.13</v>
      </c>
      <c r="G78" s="88">
        <v>201.49</v>
      </c>
      <c r="H78" s="88">
        <v>201.09</v>
      </c>
      <c r="I78" s="88">
        <v>201.18</v>
      </c>
      <c r="J78" s="88">
        <v>200.45</v>
      </c>
    </row>
    <row r="79" spans="1:10" x14ac:dyDescent="0.25">
      <c r="A79" s="321" t="s">
        <v>937</v>
      </c>
      <c r="B79" s="88">
        <v>201.02</v>
      </c>
      <c r="C79" s="88">
        <v>200.83</v>
      </c>
      <c r="D79" s="88">
        <v>200.7</v>
      </c>
      <c r="E79" s="88">
        <v>200.82</v>
      </c>
      <c r="F79" s="88">
        <v>199.1</v>
      </c>
      <c r="G79" s="88">
        <v>201.53</v>
      </c>
      <c r="H79" s="88">
        <v>201.1</v>
      </c>
      <c r="I79" s="88">
        <v>201.22</v>
      </c>
      <c r="J79" s="88">
        <v>200.51</v>
      </c>
    </row>
    <row r="80" spans="1:10" x14ac:dyDescent="0.25">
      <c r="A80" s="321" t="s">
        <v>938</v>
      </c>
      <c r="B80" s="88">
        <v>201.02</v>
      </c>
      <c r="C80" s="88">
        <v>200.87</v>
      </c>
      <c r="D80" s="88">
        <v>200.73</v>
      </c>
      <c r="E80" s="88">
        <v>200.86</v>
      </c>
      <c r="F80" s="88">
        <v>199.22</v>
      </c>
      <c r="G80" s="88">
        <v>201.51</v>
      </c>
      <c r="H80" s="88">
        <v>201.1</v>
      </c>
      <c r="I80" s="88">
        <v>201.16</v>
      </c>
      <c r="J80" s="88">
        <v>200.51</v>
      </c>
    </row>
    <row r="81" spans="1:10" x14ac:dyDescent="0.25">
      <c r="A81" s="321" t="s">
        <v>939</v>
      </c>
      <c r="B81" s="88">
        <v>201.01</v>
      </c>
      <c r="C81" s="88">
        <v>200.83</v>
      </c>
      <c r="D81" s="88">
        <v>200.72</v>
      </c>
      <c r="E81" s="88">
        <v>200.85</v>
      </c>
      <c r="F81" s="88">
        <v>199.22</v>
      </c>
      <c r="G81" s="88">
        <v>201.56</v>
      </c>
      <c r="H81" s="88">
        <v>201.11</v>
      </c>
      <c r="I81" s="88">
        <v>201.19</v>
      </c>
      <c r="J81" s="88">
        <v>200.49</v>
      </c>
    </row>
    <row r="82" spans="1:10" x14ac:dyDescent="0.25">
      <c r="A82" s="321" t="s">
        <v>940</v>
      </c>
      <c r="B82" s="88">
        <v>201.01</v>
      </c>
      <c r="C82" s="88">
        <v>200.83</v>
      </c>
      <c r="D82" s="88">
        <v>200.72</v>
      </c>
      <c r="E82" s="88">
        <v>200.85</v>
      </c>
      <c r="F82" s="88">
        <v>199.16</v>
      </c>
      <c r="G82" s="88">
        <v>201.53</v>
      </c>
      <c r="H82" s="88">
        <v>201.1</v>
      </c>
      <c r="I82" s="88">
        <v>201.19</v>
      </c>
      <c r="J82" s="88">
        <v>200.46</v>
      </c>
    </row>
    <row r="83" spans="1:10" x14ac:dyDescent="0.25">
      <c r="A83" s="321" t="s">
        <v>941</v>
      </c>
      <c r="B83" s="88">
        <v>200.94</v>
      </c>
      <c r="C83" s="88">
        <v>200.79</v>
      </c>
      <c r="D83" s="88">
        <v>200.71</v>
      </c>
      <c r="E83" s="88">
        <v>200.82</v>
      </c>
      <c r="F83" s="88">
        <v>199.14</v>
      </c>
      <c r="G83" s="88">
        <v>201.54</v>
      </c>
      <c r="H83" s="88">
        <v>201.05</v>
      </c>
      <c r="I83" s="88">
        <v>201.16</v>
      </c>
      <c r="J83" s="88">
        <v>200.47</v>
      </c>
    </row>
    <row r="84" spans="1:10" x14ac:dyDescent="0.25">
      <c r="A84" s="321" t="s">
        <v>942</v>
      </c>
      <c r="B84" s="88">
        <v>201.09</v>
      </c>
      <c r="C84" s="88">
        <v>200.92</v>
      </c>
      <c r="D84" s="88">
        <v>200.82</v>
      </c>
      <c r="E84" s="88">
        <v>200.9</v>
      </c>
      <c r="F84" s="88">
        <v>199.21</v>
      </c>
      <c r="G84" s="88">
        <v>201.6</v>
      </c>
      <c r="H84" s="88">
        <v>201.16</v>
      </c>
      <c r="I84" s="88">
        <v>201.27</v>
      </c>
      <c r="J84" s="88">
        <v>200.53</v>
      </c>
    </row>
    <row r="85" spans="1:10" x14ac:dyDescent="0.25">
      <c r="A85" s="321" t="s">
        <v>943</v>
      </c>
      <c r="B85" s="88">
        <v>201.02</v>
      </c>
      <c r="C85" s="88">
        <v>200.84</v>
      </c>
      <c r="D85" s="88">
        <v>200.71</v>
      </c>
      <c r="E85" s="88">
        <v>200.79</v>
      </c>
      <c r="F85" s="88">
        <v>199</v>
      </c>
      <c r="G85" s="88">
        <v>201.5</v>
      </c>
      <c r="H85" s="88">
        <v>201.06</v>
      </c>
      <c r="I85" s="88">
        <v>201.14</v>
      </c>
      <c r="J85" s="88">
        <v>200.42</v>
      </c>
    </row>
    <row r="86" spans="1:10" x14ac:dyDescent="0.25">
      <c r="A86" s="321" t="s">
        <v>944</v>
      </c>
      <c r="B86" s="88">
        <v>200.94</v>
      </c>
      <c r="C86" s="88">
        <v>200.79</v>
      </c>
      <c r="D86" s="88">
        <v>200.7</v>
      </c>
      <c r="E86" s="88">
        <v>200.78</v>
      </c>
      <c r="F86" s="88">
        <v>199.17</v>
      </c>
      <c r="G86" s="88">
        <v>201.52</v>
      </c>
      <c r="H86" s="88">
        <v>201.06</v>
      </c>
      <c r="I86" s="88">
        <v>201.15</v>
      </c>
      <c r="J86" s="88">
        <v>200.43</v>
      </c>
    </row>
    <row r="87" spans="1:10" x14ac:dyDescent="0.25">
      <c r="A87" s="321" t="s">
        <v>945</v>
      </c>
      <c r="B87" s="88">
        <v>200.98</v>
      </c>
      <c r="C87" s="88">
        <v>200.82</v>
      </c>
      <c r="D87" s="88">
        <v>200.7</v>
      </c>
      <c r="E87" s="88">
        <v>200.83</v>
      </c>
      <c r="F87" s="88">
        <v>199.22</v>
      </c>
      <c r="G87" s="88">
        <v>201.54</v>
      </c>
      <c r="H87" s="88">
        <v>201.1</v>
      </c>
      <c r="I87" s="88">
        <v>201.15</v>
      </c>
      <c r="J87" s="88">
        <v>200.47</v>
      </c>
    </row>
    <row r="88" spans="1:10" x14ac:dyDescent="0.25">
      <c r="A88" s="321" t="s">
        <v>946</v>
      </c>
      <c r="B88" s="88">
        <v>200.97</v>
      </c>
      <c r="C88" s="88">
        <v>200.82</v>
      </c>
      <c r="D88" s="88">
        <v>200.68</v>
      </c>
      <c r="E88" s="88">
        <v>200.81</v>
      </c>
      <c r="F88" s="88">
        <v>199.18</v>
      </c>
      <c r="G88" s="88">
        <v>201.5</v>
      </c>
      <c r="H88" s="88">
        <v>201.07</v>
      </c>
      <c r="I88" s="88">
        <v>201.17</v>
      </c>
      <c r="J88" s="88">
        <v>200.48</v>
      </c>
    </row>
    <row r="89" spans="1:10" x14ac:dyDescent="0.25">
      <c r="A89" s="321" t="s">
        <v>947</v>
      </c>
      <c r="B89" s="88">
        <v>201.07</v>
      </c>
      <c r="C89" s="88">
        <v>200.91</v>
      </c>
      <c r="D89" s="88">
        <v>200.82</v>
      </c>
      <c r="E89" s="88">
        <v>200.92</v>
      </c>
      <c r="F89" s="88">
        <v>199.23</v>
      </c>
      <c r="G89" s="88">
        <v>201.57</v>
      </c>
      <c r="H89" s="88">
        <v>201.15</v>
      </c>
      <c r="I89" s="88">
        <v>201.25</v>
      </c>
      <c r="J89" s="88">
        <v>200.54</v>
      </c>
    </row>
    <row r="90" spans="1:10" x14ac:dyDescent="0.25">
      <c r="A90" s="321" t="s">
        <v>948</v>
      </c>
      <c r="B90" s="88">
        <v>201.01</v>
      </c>
      <c r="C90" s="88">
        <v>200.87</v>
      </c>
      <c r="D90" s="88">
        <v>200.74</v>
      </c>
      <c r="E90" s="88">
        <v>200.86</v>
      </c>
      <c r="F90" s="88">
        <v>199.14</v>
      </c>
      <c r="G90" s="88">
        <v>201.54</v>
      </c>
      <c r="H90" s="88">
        <v>201.1</v>
      </c>
      <c r="I90" s="88">
        <v>201.16</v>
      </c>
      <c r="J90" s="88">
        <v>200.49</v>
      </c>
    </row>
    <row r="91" spans="1:10" x14ac:dyDescent="0.25">
      <c r="A91" s="321" t="s">
        <v>949</v>
      </c>
      <c r="B91" s="88">
        <v>200.95</v>
      </c>
      <c r="C91" s="88">
        <v>200.82</v>
      </c>
      <c r="D91" s="88">
        <v>200.73</v>
      </c>
      <c r="E91" s="88">
        <v>200.81</v>
      </c>
      <c r="F91" s="88">
        <v>199.14</v>
      </c>
      <c r="G91" s="88">
        <v>201.53</v>
      </c>
      <c r="H91" s="88">
        <v>201.06</v>
      </c>
      <c r="I91" s="88">
        <v>201.15</v>
      </c>
      <c r="J91" s="88">
        <v>200.49</v>
      </c>
    </row>
    <row r="92" spans="1:10" x14ac:dyDescent="0.25">
      <c r="A92" s="321" t="s">
        <v>950</v>
      </c>
      <c r="B92" s="88">
        <v>201.03</v>
      </c>
      <c r="C92" s="88">
        <v>200.87</v>
      </c>
      <c r="D92" s="88">
        <v>200.74</v>
      </c>
      <c r="E92" s="88">
        <v>200.83</v>
      </c>
      <c r="F92" s="88">
        <v>199.18</v>
      </c>
      <c r="G92" s="88">
        <v>201.54</v>
      </c>
      <c r="H92" s="88">
        <v>201.1</v>
      </c>
      <c r="I92" s="88">
        <v>201.17</v>
      </c>
      <c r="J92" s="88">
        <v>200.5</v>
      </c>
    </row>
    <row r="93" spans="1:10" x14ac:dyDescent="0.25">
      <c r="A93" s="321" t="s">
        <v>951</v>
      </c>
      <c r="B93" s="88">
        <v>200.99</v>
      </c>
      <c r="C93" s="88">
        <v>200.79</v>
      </c>
      <c r="D93" s="88">
        <v>200.72</v>
      </c>
      <c r="E93" s="88">
        <v>200.79</v>
      </c>
      <c r="F93" s="88">
        <v>199.11</v>
      </c>
      <c r="G93" s="88">
        <v>201.54</v>
      </c>
      <c r="H93" s="88">
        <v>201.08</v>
      </c>
      <c r="I93" s="88">
        <v>201.14</v>
      </c>
      <c r="J93" s="88">
        <v>200.49</v>
      </c>
    </row>
  </sheetData>
  <sheetProtection algorithmName="SHA-512" hashValue="qYkH6Yu+chZos8VFW3pCdpMY9iUrlGKSUrRgabOH06z6/0Pz+o/TI9/jbfoF2SY4mkdROaVR9e/CKktuGsepMQ==" saltValue="ZuiRhURvcWF9UPFunuR7s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5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8" t="s">
        <v>573</v>
      </c>
      <c r="B2">
        <v>343.26</v>
      </c>
      <c r="C2">
        <v>341.12</v>
      </c>
      <c r="D2">
        <v>341.41</v>
      </c>
      <c r="E2">
        <v>343.94</v>
      </c>
      <c r="F2">
        <v>344.68</v>
      </c>
      <c r="G2">
        <v>347.15</v>
      </c>
      <c r="H2">
        <v>344.46</v>
      </c>
      <c r="I2">
        <v>348.16</v>
      </c>
      <c r="J2">
        <v>344.53</v>
      </c>
    </row>
    <row r="3" spans="1:15" x14ac:dyDescent="0.25">
      <c r="A3" s="321" t="s">
        <v>574</v>
      </c>
      <c r="B3" s="88">
        <v>346.51</v>
      </c>
      <c r="C3" s="88">
        <v>344.51</v>
      </c>
      <c r="D3" s="88">
        <v>344.67</v>
      </c>
      <c r="E3" s="88">
        <v>347.22</v>
      </c>
      <c r="F3" s="88">
        <v>347.96</v>
      </c>
      <c r="G3" s="88">
        <v>350.42</v>
      </c>
      <c r="H3" s="88">
        <v>347.69</v>
      </c>
      <c r="I3" s="88">
        <v>351.36</v>
      </c>
      <c r="J3" s="88">
        <v>347.73</v>
      </c>
    </row>
    <row r="4" spans="1:15" x14ac:dyDescent="0.25">
      <c r="A4" s="321" t="s">
        <v>575</v>
      </c>
      <c r="B4" s="88">
        <v>349.72</v>
      </c>
      <c r="C4" s="88">
        <v>347.69</v>
      </c>
      <c r="D4" s="88">
        <v>347.92</v>
      </c>
      <c r="E4" s="88">
        <v>350.42</v>
      </c>
      <c r="F4" s="88">
        <v>351.13</v>
      </c>
      <c r="G4" s="88">
        <v>353.54</v>
      </c>
      <c r="H4" s="88">
        <v>350.87</v>
      </c>
      <c r="I4" s="88">
        <v>354.6</v>
      </c>
      <c r="J4" s="88">
        <v>351</v>
      </c>
    </row>
    <row r="5" spans="1:15" x14ac:dyDescent="0.25">
      <c r="A5" s="321" t="s">
        <v>576</v>
      </c>
      <c r="B5" s="88">
        <v>352.94</v>
      </c>
      <c r="C5" s="88">
        <v>350.9</v>
      </c>
      <c r="D5" s="88">
        <v>351.17</v>
      </c>
      <c r="E5" s="88">
        <v>353.53</v>
      </c>
      <c r="F5" s="88">
        <v>354.26</v>
      </c>
      <c r="G5" s="88">
        <v>356.76</v>
      </c>
      <c r="H5" s="88">
        <v>354.02</v>
      </c>
      <c r="I5" s="88">
        <v>357.65</v>
      </c>
      <c r="J5" s="88">
        <v>354.02</v>
      </c>
    </row>
    <row r="6" spans="1:15" x14ac:dyDescent="0.25">
      <c r="A6" s="321" t="s">
        <v>577</v>
      </c>
      <c r="B6" s="88">
        <v>356.15</v>
      </c>
      <c r="C6" s="88">
        <v>354</v>
      </c>
      <c r="D6" s="88">
        <v>354.34</v>
      </c>
      <c r="E6" s="88">
        <v>356.72</v>
      </c>
      <c r="F6" s="88">
        <v>357.32</v>
      </c>
      <c r="G6" s="88">
        <v>360.01</v>
      </c>
      <c r="H6" s="88">
        <v>357.23</v>
      </c>
      <c r="I6" s="88">
        <v>360.91</v>
      </c>
      <c r="J6" s="88">
        <v>357.29</v>
      </c>
    </row>
    <row r="7" spans="1:15" x14ac:dyDescent="0.25">
      <c r="A7" s="321" t="s">
        <v>578</v>
      </c>
      <c r="B7" s="88">
        <v>359.15</v>
      </c>
      <c r="C7" s="88">
        <v>357.25</v>
      </c>
      <c r="D7" s="88">
        <v>357.48</v>
      </c>
      <c r="E7" s="88">
        <v>359.78</v>
      </c>
      <c r="F7" s="88">
        <v>360.53</v>
      </c>
      <c r="G7" s="88">
        <v>363.15</v>
      </c>
      <c r="H7" s="88">
        <v>360.33</v>
      </c>
      <c r="I7" s="88">
        <v>363.86</v>
      </c>
      <c r="J7" s="88">
        <v>360.33</v>
      </c>
    </row>
    <row r="8" spans="1:15" ht="15.75" thickBot="1" x14ac:dyDescent="0.3">
      <c r="A8" s="321" t="s">
        <v>579</v>
      </c>
      <c r="B8" s="88">
        <v>362.28</v>
      </c>
      <c r="C8" s="88">
        <v>360.33</v>
      </c>
      <c r="D8" s="88">
        <v>360.6</v>
      </c>
      <c r="E8" s="88">
        <v>362.81</v>
      </c>
      <c r="F8" s="88">
        <v>363.55</v>
      </c>
      <c r="G8" s="88">
        <v>366.16</v>
      </c>
      <c r="H8" s="88">
        <v>363.54</v>
      </c>
      <c r="I8" s="88">
        <v>367.01</v>
      </c>
      <c r="J8" s="88">
        <v>363.4</v>
      </c>
    </row>
    <row r="9" spans="1:15" x14ac:dyDescent="0.25">
      <c r="A9" s="321" t="s">
        <v>580</v>
      </c>
      <c r="B9" s="88">
        <v>365.43</v>
      </c>
      <c r="C9" s="88">
        <v>363.5</v>
      </c>
      <c r="D9" s="88">
        <v>363.7</v>
      </c>
      <c r="E9" s="88">
        <v>366</v>
      </c>
      <c r="F9" s="88">
        <v>366.67</v>
      </c>
      <c r="G9" s="88">
        <v>369.14</v>
      </c>
      <c r="H9" s="88">
        <v>366.47</v>
      </c>
      <c r="I9" s="88">
        <v>370.18</v>
      </c>
      <c r="J9" s="88">
        <v>366.52</v>
      </c>
      <c r="L9" s="362" t="s">
        <v>525</v>
      </c>
      <c r="M9" s="363"/>
      <c r="N9" s="363"/>
      <c r="O9" s="364"/>
    </row>
    <row r="10" spans="1:15" x14ac:dyDescent="0.25">
      <c r="A10" s="321" t="s">
        <v>581</v>
      </c>
      <c r="B10" s="88">
        <v>368.43</v>
      </c>
      <c r="C10" s="88">
        <v>366.68</v>
      </c>
      <c r="D10" s="88">
        <v>366.84</v>
      </c>
      <c r="E10" s="88">
        <v>369.04</v>
      </c>
      <c r="F10" s="88">
        <v>369.37</v>
      </c>
      <c r="G10" s="88">
        <v>372.39</v>
      </c>
      <c r="H10" s="88">
        <v>369.61</v>
      </c>
      <c r="I10" s="88">
        <v>373.07</v>
      </c>
      <c r="J10" s="88">
        <v>369.64</v>
      </c>
      <c r="L10" s="365"/>
      <c r="M10" s="366"/>
      <c r="N10" s="366"/>
      <c r="O10" s="367"/>
    </row>
    <row r="11" spans="1:15" x14ac:dyDescent="0.25">
      <c r="A11" s="321" t="s">
        <v>582</v>
      </c>
      <c r="B11" s="88">
        <v>371.68</v>
      </c>
      <c r="C11" s="88">
        <v>369.72</v>
      </c>
      <c r="D11" s="88">
        <v>369.84</v>
      </c>
      <c r="E11" s="88">
        <v>372.1</v>
      </c>
      <c r="F11" s="88">
        <v>372.79</v>
      </c>
      <c r="G11" s="88">
        <v>375.4</v>
      </c>
      <c r="H11" s="88">
        <v>372.6</v>
      </c>
      <c r="I11" s="88">
        <v>376.46</v>
      </c>
      <c r="J11" s="88">
        <v>372.7</v>
      </c>
      <c r="L11" s="365"/>
      <c r="M11" s="366"/>
      <c r="N11" s="366"/>
      <c r="O11" s="367"/>
    </row>
    <row r="12" spans="1:15" x14ac:dyDescent="0.25">
      <c r="A12" s="321" t="s">
        <v>583</v>
      </c>
      <c r="B12" s="88">
        <v>374.61</v>
      </c>
      <c r="C12" s="88">
        <v>372.72</v>
      </c>
      <c r="D12" s="88">
        <v>372.81</v>
      </c>
      <c r="E12" s="88">
        <v>375.05</v>
      </c>
      <c r="F12" s="88">
        <v>375.63</v>
      </c>
      <c r="G12" s="88">
        <v>378.31</v>
      </c>
      <c r="H12" s="88">
        <v>375.71</v>
      </c>
      <c r="I12" s="88">
        <v>379.43</v>
      </c>
      <c r="J12" s="88">
        <v>375.69</v>
      </c>
      <c r="L12" s="365"/>
      <c r="M12" s="366"/>
      <c r="N12" s="366"/>
      <c r="O12" s="367"/>
    </row>
    <row r="13" spans="1:15" x14ac:dyDescent="0.25">
      <c r="A13" s="321" t="s">
        <v>584</v>
      </c>
      <c r="B13" s="88">
        <v>377.62</v>
      </c>
      <c r="C13" s="88">
        <v>375.7</v>
      </c>
      <c r="D13" s="88">
        <v>375.96</v>
      </c>
      <c r="E13" s="88">
        <v>378.15</v>
      </c>
      <c r="F13" s="88">
        <v>378.78</v>
      </c>
      <c r="G13" s="88">
        <v>381.4</v>
      </c>
      <c r="H13" s="88">
        <v>378.71</v>
      </c>
      <c r="I13" s="88">
        <v>382.45</v>
      </c>
      <c r="J13" s="88">
        <v>378.79</v>
      </c>
      <c r="L13" s="365"/>
      <c r="M13" s="366"/>
      <c r="N13" s="366"/>
      <c r="O13" s="367"/>
    </row>
    <row r="14" spans="1:15" x14ac:dyDescent="0.25">
      <c r="A14" s="321" t="s">
        <v>585</v>
      </c>
      <c r="B14" s="88">
        <v>380.73</v>
      </c>
      <c r="C14" s="88">
        <v>378.84</v>
      </c>
      <c r="D14" s="88">
        <v>379.02</v>
      </c>
      <c r="E14" s="88">
        <v>381.13</v>
      </c>
      <c r="F14" s="88">
        <v>381.53</v>
      </c>
      <c r="G14" s="88">
        <v>384.45</v>
      </c>
      <c r="H14" s="88">
        <v>381.75</v>
      </c>
      <c r="I14" s="88">
        <v>385.27</v>
      </c>
      <c r="J14" s="88">
        <v>381.72</v>
      </c>
      <c r="L14" s="365"/>
      <c r="M14" s="366"/>
      <c r="N14" s="366"/>
      <c r="O14" s="367"/>
    </row>
    <row r="15" spans="1:15" ht="15.75" thickBot="1" x14ac:dyDescent="0.3">
      <c r="A15" s="321" t="s">
        <v>586</v>
      </c>
      <c r="B15" s="88">
        <v>382.68</v>
      </c>
      <c r="C15" s="88">
        <v>381</v>
      </c>
      <c r="D15" s="88">
        <v>381.08</v>
      </c>
      <c r="E15" s="88">
        <v>383.03</v>
      </c>
      <c r="F15" s="88">
        <v>382.91</v>
      </c>
      <c r="G15" s="88">
        <v>386.02</v>
      </c>
      <c r="H15" s="88">
        <v>383.67</v>
      </c>
      <c r="I15" s="88">
        <v>386.92</v>
      </c>
      <c r="J15" s="88">
        <v>383.57</v>
      </c>
      <c r="L15" s="368"/>
      <c r="M15" s="369"/>
      <c r="N15" s="369"/>
      <c r="O15" s="370"/>
    </row>
    <row r="16" spans="1:15" x14ac:dyDescent="0.25">
      <c r="A16" s="321" t="s">
        <v>587</v>
      </c>
      <c r="B16" s="88">
        <v>384.01</v>
      </c>
      <c r="C16" s="88">
        <v>382.52</v>
      </c>
      <c r="D16" s="88">
        <v>382.41</v>
      </c>
      <c r="E16" s="88">
        <v>384.13</v>
      </c>
      <c r="F16" s="88">
        <v>383.63</v>
      </c>
      <c r="G16" s="88">
        <v>387.2</v>
      </c>
      <c r="H16" s="88">
        <v>384.75</v>
      </c>
      <c r="I16" s="88">
        <v>387.71</v>
      </c>
      <c r="J16" s="88">
        <v>384.59</v>
      </c>
    </row>
    <row r="17" spans="1:10" x14ac:dyDescent="0.25">
      <c r="A17" s="321" t="s">
        <v>588</v>
      </c>
      <c r="B17" s="88">
        <v>384.97</v>
      </c>
      <c r="C17" s="88">
        <v>383.51</v>
      </c>
      <c r="D17" s="88">
        <v>383.49</v>
      </c>
      <c r="E17" s="88">
        <v>384.9</v>
      </c>
      <c r="F17" s="88">
        <v>383.96</v>
      </c>
      <c r="G17" s="88">
        <v>387.89</v>
      </c>
      <c r="H17" s="88">
        <v>385.62</v>
      </c>
      <c r="I17" s="88">
        <v>388.19</v>
      </c>
      <c r="J17" s="88">
        <v>385.35</v>
      </c>
    </row>
    <row r="18" spans="1:10" x14ac:dyDescent="0.25">
      <c r="A18" s="321" t="s">
        <v>589</v>
      </c>
      <c r="B18" s="88">
        <v>385.51</v>
      </c>
      <c r="C18" s="88">
        <v>384.36</v>
      </c>
      <c r="D18" s="88">
        <v>384.2</v>
      </c>
      <c r="E18" s="88">
        <v>385.34</v>
      </c>
      <c r="F18" s="88">
        <v>384.06</v>
      </c>
      <c r="G18" s="88">
        <v>388.08</v>
      </c>
      <c r="H18" s="88">
        <v>386.07</v>
      </c>
      <c r="I18" s="88">
        <v>388.3</v>
      </c>
      <c r="J18" s="88">
        <v>385.71</v>
      </c>
    </row>
    <row r="19" spans="1:10" x14ac:dyDescent="0.25">
      <c r="A19" s="321" t="s">
        <v>590</v>
      </c>
      <c r="B19" s="88">
        <v>385.94</v>
      </c>
      <c r="C19" s="88">
        <v>384.86</v>
      </c>
      <c r="D19" s="88">
        <v>384.68</v>
      </c>
      <c r="E19" s="88">
        <v>385.69</v>
      </c>
      <c r="F19" s="88">
        <v>383.93</v>
      </c>
      <c r="G19" s="88">
        <v>388.27</v>
      </c>
      <c r="H19" s="88">
        <v>386.32</v>
      </c>
      <c r="I19" s="88">
        <v>388.35</v>
      </c>
      <c r="J19" s="88">
        <v>385.92</v>
      </c>
    </row>
    <row r="20" spans="1:10" x14ac:dyDescent="0.25">
      <c r="A20" s="321" t="s">
        <v>591</v>
      </c>
      <c r="B20" s="88">
        <v>386.24</v>
      </c>
      <c r="C20" s="88">
        <v>385.23</v>
      </c>
      <c r="D20" s="88">
        <v>385.06</v>
      </c>
      <c r="E20" s="88">
        <v>385.92</v>
      </c>
      <c r="F20" s="88">
        <v>383.76</v>
      </c>
      <c r="G20" s="88">
        <v>388.34</v>
      </c>
      <c r="H20" s="88">
        <v>386.57</v>
      </c>
      <c r="I20" s="88">
        <v>388.42</v>
      </c>
      <c r="J20" s="88">
        <v>386.07</v>
      </c>
    </row>
    <row r="21" spans="1:10" x14ac:dyDescent="0.25">
      <c r="A21" s="321" t="s">
        <v>592</v>
      </c>
      <c r="B21" s="88">
        <v>386.25</v>
      </c>
      <c r="C21" s="88">
        <v>385.47</v>
      </c>
      <c r="D21" s="88">
        <v>385.28</v>
      </c>
      <c r="E21" s="88">
        <v>386.01</v>
      </c>
      <c r="F21" s="88">
        <v>383.6</v>
      </c>
      <c r="G21" s="88">
        <v>388.24</v>
      </c>
      <c r="H21" s="88">
        <v>386.59</v>
      </c>
      <c r="I21" s="88">
        <v>388.21</v>
      </c>
      <c r="J21" s="88">
        <v>386.07</v>
      </c>
    </row>
    <row r="22" spans="1:10" x14ac:dyDescent="0.25">
      <c r="A22" s="321" t="s">
        <v>593</v>
      </c>
      <c r="B22" s="88">
        <v>386.4</v>
      </c>
      <c r="C22" s="88">
        <v>385.69</v>
      </c>
      <c r="D22" s="88">
        <v>385.41</v>
      </c>
      <c r="E22" s="88">
        <v>386.04</v>
      </c>
      <c r="F22" s="88">
        <v>383.42</v>
      </c>
      <c r="G22" s="88">
        <v>388.15</v>
      </c>
      <c r="H22" s="88">
        <v>386.54</v>
      </c>
      <c r="I22" s="88">
        <v>388.04</v>
      </c>
      <c r="J22" s="88">
        <v>386.04</v>
      </c>
    </row>
    <row r="23" spans="1:10" x14ac:dyDescent="0.25">
      <c r="A23" s="321" t="s">
        <v>594</v>
      </c>
      <c r="B23" s="88">
        <v>386.38</v>
      </c>
      <c r="C23" s="88">
        <v>385.79</v>
      </c>
      <c r="D23" s="88">
        <v>385.5</v>
      </c>
      <c r="E23" s="88">
        <v>386.03</v>
      </c>
      <c r="F23" s="88">
        <v>383.18</v>
      </c>
      <c r="G23" s="88">
        <v>388.12</v>
      </c>
      <c r="H23" s="88">
        <v>386.52</v>
      </c>
      <c r="I23" s="88">
        <v>387.81</v>
      </c>
      <c r="J23" s="88">
        <v>385.91</v>
      </c>
    </row>
    <row r="24" spans="1:10" x14ac:dyDescent="0.25">
      <c r="A24" s="321" t="s">
        <v>595</v>
      </c>
      <c r="B24" s="88">
        <v>386.37</v>
      </c>
      <c r="C24" s="88">
        <v>385.87</v>
      </c>
      <c r="D24" s="88">
        <v>385.56</v>
      </c>
      <c r="E24" s="88">
        <v>386</v>
      </c>
      <c r="F24" s="88">
        <v>383.15</v>
      </c>
      <c r="G24" s="88">
        <v>387.98</v>
      </c>
      <c r="H24" s="88">
        <v>386.48</v>
      </c>
      <c r="I24" s="88">
        <v>387.77</v>
      </c>
      <c r="J24" s="88">
        <v>385.91</v>
      </c>
    </row>
    <row r="25" spans="1:10" x14ac:dyDescent="0.25">
      <c r="A25" s="321" t="s">
        <v>596</v>
      </c>
      <c r="B25" s="88">
        <v>386.41</v>
      </c>
      <c r="C25" s="88">
        <v>385.93</v>
      </c>
      <c r="D25" s="88">
        <v>385.63</v>
      </c>
      <c r="E25" s="88">
        <v>385.97</v>
      </c>
      <c r="F25" s="88">
        <v>383.02</v>
      </c>
      <c r="G25" s="88">
        <v>387.93</v>
      </c>
      <c r="H25" s="88">
        <v>386.35</v>
      </c>
      <c r="I25" s="88">
        <v>387.52</v>
      </c>
      <c r="J25" s="88">
        <v>385.87</v>
      </c>
    </row>
    <row r="26" spans="1:10" x14ac:dyDescent="0.25">
      <c r="A26" s="321" t="s">
        <v>597</v>
      </c>
      <c r="B26" s="88">
        <v>386.37</v>
      </c>
      <c r="C26" s="88">
        <v>385.9</v>
      </c>
      <c r="D26" s="88">
        <v>385.65</v>
      </c>
      <c r="E26" s="88">
        <v>385.95</v>
      </c>
      <c r="F26" s="88">
        <v>382.69</v>
      </c>
      <c r="G26" s="88">
        <v>387.82</v>
      </c>
      <c r="H26" s="88">
        <v>386.35</v>
      </c>
      <c r="I26" s="88">
        <v>387.47</v>
      </c>
      <c r="J26" s="88">
        <v>385.83</v>
      </c>
    </row>
    <row r="27" spans="1:10" x14ac:dyDescent="0.25">
      <c r="A27" s="321" t="s">
        <v>598</v>
      </c>
      <c r="B27" s="88">
        <v>386.34</v>
      </c>
      <c r="C27" s="88">
        <v>386.01</v>
      </c>
      <c r="D27" s="88">
        <v>385.69</v>
      </c>
      <c r="E27" s="88">
        <v>386</v>
      </c>
      <c r="F27" s="88">
        <v>382.91</v>
      </c>
      <c r="G27" s="88">
        <v>387.75</v>
      </c>
      <c r="H27" s="88">
        <v>386.26</v>
      </c>
      <c r="I27" s="88">
        <v>387.33</v>
      </c>
      <c r="J27" s="88">
        <v>385.76</v>
      </c>
    </row>
    <row r="28" spans="1:10" x14ac:dyDescent="0.25">
      <c r="A28" s="321" t="s">
        <v>599</v>
      </c>
      <c r="B28" s="88">
        <v>386.38</v>
      </c>
      <c r="C28" s="88">
        <v>386</v>
      </c>
      <c r="D28" s="88">
        <v>385.72</v>
      </c>
      <c r="E28" s="88">
        <v>386.03</v>
      </c>
      <c r="F28" s="88">
        <v>382.82</v>
      </c>
      <c r="G28" s="88">
        <v>387.7</v>
      </c>
      <c r="H28" s="88">
        <v>386.27</v>
      </c>
      <c r="I28" s="88">
        <v>387.21</v>
      </c>
      <c r="J28" s="88">
        <v>385.78</v>
      </c>
    </row>
    <row r="29" spans="1:10" x14ac:dyDescent="0.25">
      <c r="A29" s="321" t="s">
        <v>600</v>
      </c>
      <c r="B29" s="88">
        <v>386.38</v>
      </c>
      <c r="C29" s="88">
        <v>385.99</v>
      </c>
      <c r="D29" s="88">
        <v>385.73</v>
      </c>
      <c r="E29" s="88">
        <v>385.96</v>
      </c>
      <c r="F29" s="88">
        <v>382.73</v>
      </c>
      <c r="G29" s="88">
        <v>387.64</v>
      </c>
      <c r="H29" s="88">
        <v>386.2</v>
      </c>
      <c r="I29" s="88">
        <v>387.22</v>
      </c>
      <c r="J29" s="88">
        <v>385.65</v>
      </c>
    </row>
    <row r="30" spans="1:10" x14ac:dyDescent="0.25">
      <c r="A30" s="321" t="s">
        <v>601</v>
      </c>
      <c r="B30" s="88">
        <v>386.39</v>
      </c>
      <c r="C30" s="88">
        <v>386.04</v>
      </c>
      <c r="D30" s="88">
        <v>385.84</v>
      </c>
      <c r="E30" s="88">
        <v>386.06</v>
      </c>
      <c r="F30" s="88">
        <v>382.6</v>
      </c>
      <c r="G30" s="88">
        <v>387.63</v>
      </c>
      <c r="H30" s="88">
        <v>386.24</v>
      </c>
      <c r="I30" s="88">
        <v>387.18</v>
      </c>
      <c r="J30" s="88">
        <v>385.74</v>
      </c>
    </row>
    <row r="31" spans="1:10" x14ac:dyDescent="0.25">
      <c r="A31" s="321" t="s">
        <v>602</v>
      </c>
      <c r="B31" s="88">
        <v>386.4</v>
      </c>
      <c r="C31" s="88">
        <v>386.07</v>
      </c>
      <c r="D31" s="88">
        <v>385.81</v>
      </c>
      <c r="E31" s="88">
        <v>386.02</v>
      </c>
      <c r="F31" s="88">
        <v>382.41</v>
      </c>
      <c r="G31" s="88">
        <v>387.56</v>
      </c>
      <c r="H31" s="88">
        <v>386.21</v>
      </c>
      <c r="I31" s="88">
        <v>387.19</v>
      </c>
      <c r="J31" s="88">
        <v>385.68</v>
      </c>
    </row>
    <row r="32" spans="1:10" x14ac:dyDescent="0.25">
      <c r="A32" s="321" t="s">
        <v>603</v>
      </c>
      <c r="B32" s="88">
        <v>386.37</v>
      </c>
      <c r="C32" s="88">
        <v>386.04</v>
      </c>
      <c r="D32" s="88">
        <v>385.78</v>
      </c>
      <c r="E32" s="88">
        <v>386.02</v>
      </c>
      <c r="F32" s="88">
        <v>382.45</v>
      </c>
      <c r="G32" s="88">
        <v>387.54</v>
      </c>
      <c r="H32" s="88">
        <v>386.07</v>
      </c>
      <c r="I32" s="88">
        <v>387.08</v>
      </c>
      <c r="J32" s="88">
        <v>385.6</v>
      </c>
    </row>
    <row r="33" spans="1:10" x14ac:dyDescent="0.25">
      <c r="A33" s="321" t="s">
        <v>604</v>
      </c>
      <c r="B33" s="88">
        <v>386.38</v>
      </c>
      <c r="C33" s="88">
        <v>386.09</v>
      </c>
      <c r="D33" s="88">
        <v>385.84</v>
      </c>
      <c r="E33" s="88">
        <v>386.03</v>
      </c>
      <c r="F33" s="88">
        <v>382.57</v>
      </c>
      <c r="G33" s="88">
        <v>387.49</v>
      </c>
      <c r="H33" s="88">
        <v>386.07</v>
      </c>
      <c r="I33" s="88">
        <v>387.06</v>
      </c>
      <c r="J33" s="88">
        <v>385.65</v>
      </c>
    </row>
    <row r="34" spans="1:10" x14ac:dyDescent="0.25">
      <c r="A34" s="321" t="s">
        <v>605</v>
      </c>
      <c r="B34" s="88">
        <v>386.36</v>
      </c>
      <c r="C34" s="88">
        <v>386.13</v>
      </c>
      <c r="D34" s="88">
        <v>385.82</v>
      </c>
      <c r="E34" s="88">
        <v>386</v>
      </c>
      <c r="F34" s="88">
        <v>382.36</v>
      </c>
      <c r="G34" s="88">
        <v>387.45</v>
      </c>
      <c r="H34" s="88">
        <v>386.14</v>
      </c>
      <c r="I34" s="88">
        <v>386.98</v>
      </c>
      <c r="J34" s="88">
        <v>385.6</v>
      </c>
    </row>
    <row r="35" spans="1:10" x14ac:dyDescent="0.25">
      <c r="A35" s="321" t="s">
        <v>606</v>
      </c>
      <c r="B35" s="88">
        <v>386.38</v>
      </c>
      <c r="C35" s="88">
        <v>386.14</v>
      </c>
      <c r="D35" s="88">
        <v>385.84</v>
      </c>
      <c r="E35" s="88">
        <v>386.01</v>
      </c>
      <c r="F35" s="88">
        <v>382.34</v>
      </c>
      <c r="G35" s="88">
        <v>387.41</v>
      </c>
      <c r="H35" s="88">
        <v>386.09</v>
      </c>
      <c r="I35" s="88">
        <v>386.91</v>
      </c>
      <c r="J35" s="88">
        <v>385.58</v>
      </c>
    </row>
    <row r="36" spans="1:10" x14ac:dyDescent="0.25">
      <c r="A36" s="321" t="s">
        <v>607</v>
      </c>
      <c r="B36" s="88">
        <v>386.34</v>
      </c>
      <c r="C36" s="88">
        <v>386.11</v>
      </c>
      <c r="D36" s="88">
        <v>385.83</v>
      </c>
      <c r="E36" s="88">
        <v>386</v>
      </c>
      <c r="F36" s="88">
        <v>382.32</v>
      </c>
      <c r="G36" s="88">
        <v>387.42</v>
      </c>
      <c r="H36" s="88">
        <v>386.09</v>
      </c>
      <c r="I36" s="88">
        <v>386.88</v>
      </c>
      <c r="J36" s="88">
        <v>385.57</v>
      </c>
    </row>
    <row r="37" spans="1:10" x14ac:dyDescent="0.25">
      <c r="A37" s="321" t="s">
        <v>608</v>
      </c>
      <c r="B37" s="88">
        <v>386.37</v>
      </c>
      <c r="C37" s="88">
        <v>386.12</v>
      </c>
      <c r="D37" s="88">
        <v>385.84</v>
      </c>
      <c r="E37" s="88">
        <v>386.02</v>
      </c>
      <c r="F37" s="88">
        <v>382.31</v>
      </c>
      <c r="G37" s="88">
        <v>387.38</v>
      </c>
      <c r="H37" s="88">
        <v>385.99</v>
      </c>
      <c r="I37" s="88">
        <v>386.89</v>
      </c>
      <c r="J37" s="88">
        <v>385.54</v>
      </c>
    </row>
    <row r="38" spans="1:10" x14ac:dyDescent="0.25">
      <c r="A38" s="321" t="s">
        <v>609</v>
      </c>
      <c r="B38" s="88">
        <v>386.37</v>
      </c>
      <c r="C38" s="88">
        <v>386.07</v>
      </c>
      <c r="D38" s="88">
        <v>385.83</v>
      </c>
      <c r="E38" s="88">
        <v>386.01</v>
      </c>
      <c r="F38" s="88">
        <v>382.38</v>
      </c>
      <c r="G38" s="88">
        <v>387.27</v>
      </c>
      <c r="H38" s="88">
        <v>386.03</v>
      </c>
      <c r="I38" s="88">
        <v>386.83</v>
      </c>
      <c r="J38" s="88">
        <v>385.55</v>
      </c>
    </row>
    <row r="39" spans="1:10" x14ac:dyDescent="0.25">
      <c r="A39" s="321" t="s">
        <v>610</v>
      </c>
      <c r="B39" s="88">
        <v>386.35</v>
      </c>
      <c r="C39" s="88">
        <v>386.16</v>
      </c>
      <c r="D39" s="88">
        <v>385.88</v>
      </c>
      <c r="E39" s="88">
        <v>386</v>
      </c>
      <c r="F39" s="88">
        <v>382.27</v>
      </c>
      <c r="G39" s="88">
        <v>387.32</v>
      </c>
      <c r="H39" s="88">
        <v>385.98</v>
      </c>
      <c r="I39" s="88">
        <v>386.84</v>
      </c>
      <c r="J39" s="88">
        <v>385.57</v>
      </c>
    </row>
    <row r="40" spans="1:10" x14ac:dyDescent="0.25">
      <c r="A40" s="321" t="s">
        <v>611</v>
      </c>
      <c r="B40" s="88">
        <v>386.33</v>
      </c>
      <c r="C40" s="88">
        <v>386.17</v>
      </c>
      <c r="D40" s="88">
        <v>385.87</v>
      </c>
      <c r="E40" s="88">
        <v>385.97</v>
      </c>
      <c r="F40" s="88">
        <v>382.33</v>
      </c>
      <c r="G40" s="88">
        <v>387.3</v>
      </c>
      <c r="H40" s="88">
        <v>385.95</v>
      </c>
      <c r="I40" s="88">
        <v>386.84</v>
      </c>
      <c r="J40" s="88">
        <v>385.51</v>
      </c>
    </row>
    <row r="41" spans="1:10" x14ac:dyDescent="0.25">
      <c r="A41" s="321" t="s">
        <v>612</v>
      </c>
      <c r="B41" s="88">
        <v>386.38</v>
      </c>
      <c r="C41" s="88">
        <v>386.11</v>
      </c>
      <c r="D41" s="88">
        <v>385.87</v>
      </c>
      <c r="E41" s="88">
        <v>386.03</v>
      </c>
      <c r="F41" s="88">
        <v>382.4</v>
      </c>
      <c r="G41" s="88">
        <v>387.29</v>
      </c>
      <c r="H41" s="88">
        <v>385.96</v>
      </c>
      <c r="I41" s="88">
        <v>386.81</v>
      </c>
      <c r="J41" s="88">
        <v>385.58</v>
      </c>
    </row>
    <row r="42" spans="1:10" x14ac:dyDescent="0.25">
      <c r="A42" s="321" t="s">
        <v>613</v>
      </c>
      <c r="B42" s="88">
        <v>386.36</v>
      </c>
      <c r="C42" s="88">
        <v>386.15</v>
      </c>
      <c r="D42" s="88">
        <v>385.84</v>
      </c>
      <c r="E42" s="88">
        <v>386.04</v>
      </c>
      <c r="F42" s="88">
        <v>382.29</v>
      </c>
      <c r="G42" s="88">
        <v>387.3</v>
      </c>
      <c r="H42" s="88">
        <v>386.02</v>
      </c>
      <c r="I42" s="88">
        <v>386.84</v>
      </c>
      <c r="J42" s="88">
        <v>385.56</v>
      </c>
    </row>
    <row r="43" spans="1:10" x14ac:dyDescent="0.25">
      <c r="A43" s="321" t="s">
        <v>614</v>
      </c>
      <c r="B43" s="88">
        <v>386.36</v>
      </c>
      <c r="C43" s="88">
        <v>386.13</v>
      </c>
      <c r="D43" s="88">
        <v>385.9</v>
      </c>
      <c r="E43" s="88">
        <v>386.03</v>
      </c>
      <c r="F43" s="88">
        <v>382.22</v>
      </c>
      <c r="G43" s="88">
        <v>387.27</v>
      </c>
      <c r="H43" s="88">
        <v>385.93</v>
      </c>
      <c r="I43" s="88">
        <v>386.88</v>
      </c>
      <c r="J43" s="88">
        <v>385.51</v>
      </c>
    </row>
    <row r="44" spans="1:10" x14ac:dyDescent="0.25">
      <c r="A44" s="321" t="s">
        <v>615</v>
      </c>
      <c r="B44" s="88">
        <v>386.36</v>
      </c>
      <c r="C44" s="88">
        <v>386.2</v>
      </c>
      <c r="D44" s="88">
        <v>385.89</v>
      </c>
      <c r="E44" s="88">
        <v>386.01</v>
      </c>
      <c r="F44" s="88">
        <v>382.29</v>
      </c>
      <c r="G44" s="88">
        <v>387.26</v>
      </c>
      <c r="H44" s="88">
        <v>386.03</v>
      </c>
      <c r="I44" s="88">
        <v>386.75</v>
      </c>
      <c r="J44" s="88">
        <v>385.55</v>
      </c>
    </row>
    <row r="45" spans="1:10" x14ac:dyDescent="0.25">
      <c r="A45" s="321" t="s">
        <v>616</v>
      </c>
      <c r="B45" s="88">
        <v>386.48</v>
      </c>
      <c r="C45" s="88">
        <v>386.23</v>
      </c>
      <c r="D45" s="88">
        <v>385.93</v>
      </c>
      <c r="E45" s="88">
        <v>386.09</v>
      </c>
      <c r="F45" s="88">
        <v>382.33</v>
      </c>
      <c r="G45" s="88">
        <v>387.36</v>
      </c>
      <c r="H45" s="88">
        <v>386.05</v>
      </c>
      <c r="I45" s="88">
        <v>386.87</v>
      </c>
      <c r="J45" s="88">
        <v>385.58</v>
      </c>
    </row>
    <row r="46" spans="1:10" x14ac:dyDescent="0.25">
      <c r="A46" s="321" t="s">
        <v>617</v>
      </c>
      <c r="B46" s="88">
        <v>386.37</v>
      </c>
      <c r="C46" s="88">
        <v>386.16</v>
      </c>
      <c r="D46" s="88">
        <v>385.88</v>
      </c>
      <c r="E46" s="88">
        <v>385.97</v>
      </c>
      <c r="F46" s="88">
        <v>382.2</v>
      </c>
      <c r="G46" s="88">
        <v>387.2</v>
      </c>
      <c r="H46" s="88">
        <v>385.99</v>
      </c>
      <c r="I46" s="88">
        <v>386.68</v>
      </c>
      <c r="J46" s="88">
        <v>385.5</v>
      </c>
    </row>
    <row r="47" spans="1:10" x14ac:dyDescent="0.25">
      <c r="A47" s="321" t="s">
        <v>618</v>
      </c>
      <c r="B47" s="88">
        <v>386.32</v>
      </c>
      <c r="C47" s="88">
        <v>386.1</v>
      </c>
      <c r="D47" s="88">
        <v>385.84</v>
      </c>
      <c r="E47" s="88">
        <v>385.99</v>
      </c>
      <c r="F47" s="88">
        <v>382.12</v>
      </c>
      <c r="G47" s="88">
        <v>387.2</v>
      </c>
      <c r="H47" s="88">
        <v>385.95</v>
      </c>
      <c r="I47" s="88">
        <v>386.75</v>
      </c>
      <c r="J47" s="88">
        <v>385.48</v>
      </c>
    </row>
    <row r="48" spans="1:10" x14ac:dyDescent="0.25">
      <c r="A48" s="321" t="s">
        <v>619</v>
      </c>
      <c r="B48" s="88">
        <v>386.36</v>
      </c>
      <c r="C48" s="88">
        <v>386.15</v>
      </c>
      <c r="D48" s="88">
        <v>385.89</v>
      </c>
      <c r="E48" s="88">
        <v>386.03</v>
      </c>
      <c r="F48" s="88">
        <v>382.17</v>
      </c>
      <c r="G48" s="88">
        <v>387.28</v>
      </c>
      <c r="H48" s="88">
        <v>385.97</v>
      </c>
      <c r="I48" s="88">
        <v>386.79</v>
      </c>
      <c r="J48" s="88">
        <v>385.5</v>
      </c>
    </row>
    <row r="49" spans="1:10" x14ac:dyDescent="0.25">
      <c r="A49" s="321" t="s">
        <v>620</v>
      </c>
      <c r="B49" s="88">
        <v>386.34</v>
      </c>
      <c r="C49" s="88">
        <v>386.12</v>
      </c>
      <c r="D49" s="88">
        <v>385.89</v>
      </c>
      <c r="E49" s="88">
        <v>385.97</v>
      </c>
      <c r="F49" s="88">
        <v>382.27</v>
      </c>
      <c r="G49" s="88">
        <v>387.13</v>
      </c>
      <c r="H49" s="88">
        <v>385.95</v>
      </c>
      <c r="I49" s="88">
        <v>386.67</v>
      </c>
      <c r="J49" s="88">
        <v>385.51</v>
      </c>
    </row>
    <row r="50" spans="1:10" x14ac:dyDescent="0.25">
      <c r="A50" s="321" t="s">
        <v>621</v>
      </c>
      <c r="B50" s="88">
        <v>386.36</v>
      </c>
      <c r="C50" s="88">
        <v>386.14</v>
      </c>
      <c r="D50" s="88">
        <v>385.91</v>
      </c>
      <c r="E50" s="88">
        <v>386.04</v>
      </c>
      <c r="F50" s="88">
        <v>382.31</v>
      </c>
      <c r="G50" s="88">
        <v>387.19</v>
      </c>
      <c r="H50" s="88">
        <v>385.93</v>
      </c>
      <c r="I50" s="88">
        <v>386.78</v>
      </c>
      <c r="J50" s="88">
        <v>385.52</v>
      </c>
    </row>
    <row r="51" spans="1:10" x14ac:dyDescent="0.25">
      <c r="A51" s="321" t="s">
        <v>622</v>
      </c>
      <c r="B51" s="88">
        <v>386.38</v>
      </c>
      <c r="C51" s="88">
        <v>386.16</v>
      </c>
      <c r="D51" s="88">
        <v>385.9</v>
      </c>
      <c r="E51" s="88">
        <v>386.03</v>
      </c>
      <c r="F51" s="88">
        <v>382.36</v>
      </c>
      <c r="G51" s="88">
        <v>387.25</v>
      </c>
      <c r="H51" s="88">
        <v>385.97</v>
      </c>
      <c r="I51" s="88">
        <v>386.74</v>
      </c>
      <c r="J51" s="88">
        <v>385.55</v>
      </c>
    </row>
    <row r="52" spans="1:10" x14ac:dyDescent="0.25">
      <c r="A52" s="321" t="s">
        <v>623</v>
      </c>
      <c r="B52" s="88">
        <v>386.33</v>
      </c>
      <c r="C52" s="88">
        <v>386.14</v>
      </c>
      <c r="D52" s="88">
        <v>385.88</v>
      </c>
      <c r="E52" s="88">
        <v>385.95</v>
      </c>
      <c r="F52" s="88">
        <v>382.32</v>
      </c>
      <c r="G52" s="88">
        <v>387.19</v>
      </c>
      <c r="H52" s="88">
        <v>385.99</v>
      </c>
      <c r="I52" s="88">
        <v>386.73</v>
      </c>
      <c r="J52" s="88">
        <v>385.53</v>
      </c>
    </row>
    <row r="53" spans="1:10" x14ac:dyDescent="0.25">
      <c r="A53" s="321" t="s">
        <v>624</v>
      </c>
      <c r="B53" s="88">
        <v>386.36</v>
      </c>
      <c r="C53" s="88">
        <v>386.16</v>
      </c>
      <c r="D53" s="88">
        <v>385.91</v>
      </c>
      <c r="E53" s="88">
        <v>386.01</v>
      </c>
      <c r="F53" s="88">
        <v>382.21</v>
      </c>
      <c r="G53" s="88">
        <v>387.22</v>
      </c>
      <c r="H53" s="88">
        <v>385.99</v>
      </c>
      <c r="I53" s="88">
        <v>386.73</v>
      </c>
      <c r="J53" s="88">
        <v>385.52</v>
      </c>
    </row>
    <row r="54" spans="1:10" x14ac:dyDescent="0.25">
      <c r="A54" s="321" t="s">
        <v>625</v>
      </c>
      <c r="B54" s="88">
        <v>386.31</v>
      </c>
      <c r="C54" s="88">
        <v>386.13</v>
      </c>
      <c r="D54" s="88">
        <v>385.86</v>
      </c>
      <c r="E54" s="88">
        <v>385.97</v>
      </c>
      <c r="F54" s="88">
        <v>382.27</v>
      </c>
      <c r="G54" s="88">
        <v>387.14</v>
      </c>
      <c r="H54" s="88">
        <v>385.9</v>
      </c>
      <c r="I54" s="88">
        <v>386.65</v>
      </c>
      <c r="J54" s="88">
        <v>385.46</v>
      </c>
    </row>
    <row r="55" spans="1:10" x14ac:dyDescent="0.25">
      <c r="A55" s="321" t="s">
        <v>626</v>
      </c>
      <c r="B55" s="88">
        <v>386.38</v>
      </c>
      <c r="C55" s="88">
        <v>386.11</v>
      </c>
      <c r="D55" s="88">
        <v>385.91</v>
      </c>
      <c r="E55" s="88">
        <v>386.01</v>
      </c>
      <c r="F55" s="88">
        <v>382.23</v>
      </c>
      <c r="G55" s="88">
        <v>387.15</v>
      </c>
      <c r="H55" s="88">
        <v>385.89</v>
      </c>
      <c r="I55" s="88">
        <v>386.67</v>
      </c>
      <c r="J55" s="88">
        <v>385.48</v>
      </c>
    </row>
  </sheetData>
  <sheetProtection algorithmName="SHA-512" hashValue="Nw12YWrh0sjcVmRfIEBZa6wGBHxyroGDG6qlIujlAehezyoqoMrb0z7YrYiRMtCam6OHsJew8rv5X/ZaBrk4AA==" saltValue="qZ2i3rTVjw2Tdmm6MUM3G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59"/>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8" t="s">
        <v>627</v>
      </c>
      <c r="B2">
        <v>491.71</v>
      </c>
      <c r="C2">
        <v>490.18</v>
      </c>
      <c r="D2">
        <v>490.24</v>
      </c>
      <c r="E2">
        <v>491.95</v>
      </c>
      <c r="F2">
        <v>491.02</v>
      </c>
      <c r="G2">
        <v>494.49</v>
      </c>
      <c r="H2">
        <v>491.95</v>
      </c>
      <c r="I2">
        <v>495.53</v>
      </c>
      <c r="J2">
        <v>492.21</v>
      </c>
    </row>
    <row r="3" spans="1:15" x14ac:dyDescent="0.25">
      <c r="A3" s="321" t="s">
        <v>628</v>
      </c>
      <c r="B3" s="88">
        <v>494.21</v>
      </c>
      <c r="C3" s="88">
        <v>492.76</v>
      </c>
      <c r="D3" s="88">
        <v>492.65</v>
      </c>
      <c r="E3" s="88">
        <v>494.49</v>
      </c>
      <c r="F3" s="88">
        <v>493.7</v>
      </c>
      <c r="G3" s="88">
        <v>496.74</v>
      </c>
      <c r="H3" s="88">
        <v>494.44</v>
      </c>
      <c r="I3" s="88">
        <v>497.93</v>
      </c>
      <c r="J3" s="88">
        <v>494.77</v>
      </c>
    </row>
    <row r="4" spans="1:15" x14ac:dyDescent="0.25">
      <c r="A4" s="321" t="s">
        <v>629</v>
      </c>
      <c r="B4" s="88">
        <v>496.66</v>
      </c>
      <c r="C4" s="88">
        <v>495.14</v>
      </c>
      <c r="D4" s="88">
        <v>495.15</v>
      </c>
      <c r="E4" s="88">
        <v>496.98</v>
      </c>
      <c r="F4" s="88">
        <v>495.88</v>
      </c>
      <c r="G4" s="88">
        <v>499.19</v>
      </c>
      <c r="H4" s="88">
        <v>496.99</v>
      </c>
      <c r="I4" s="88">
        <v>500.37</v>
      </c>
      <c r="J4" s="88">
        <v>497.15</v>
      </c>
    </row>
    <row r="5" spans="1:15" x14ac:dyDescent="0.25">
      <c r="A5" s="321" t="s">
        <v>630</v>
      </c>
      <c r="B5" s="88">
        <v>499.07</v>
      </c>
      <c r="C5" s="88">
        <v>497.63</v>
      </c>
      <c r="D5" s="88">
        <v>497.7</v>
      </c>
      <c r="E5" s="88">
        <v>499.39</v>
      </c>
      <c r="F5" s="88">
        <v>498.37</v>
      </c>
      <c r="G5" s="88">
        <v>501.79</v>
      </c>
      <c r="H5" s="88">
        <v>499.39</v>
      </c>
      <c r="I5" s="88">
        <v>502.77</v>
      </c>
      <c r="J5" s="88">
        <v>499.64</v>
      </c>
    </row>
    <row r="6" spans="1:15" x14ac:dyDescent="0.25">
      <c r="A6" s="321" t="s">
        <v>631</v>
      </c>
      <c r="B6" s="88">
        <v>501.51</v>
      </c>
      <c r="C6" s="88">
        <v>500.06</v>
      </c>
      <c r="D6" s="88">
        <v>500.07</v>
      </c>
      <c r="E6" s="88">
        <v>501.84</v>
      </c>
      <c r="F6" s="88">
        <v>500.78</v>
      </c>
      <c r="G6" s="88">
        <v>504.01</v>
      </c>
      <c r="H6" s="88">
        <v>501.76</v>
      </c>
      <c r="I6" s="88">
        <v>505.15</v>
      </c>
      <c r="J6" s="88">
        <v>502.11</v>
      </c>
    </row>
    <row r="7" spans="1:15" x14ac:dyDescent="0.25">
      <c r="A7" s="321" t="s">
        <v>632</v>
      </c>
      <c r="B7" s="88">
        <v>503.93</v>
      </c>
      <c r="C7" s="88">
        <v>502.48</v>
      </c>
      <c r="D7" s="88">
        <v>502.58</v>
      </c>
      <c r="E7" s="88">
        <v>504.23</v>
      </c>
      <c r="F7" s="88">
        <v>503.19</v>
      </c>
      <c r="G7" s="88">
        <v>506.41</v>
      </c>
      <c r="H7" s="88">
        <v>504.18</v>
      </c>
      <c r="I7" s="88">
        <v>507.59</v>
      </c>
      <c r="J7" s="88">
        <v>504.47</v>
      </c>
    </row>
    <row r="8" spans="1:15" ht="15.75" thickBot="1" x14ac:dyDescent="0.3">
      <c r="A8" s="321" t="s">
        <v>633</v>
      </c>
      <c r="B8" s="88">
        <v>506.39</v>
      </c>
      <c r="C8" s="88">
        <v>505.05</v>
      </c>
      <c r="D8" s="88">
        <v>504.96</v>
      </c>
      <c r="E8" s="88">
        <v>506.62</v>
      </c>
      <c r="F8" s="88">
        <v>505.67</v>
      </c>
      <c r="G8" s="88">
        <v>508.69</v>
      </c>
      <c r="H8" s="88">
        <v>506.65</v>
      </c>
      <c r="I8" s="88">
        <v>509.9</v>
      </c>
      <c r="J8" s="88">
        <v>506.82</v>
      </c>
    </row>
    <row r="9" spans="1:15" x14ac:dyDescent="0.25">
      <c r="A9" s="321" t="s">
        <v>634</v>
      </c>
      <c r="B9" s="88">
        <v>508.79</v>
      </c>
      <c r="C9" s="88">
        <v>507.51</v>
      </c>
      <c r="D9" s="88">
        <v>507.36</v>
      </c>
      <c r="E9" s="88">
        <v>508.99</v>
      </c>
      <c r="F9" s="88">
        <v>507.87</v>
      </c>
      <c r="G9" s="88">
        <v>511.08</v>
      </c>
      <c r="H9" s="88">
        <v>508.96</v>
      </c>
      <c r="I9" s="88">
        <v>512.34</v>
      </c>
      <c r="J9" s="88">
        <v>509.27</v>
      </c>
      <c r="L9" s="362" t="s">
        <v>525</v>
      </c>
      <c r="M9" s="363"/>
      <c r="N9" s="363"/>
      <c r="O9" s="364"/>
    </row>
    <row r="10" spans="1:15" x14ac:dyDescent="0.25">
      <c r="A10" s="321" t="s">
        <v>635</v>
      </c>
      <c r="B10" s="88">
        <v>511.08</v>
      </c>
      <c r="C10" s="88">
        <v>509.71</v>
      </c>
      <c r="D10" s="88">
        <v>509.77</v>
      </c>
      <c r="E10" s="88">
        <v>511.35</v>
      </c>
      <c r="F10" s="88">
        <v>510.21</v>
      </c>
      <c r="G10" s="88">
        <v>513.52</v>
      </c>
      <c r="H10" s="88">
        <v>511.36</v>
      </c>
      <c r="I10" s="88">
        <v>514.66</v>
      </c>
      <c r="J10" s="88">
        <v>511.6</v>
      </c>
      <c r="L10" s="365"/>
      <c r="M10" s="366"/>
      <c r="N10" s="366"/>
      <c r="O10" s="367"/>
    </row>
    <row r="11" spans="1:15" x14ac:dyDescent="0.25">
      <c r="A11" s="321" t="s">
        <v>636</v>
      </c>
      <c r="B11" s="88">
        <v>513.54999999999995</v>
      </c>
      <c r="C11" s="88">
        <v>512.27</v>
      </c>
      <c r="D11" s="88">
        <v>512.09</v>
      </c>
      <c r="E11" s="88">
        <v>513.71</v>
      </c>
      <c r="F11" s="88">
        <v>512.78</v>
      </c>
      <c r="G11" s="88">
        <v>515.76</v>
      </c>
      <c r="H11" s="88">
        <v>513.64</v>
      </c>
      <c r="I11" s="88">
        <v>516.9</v>
      </c>
      <c r="J11" s="88">
        <v>514.01</v>
      </c>
      <c r="L11" s="365"/>
      <c r="M11" s="366"/>
      <c r="N11" s="366"/>
      <c r="O11" s="367"/>
    </row>
    <row r="12" spans="1:15" x14ac:dyDescent="0.25">
      <c r="A12" s="321" t="s">
        <v>637</v>
      </c>
      <c r="B12" s="88">
        <v>515.75</v>
      </c>
      <c r="C12" s="88">
        <v>514.44000000000005</v>
      </c>
      <c r="D12" s="88">
        <v>514.59</v>
      </c>
      <c r="E12" s="88">
        <v>516.01</v>
      </c>
      <c r="F12" s="88">
        <v>514.94000000000005</v>
      </c>
      <c r="G12" s="88">
        <v>518.1</v>
      </c>
      <c r="H12" s="88">
        <v>516.13</v>
      </c>
      <c r="I12" s="88">
        <v>519.42999999999995</v>
      </c>
      <c r="J12" s="88">
        <v>516.30999999999995</v>
      </c>
      <c r="L12" s="365"/>
      <c r="M12" s="366"/>
      <c r="N12" s="366"/>
      <c r="O12" s="367"/>
    </row>
    <row r="13" spans="1:15" x14ac:dyDescent="0.25">
      <c r="A13" s="321" t="s">
        <v>638</v>
      </c>
      <c r="B13" s="88">
        <v>518.14</v>
      </c>
      <c r="C13" s="88">
        <v>516.84</v>
      </c>
      <c r="D13" s="88">
        <v>516.77</v>
      </c>
      <c r="E13" s="88">
        <v>518.38</v>
      </c>
      <c r="F13" s="88">
        <v>517.37</v>
      </c>
      <c r="G13" s="88">
        <v>520.58000000000004</v>
      </c>
      <c r="H13" s="88">
        <v>518.29999999999995</v>
      </c>
      <c r="I13" s="88">
        <v>521.6</v>
      </c>
      <c r="J13" s="88">
        <v>518.66</v>
      </c>
      <c r="L13" s="365"/>
      <c r="M13" s="366"/>
      <c r="N13" s="366"/>
      <c r="O13" s="367"/>
    </row>
    <row r="14" spans="1:15" x14ac:dyDescent="0.25">
      <c r="A14" s="321" t="s">
        <v>639</v>
      </c>
      <c r="B14" s="88">
        <v>520.42999999999995</v>
      </c>
      <c r="C14" s="88">
        <v>519.24</v>
      </c>
      <c r="D14" s="88">
        <v>519.12</v>
      </c>
      <c r="E14" s="88">
        <v>520.72</v>
      </c>
      <c r="F14" s="88">
        <v>519.61</v>
      </c>
      <c r="G14" s="88">
        <v>522.91</v>
      </c>
      <c r="H14" s="88">
        <v>520.57000000000005</v>
      </c>
      <c r="I14" s="88">
        <v>523.94000000000005</v>
      </c>
      <c r="J14" s="88">
        <v>520.91999999999996</v>
      </c>
      <c r="L14" s="365"/>
      <c r="M14" s="366"/>
      <c r="N14" s="366"/>
      <c r="O14" s="367"/>
    </row>
    <row r="15" spans="1:15" ht="15.75" thickBot="1" x14ac:dyDescent="0.3">
      <c r="A15" s="321" t="s">
        <v>640</v>
      </c>
      <c r="B15" s="88">
        <v>522.80999999999995</v>
      </c>
      <c r="C15" s="88">
        <v>521.47</v>
      </c>
      <c r="D15" s="88">
        <v>521.38</v>
      </c>
      <c r="E15" s="88">
        <v>523.04</v>
      </c>
      <c r="F15" s="88">
        <v>521.64</v>
      </c>
      <c r="G15" s="88">
        <v>525.1</v>
      </c>
      <c r="H15" s="88">
        <v>522.9</v>
      </c>
      <c r="I15" s="88">
        <v>526.12</v>
      </c>
      <c r="J15" s="88">
        <v>523.20000000000005</v>
      </c>
      <c r="L15" s="368"/>
      <c r="M15" s="369"/>
      <c r="N15" s="369"/>
      <c r="O15" s="370"/>
    </row>
    <row r="16" spans="1:15" x14ac:dyDescent="0.25">
      <c r="A16" s="321" t="s">
        <v>641</v>
      </c>
      <c r="B16" s="88">
        <v>525.07000000000005</v>
      </c>
      <c r="C16" s="88">
        <v>523.71</v>
      </c>
      <c r="D16" s="88">
        <v>523.84</v>
      </c>
      <c r="E16" s="88">
        <v>525.29999999999995</v>
      </c>
      <c r="F16" s="88">
        <v>524.04</v>
      </c>
      <c r="G16" s="88">
        <v>527.38</v>
      </c>
      <c r="H16" s="88">
        <v>525.22</v>
      </c>
      <c r="I16" s="88">
        <v>528.5</v>
      </c>
      <c r="J16" s="88">
        <v>525.62</v>
      </c>
    </row>
    <row r="17" spans="1:10" x14ac:dyDescent="0.25">
      <c r="A17" s="321" t="s">
        <v>642</v>
      </c>
      <c r="B17" s="88">
        <v>527.4</v>
      </c>
      <c r="C17" s="88">
        <v>526.14</v>
      </c>
      <c r="D17" s="88">
        <v>526.09</v>
      </c>
      <c r="E17" s="88">
        <v>527.54</v>
      </c>
      <c r="F17" s="88">
        <v>526.30999999999995</v>
      </c>
      <c r="G17" s="88">
        <v>529.64</v>
      </c>
      <c r="H17" s="88">
        <v>527.5</v>
      </c>
      <c r="I17" s="88">
        <v>530.69000000000005</v>
      </c>
      <c r="J17" s="88">
        <v>527.83000000000004</v>
      </c>
    </row>
    <row r="18" spans="1:10" x14ac:dyDescent="0.25">
      <c r="A18" s="321" t="s">
        <v>643</v>
      </c>
      <c r="B18" s="88">
        <v>529.67999999999995</v>
      </c>
      <c r="C18" s="88">
        <v>528.54</v>
      </c>
      <c r="D18" s="88">
        <v>528.44000000000005</v>
      </c>
      <c r="E18" s="88">
        <v>529.85</v>
      </c>
      <c r="F18" s="88">
        <v>528.91999999999996</v>
      </c>
      <c r="G18" s="88">
        <v>532.01</v>
      </c>
      <c r="H18" s="88">
        <v>529.85</v>
      </c>
      <c r="I18" s="88">
        <v>532.99</v>
      </c>
      <c r="J18" s="88">
        <v>530.17999999999995</v>
      </c>
    </row>
    <row r="19" spans="1:10" x14ac:dyDescent="0.25">
      <c r="A19" s="321" t="s">
        <v>644</v>
      </c>
      <c r="B19" s="88">
        <v>531.65</v>
      </c>
      <c r="C19" s="88">
        <v>530.57000000000005</v>
      </c>
      <c r="D19" s="88">
        <v>530.37</v>
      </c>
      <c r="E19" s="88">
        <v>531.85</v>
      </c>
      <c r="F19" s="88">
        <v>530.44000000000005</v>
      </c>
      <c r="G19" s="88">
        <v>533.77</v>
      </c>
      <c r="H19" s="88">
        <v>531.77</v>
      </c>
      <c r="I19" s="88">
        <v>534.69000000000005</v>
      </c>
      <c r="J19" s="88">
        <v>532.03</v>
      </c>
    </row>
    <row r="20" spans="1:10" x14ac:dyDescent="0.25">
      <c r="A20" s="321" t="s">
        <v>645</v>
      </c>
      <c r="B20" s="88">
        <v>533.04999999999995</v>
      </c>
      <c r="C20" s="88">
        <v>531.94000000000005</v>
      </c>
      <c r="D20" s="88">
        <v>531.87</v>
      </c>
      <c r="E20" s="88">
        <v>533.03</v>
      </c>
      <c r="F20" s="88">
        <v>531.66999999999996</v>
      </c>
      <c r="G20" s="88">
        <v>535.03</v>
      </c>
      <c r="H20" s="88">
        <v>533.12</v>
      </c>
      <c r="I20" s="88">
        <v>535.9</v>
      </c>
      <c r="J20" s="88">
        <v>533.33000000000004</v>
      </c>
    </row>
    <row r="21" spans="1:10" x14ac:dyDescent="0.25">
      <c r="A21" s="321" t="s">
        <v>646</v>
      </c>
      <c r="B21" s="88">
        <v>534.35</v>
      </c>
      <c r="C21" s="88">
        <v>533.28</v>
      </c>
      <c r="D21" s="88">
        <v>533.16</v>
      </c>
      <c r="E21" s="88">
        <v>534.25</v>
      </c>
      <c r="F21" s="88">
        <v>532.25</v>
      </c>
      <c r="G21" s="88">
        <v>536.01</v>
      </c>
      <c r="H21" s="88">
        <v>534.28</v>
      </c>
      <c r="I21" s="88">
        <v>536.89</v>
      </c>
      <c r="J21" s="88">
        <v>534.54999999999995</v>
      </c>
    </row>
    <row r="22" spans="1:10" x14ac:dyDescent="0.25">
      <c r="A22" s="321" t="s">
        <v>647</v>
      </c>
      <c r="B22" s="88">
        <v>535.20000000000005</v>
      </c>
      <c r="C22" s="88">
        <v>534.37</v>
      </c>
      <c r="D22" s="88">
        <v>534.16999999999996</v>
      </c>
      <c r="E22" s="88">
        <v>535.11</v>
      </c>
      <c r="F22" s="88">
        <v>532.98</v>
      </c>
      <c r="G22" s="88">
        <v>536.91</v>
      </c>
      <c r="H22" s="88">
        <v>535.27</v>
      </c>
      <c r="I22" s="88">
        <v>537.53</v>
      </c>
      <c r="J22" s="88">
        <v>535.41999999999996</v>
      </c>
    </row>
    <row r="23" spans="1:10" x14ac:dyDescent="0.25">
      <c r="A23" s="321" t="s">
        <v>648</v>
      </c>
      <c r="B23" s="88">
        <v>535.98</v>
      </c>
      <c r="C23" s="88">
        <v>535.23</v>
      </c>
      <c r="D23" s="88">
        <v>534.96</v>
      </c>
      <c r="E23" s="88">
        <v>535.76</v>
      </c>
      <c r="F23" s="88">
        <v>533.27</v>
      </c>
      <c r="G23" s="88">
        <v>537.51</v>
      </c>
      <c r="H23" s="88">
        <v>535.9</v>
      </c>
      <c r="I23" s="88">
        <v>537.94000000000005</v>
      </c>
      <c r="J23" s="88">
        <v>535.98</v>
      </c>
    </row>
    <row r="24" spans="1:10" x14ac:dyDescent="0.25">
      <c r="A24" s="321" t="s">
        <v>649</v>
      </c>
      <c r="B24" s="88">
        <v>536.66999999999996</v>
      </c>
      <c r="C24" s="88">
        <v>536.07000000000005</v>
      </c>
      <c r="D24" s="88">
        <v>535.70000000000005</v>
      </c>
      <c r="E24" s="88">
        <v>536.36</v>
      </c>
      <c r="F24" s="88">
        <v>533.71</v>
      </c>
      <c r="G24" s="88">
        <v>538.03</v>
      </c>
      <c r="H24" s="88">
        <v>536.5</v>
      </c>
      <c r="I24" s="88">
        <v>538.26</v>
      </c>
      <c r="J24" s="88">
        <v>536.53</v>
      </c>
    </row>
    <row r="25" spans="1:10" x14ac:dyDescent="0.25">
      <c r="A25" s="321" t="s">
        <v>650</v>
      </c>
      <c r="B25" s="88">
        <v>536.91</v>
      </c>
      <c r="C25" s="88">
        <v>536.35</v>
      </c>
      <c r="D25" s="88">
        <v>536.05999999999995</v>
      </c>
      <c r="E25" s="88">
        <v>536.54999999999995</v>
      </c>
      <c r="F25" s="88">
        <v>533.44000000000005</v>
      </c>
      <c r="G25" s="88">
        <v>538.1</v>
      </c>
      <c r="H25" s="88">
        <v>536.69000000000005</v>
      </c>
      <c r="I25" s="88">
        <v>538.36</v>
      </c>
      <c r="J25" s="88">
        <v>536.75</v>
      </c>
    </row>
    <row r="26" spans="1:10" x14ac:dyDescent="0.25">
      <c r="A26" s="321" t="s">
        <v>651</v>
      </c>
      <c r="B26" s="88">
        <v>537.04</v>
      </c>
      <c r="C26" s="88">
        <v>536.54</v>
      </c>
      <c r="D26" s="88">
        <v>536.23</v>
      </c>
      <c r="E26" s="88">
        <v>536.61</v>
      </c>
      <c r="F26" s="88">
        <v>533.01</v>
      </c>
      <c r="G26" s="88">
        <v>537.95000000000005</v>
      </c>
      <c r="H26" s="88">
        <v>536.77</v>
      </c>
      <c r="I26" s="88">
        <v>538.20000000000005</v>
      </c>
      <c r="J26" s="88">
        <v>536.72</v>
      </c>
    </row>
    <row r="27" spans="1:10" x14ac:dyDescent="0.25">
      <c r="A27" s="321" t="s">
        <v>652</v>
      </c>
      <c r="B27" s="88">
        <v>537.16999999999996</v>
      </c>
      <c r="C27" s="88">
        <v>536.86</v>
      </c>
      <c r="D27" s="88">
        <v>536.34</v>
      </c>
      <c r="E27" s="88">
        <v>536.57000000000005</v>
      </c>
      <c r="F27" s="88">
        <v>533.20000000000005</v>
      </c>
      <c r="G27" s="88">
        <v>538.05999999999995</v>
      </c>
      <c r="H27" s="88">
        <v>536.79</v>
      </c>
      <c r="I27" s="88">
        <v>537.99</v>
      </c>
      <c r="J27" s="88">
        <v>536.73</v>
      </c>
    </row>
    <row r="28" spans="1:10" x14ac:dyDescent="0.25">
      <c r="A28" s="321" t="s">
        <v>653</v>
      </c>
      <c r="B28" s="88">
        <v>537.29</v>
      </c>
      <c r="C28" s="88">
        <v>536.99</v>
      </c>
      <c r="D28" s="88">
        <v>536.59</v>
      </c>
      <c r="E28" s="88">
        <v>536.83000000000004</v>
      </c>
      <c r="F28" s="88">
        <v>533.27</v>
      </c>
      <c r="G28" s="88">
        <v>538.1</v>
      </c>
      <c r="H28" s="88">
        <v>536.87</v>
      </c>
      <c r="I28" s="88">
        <v>538.11</v>
      </c>
      <c r="J28" s="88">
        <v>536.91999999999996</v>
      </c>
    </row>
    <row r="29" spans="1:10" x14ac:dyDescent="0.25">
      <c r="A29" s="321" t="s">
        <v>654</v>
      </c>
      <c r="B29" s="88">
        <v>537.36</v>
      </c>
      <c r="C29" s="88">
        <v>537.04999999999995</v>
      </c>
      <c r="D29" s="88">
        <v>536.70000000000005</v>
      </c>
      <c r="E29" s="88">
        <v>536.83000000000004</v>
      </c>
      <c r="F29" s="88">
        <v>532.92999999999995</v>
      </c>
      <c r="G29" s="88">
        <v>537.99</v>
      </c>
      <c r="H29" s="88">
        <v>536.87</v>
      </c>
      <c r="I29" s="88">
        <v>537.99</v>
      </c>
      <c r="J29" s="88">
        <v>536.9</v>
      </c>
    </row>
    <row r="30" spans="1:10" x14ac:dyDescent="0.25">
      <c r="A30" s="321" t="s">
        <v>655</v>
      </c>
      <c r="B30" s="88">
        <v>537.36</v>
      </c>
      <c r="C30" s="88">
        <v>537.11</v>
      </c>
      <c r="D30" s="88">
        <v>536.75</v>
      </c>
      <c r="E30" s="88">
        <v>536.86</v>
      </c>
      <c r="F30" s="88">
        <v>532.87</v>
      </c>
      <c r="G30" s="88">
        <v>537.89</v>
      </c>
      <c r="H30" s="88">
        <v>536.78</v>
      </c>
      <c r="I30" s="88">
        <v>537.87</v>
      </c>
      <c r="J30" s="88">
        <v>536.86</v>
      </c>
    </row>
    <row r="31" spans="1:10" x14ac:dyDescent="0.25">
      <c r="A31" s="321" t="s">
        <v>656</v>
      </c>
      <c r="B31" s="88">
        <v>537.41</v>
      </c>
      <c r="C31" s="88">
        <v>537.12</v>
      </c>
      <c r="D31" s="88">
        <v>536.73</v>
      </c>
      <c r="E31" s="88">
        <v>536.84</v>
      </c>
      <c r="F31" s="88">
        <v>532.84</v>
      </c>
      <c r="G31" s="88">
        <v>537.75</v>
      </c>
      <c r="H31" s="88">
        <v>536.73</v>
      </c>
      <c r="I31" s="88">
        <v>537.76</v>
      </c>
      <c r="J31" s="88">
        <v>536.79</v>
      </c>
    </row>
    <row r="32" spans="1:10" x14ac:dyDescent="0.25">
      <c r="A32" s="321" t="s">
        <v>657</v>
      </c>
      <c r="B32" s="88">
        <v>537.35</v>
      </c>
      <c r="C32" s="88">
        <v>537.30999999999995</v>
      </c>
      <c r="D32" s="88">
        <v>536.71</v>
      </c>
      <c r="E32" s="88">
        <v>536.79</v>
      </c>
      <c r="F32" s="88">
        <v>532.9</v>
      </c>
      <c r="G32" s="88">
        <v>537.83000000000004</v>
      </c>
      <c r="H32" s="88">
        <v>536.66999999999996</v>
      </c>
      <c r="I32" s="88">
        <v>537.53</v>
      </c>
      <c r="J32" s="88">
        <v>536.72</v>
      </c>
    </row>
    <row r="33" spans="1:10" x14ac:dyDescent="0.25">
      <c r="A33" s="321" t="s">
        <v>658</v>
      </c>
      <c r="B33" s="88">
        <v>537.44000000000005</v>
      </c>
      <c r="C33" s="88">
        <v>537.34</v>
      </c>
      <c r="D33" s="88">
        <v>536.85</v>
      </c>
      <c r="E33" s="88">
        <v>536.95000000000005</v>
      </c>
      <c r="F33" s="88">
        <v>532.98</v>
      </c>
      <c r="G33" s="88">
        <v>537.89</v>
      </c>
      <c r="H33" s="88">
        <v>536.75</v>
      </c>
      <c r="I33" s="88">
        <v>537.72</v>
      </c>
      <c r="J33" s="88">
        <v>536.86</v>
      </c>
    </row>
    <row r="34" spans="1:10" x14ac:dyDescent="0.25">
      <c r="A34" s="321" t="s">
        <v>659</v>
      </c>
      <c r="B34" s="88">
        <v>537.41</v>
      </c>
      <c r="C34" s="88">
        <v>537.28</v>
      </c>
      <c r="D34" s="88">
        <v>536.79999999999995</v>
      </c>
      <c r="E34" s="88">
        <v>536.84</v>
      </c>
      <c r="F34" s="88">
        <v>532.69000000000005</v>
      </c>
      <c r="G34" s="88">
        <v>537.63</v>
      </c>
      <c r="H34" s="88">
        <v>536.64</v>
      </c>
      <c r="I34" s="88">
        <v>537.54999999999995</v>
      </c>
      <c r="J34" s="88">
        <v>536.73</v>
      </c>
    </row>
    <row r="35" spans="1:10" x14ac:dyDescent="0.25">
      <c r="A35" s="321" t="s">
        <v>660</v>
      </c>
      <c r="B35" s="88">
        <v>537.53</v>
      </c>
      <c r="C35" s="88">
        <v>537.34</v>
      </c>
      <c r="D35" s="88">
        <v>536.96</v>
      </c>
      <c r="E35" s="88">
        <v>536.99</v>
      </c>
      <c r="F35" s="88">
        <v>532.87</v>
      </c>
      <c r="G35" s="88">
        <v>537.71</v>
      </c>
      <c r="H35" s="88">
        <v>536.77</v>
      </c>
      <c r="I35" s="88">
        <v>537.66999999999996</v>
      </c>
      <c r="J35" s="88">
        <v>536.86</v>
      </c>
    </row>
    <row r="36" spans="1:10" x14ac:dyDescent="0.25">
      <c r="A36" s="321" t="s">
        <v>661</v>
      </c>
      <c r="B36" s="88">
        <v>537.66</v>
      </c>
      <c r="C36" s="88">
        <v>537.38</v>
      </c>
      <c r="D36" s="88">
        <v>537.03</v>
      </c>
      <c r="E36" s="88">
        <v>537.09</v>
      </c>
      <c r="F36" s="88">
        <v>532.80999999999995</v>
      </c>
      <c r="G36" s="88">
        <v>537.79</v>
      </c>
      <c r="H36" s="88">
        <v>536.77</v>
      </c>
      <c r="I36" s="88">
        <v>537.69000000000005</v>
      </c>
      <c r="J36" s="88">
        <v>536.9</v>
      </c>
    </row>
    <row r="37" spans="1:10" x14ac:dyDescent="0.25">
      <c r="A37" s="321" t="s">
        <v>662</v>
      </c>
      <c r="B37" s="88">
        <v>537.58000000000004</v>
      </c>
      <c r="C37" s="88">
        <v>537.37</v>
      </c>
      <c r="D37" s="88">
        <v>537.02</v>
      </c>
      <c r="E37" s="88">
        <v>537.03</v>
      </c>
      <c r="F37" s="88">
        <v>532.69000000000005</v>
      </c>
      <c r="G37" s="88">
        <v>537.79999999999995</v>
      </c>
      <c r="H37" s="88">
        <v>536.74</v>
      </c>
      <c r="I37" s="88">
        <v>537.62</v>
      </c>
      <c r="J37" s="88">
        <v>536.86</v>
      </c>
    </row>
    <row r="38" spans="1:10" x14ac:dyDescent="0.25">
      <c r="A38" s="321" t="s">
        <v>663</v>
      </c>
      <c r="B38" s="88">
        <v>537.49</v>
      </c>
      <c r="C38" s="88">
        <v>537.44000000000005</v>
      </c>
      <c r="D38" s="88">
        <v>536.91</v>
      </c>
      <c r="E38" s="88">
        <v>536.91</v>
      </c>
      <c r="F38" s="88">
        <v>532.64</v>
      </c>
      <c r="G38" s="88">
        <v>537.69000000000005</v>
      </c>
      <c r="H38" s="88">
        <v>536.69000000000005</v>
      </c>
      <c r="I38" s="88">
        <v>537.46</v>
      </c>
      <c r="J38" s="88">
        <v>536.74</v>
      </c>
    </row>
    <row r="39" spans="1:10" x14ac:dyDescent="0.25">
      <c r="A39" s="321" t="s">
        <v>664</v>
      </c>
      <c r="B39" s="88">
        <v>537.57000000000005</v>
      </c>
      <c r="C39" s="88">
        <v>537.4</v>
      </c>
      <c r="D39" s="88">
        <v>536.99</v>
      </c>
      <c r="E39" s="88">
        <v>537.02</v>
      </c>
      <c r="F39" s="88">
        <v>532.75</v>
      </c>
      <c r="G39" s="88">
        <v>537.67999999999995</v>
      </c>
      <c r="H39" s="88">
        <v>536.70000000000005</v>
      </c>
      <c r="I39" s="88">
        <v>537.57000000000005</v>
      </c>
      <c r="J39" s="88">
        <v>536.82000000000005</v>
      </c>
    </row>
    <row r="40" spans="1:10" x14ac:dyDescent="0.25">
      <c r="A40" s="321" t="s">
        <v>665</v>
      </c>
      <c r="B40" s="88">
        <v>537.44000000000005</v>
      </c>
      <c r="C40" s="88">
        <v>537.30999999999995</v>
      </c>
      <c r="D40" s="88">
        <v>536.85</v>
      </c>
      <c r="E40" s="88">
        <v>536.87</v>
      </c>
      <c r="F40" s="88">
        <v>532.52</v>
      </c>
      <c r="G40" s="88">
        <v>537.58000000000004</v>
      </c>
      <c r="H40" s="88">
        <v>536.52</v>
      </c>
      <c r="I40" s="88">
        <v>537.37</v>
      </c>
      <c r="J40" s="88">
        <v>536.66</v>
      </c>
    </row>
    <row r="41" spans="1:10" x14ac:dyDescent="0.25">
      <c r="A41" s="321" t="s">
        <v>666</v>
      </c>
      <c r="B41" s="88">
        <v>537.47</v>
      </c>
      <c r="C41" s="88">
        <v>537.33000000000004</v>
      </c>
      <c r="D41" s="88">
        <v>536.89</v>
      </c>
      <c r="E41" s="88">
        <v>536.9</v>
      </c>
      <c r="F41" s="88">
        <v>532.57000000000005</v>
      </c>
      <c r="G41" s="88">
        <v>537.49</v>
      </c>
      <c r="H41" s="88">
        <v>536.54999999999995</v>
      </c>
      <c r="I41" s="88">
        <v>537.4</v>
      </c>
      <c r="J41" s="88">
        <v>536.69000000000005</v>
      </c>
    </row>
    <row r="42" spans="1:10" x14ac:dyDescent="0.25">
      <c r="A42" s="321" t="s">
        <v>667</v>
      </c>
      <c r="B42" s="88">
        <v>537.37</v>
      </c>
      <c r="C42" s="88">
        <v>537.35</v>
      </c>
      <c r="D42" s="88">
        <v>536.83000000000004</v>
      </c>
      <c r="E42" s="88">
        <v>536.78</v>
      </c>
      <c r="F42" s="88">
        <v>532.44000000000005</v>
      </c>
      <c r="G42" s="88">
        <v>537.45000000000005</v>
      </c>
      <c r="H42" s="88">
        <v>536.46</v>
      </c>
      <c r="I42" s="88">
        <v>537.24</v>
      </c>
      <c r="J42" s="88">
        <v>536.54</v>
      </c>
    </row>
    <row r="43" spans="1:10" x14ac:dyDescent="0.25">
      <c r="A43" s="321" t="s">
        <v>668</v>
      </c>
      <c r="B43" s="88">
        <v>537.53</v>
      </c>
      <c r="C43" s="88">
        <v>537.36</v>
      </c>
      <c r="D43" s="88">
        <v>536.92999999999995</v>
      </c>
      <c r="E43" s="88">
        <v>536.92999999999995</v>
      </c>
      <c r="F43" s="88">
        <v>532.58000000000004</v>
      </c>
      <c r="G43" s="88">
        <v>537.45000000000005</v>
      </c>
      <c r="H43" s="88">
        <v>536.57000000000005</v>
      </c>
      <c r="I43" s="88">
        <v>537.35</v>
      </c>
      <c r="J43" s="88">
        <v>536.66999999999996</v>
      </c>
    </row>
    <row r="44" spans="1:10" x14ac:dyDescent="0.25">
      <c r="A44" s="321" t="s">
        <v>669</v>
      </c>
      <c r="B44" s="88">
        <v>537.4</v>
      </c>
      <c r="C44" s="88">
        <v>537.29</v>
      </c>
      <c r="D44" s="88">
        <v>536.82000000000005</v>
      </c>
      <c r="E44" s="88">
        <v>536.85</v>
      </c>
      <c r="F44" s="88">
        <v>532.37</v>
      </c>
      <c r="G44" s="88">
        <v>537.34</v>
      </c>
      <c r="H44" s="88">
        <v>536.42999999999995</v>
      </c>
      <c r="I44" s="88">
        <v>537.22</v>
      </c>
      <c r="J44" s="88">
        <v>536.57000000000005</v>
      </c>
    </row>
    <row r="45" spans="1:10" x14ac:dyDescent="0.25">
      <c r="A45" s="321" t="s">
        <v>670</v>
      </c>
      <c r="B45" s="88">
        <v>537.53</v>
      </c>
      <c r="C45" s="88">
        <v>537.4</v>
      </c>
      <c r="D45" s="88">
        <v>536.94000000000005</v>
      </c>
      <c r="E45" s="88">
        <v>536.92999999999995</v>
      </c>
      <c r="F45" s="88">
        <v>532.74</v>
      </c>
      <c r="G45" s="88">
        <v>537.53</v>
      </c>
      <c r="H45" s="88">
        <v>536.6</v>
      </c>
      <c r="I45" s="88">
        <v>537.39</v>
      </c>
      <c r="J45" s="88">
        <v>536.69000000000005</v>
      </c>
    </row>
    <row r="46" spans="1:10" x14ac:dyDescent="0.25">
      <c r="A46" s="321" t="s">
        <v>671</v>
      </c>
      <c r="B46" s="88">
        <v>537.47</v>
      </c>
      <c r="C46" s="88">
        <v>537.33000000000004</v>
      </c>
      <c r="D46" s="88">
        <v>536.95000000000005</v>
      </c>
      <c r="E46" s="88">
        <v>536.94000000000005</v>
      </c>
      <c r="F46" s="88">
        <v>532.5</v>
      </c>
      <c r="G46" s="88">
        <v>537.46</v>
      </c>
      <c r="H46" s="88">
        <v>536.52</v>
      </c>
      <c r="I46" s="88">
        <v>537.41999999999996</v>
      </c>
      <c r="J46" s="88">
        <v>536.66999999999996</v>
      </c>
    </row>
    <row r="47" spans="1:10" x14ac:dyDescent="0.25">
      <c r="A47" s="321" t="s">
        <v>672</v>
      </c>
      <c r="B47" s="88">
        <v>537.49</v>
      </c>
      <c r="C47" s="88">
        <v>537.32000000000005</v>
      </c>
      <c r="D47" s="88">
        <v>536.9</v>
      </c>
      <c r="E47" s="88">
        <v>536.91999999999996</v>
      </c>
      <c r="F47" s="88">
        <v>532.55999999999995</v>
      </c>
      <c r="G47" s="88">
        <v>537.44000000000005</v>
      </c>
      <c r="H47" s="88">
        <v>536.51</v>
      </c>
      <c r="I47" s="88">
        <v>537.29</v>
      </c>
      <c r="J47" s="88">
        <v>536.66999999999996</v>
      </c>
    </row>
    <row r="48" spans="1:10" x14ac:dyDescent="0.25">
      <c r="A48" s="321" t="s">
        <v>673</v>
      </c>
      <c r="B48" s="88">
        <v>537.49</v>
      </c>
      <c r="C48" s="88">
        <v>537.30999999999995</v>
      </c>
      <c r="D48" s="88">
        <v>536.94000000000005</v>
      </c>
      <c r="E48" s="88">
        <v>536.92999999999995</v>
      </c>
      <c r="F48" s="88">
        <v>532.64</v>
      </c>
      <c r="G48" s="88">
        <v>537.41</v>
      </c>
      <c r="H48" s="88">
        <v>536.49</v>
      </c>
      <c r="I48" s="88">
        <v>537.29999999999995</v>
      </c>
      <c r="J48" s="88">
        <v>536.66</v>
      </c>
    </row>
    <row r="49" spans="1:10" x14ac:dyDescent="0.25">
      <c r="A49" s="321" t="s">
        <v>674</v>
      </c>
      <c r="B49" s="88">
        <v>537.41999999999996</v>
      </c>
      <c r="C49" s="88">
        <v>537.4</v>
      </c>
      <c r="D49" s="88">
        <v>536.87</v>
      </c>
      <c r="E49" s="88">
        <v>536.83000000000004</v>
      </c>
      <c r="F49" s="88">
        <v>532.74</v>
      </c>
      <c r="G49" s="88">
        <v>537.4</v>
      </c>
      <c r="H49" s="88">
        <v>536.48</v>
      </c>
      <c r="I49" s="88">
        <v>537.23</v>
      </c>
      <c r="J49" s="88">
        <v>536.57000000000005</v>
      </c>
    </row>
    <row r="50" spans="1:10" x14ac:dyDescent="0.25">
      <c r="A50" s="321" t="s">
        <v>675</v>
      </c>
      <c r="B50" s="88">
        <v>537.6</v>
      </c>
      <c r="C50" s="88">
        <v>537.4</v>
      </c>
      <c r="D50" s="88">
        <v>537.01</v>
      </c>
      <c r="E50" s="88">
        <v>537.08000000000004</v>
      </c>
      <c r="F50" s="88">
        <v>532.70000000000005</v>
      </c>
      <c r="G50" s="88">
        <v>537.52</v>
      </c>
      <c r="H50" s="88">
        <v>536.54</v>
      </c>
      <c r="I50" s="88">
        <v>537.42999999999995</v>
      </c>
      <c r="J50" s="88">
        <v>536.76</v>
      </c>
    </row>
    <row r="51" spans="1:10" x14ac:dyDescent="0.25">
      <c r="A51" s="321" t="s">
        <v>676</v>
      </c>
      <c r="B51" s="88">
        <v>537.47</v>
      </c>
      <c r="C51" s="88">
        <v>537.29999999999995</v>
      </c>
      <c r="D51" s="88">
        <v>536.87</v>
      </c>
      <c r="E51" s="88">
        <v>536.89</v>
      </c>
      <c r="F51" s="88">
        <v>532.35</v>
      </c>
      <c r="G51" s="88">
        <v>537.36</v>
      </c>
      <c r="H51" s="88">
        <v>536.47</v>
      </c>
      <c r="I51" s="88">
        <v>537.29</v>
      </c>
      <c r="J51" s="88">
        <v>536.59</v>
      </c>
    </row>
    <row r="52" spans="1:10" x14ac:dyDescent="0.25">
      <c r="A52" s="321" t="s">
        <v>677</v>
      </c>
      <c r="B52" s="88">
        <v>537.44000000000005</v>
      </c>
      <c r="C52" s="88">
        <v>537.34</v>
      </c>
      <c r="D52" s="88">
        <v>536.80999999999995</v>
      </c>
      <c r="E52" s="88">
        <v>536.79999999999995</v>
      </c>
      <c r="F52" s="88">
        <v>532.5</v>
      </c>
      <c r="G52" s="88">
        <v>537.29999999999995</v>
      </c>
      <c r="H52" s="88">
        <v>536.33000000000004</v>
      </c>
      <c r="I52" s="88">
        <v>537.07000000000005</v>
      </c>
      <c r="J52" s="88">
        <v>536.5</v>
      </c>
    </row>
    <row r="53" spans="1:10" x14ac:dyDescent="0.25">
      <c r="A53" s="321" t="s">
        <v>678</v>
      </c>
      <c r="B53" s="88">
        <v>537.53</v>
      </c>
      <c r="C53" s="88">
        <v>537.34</v>
      </c>
      <c r="D53" s="88">
        <v>536.98</v>
      </c>
      <c r="E53" s="88">
        <v>536.98</v>
      </c>
      <c r="F53" s="88">
        <v>532.62</v>
      </c>
      <c r="G53" s="88">
        <v>537.42999999999995</v>
      </c>
      <c r="H53" s="88">
        <v>536.51</v>
      </c>
      <c r="I53" s="88">
        <v>537.32000000000005</v>
      </c>
      <c r="J53" s="88">
        <v>536.69000000000005</v>
      </c>
    </row>
    <row r="54" spans="1:10" x14ac:dyDescent="0.25">
      <c r="A54" s="321" t="s">
        <v>679</v>
      </c>
      <c r="B54" s="88">
        <v>537.42999999999995</v>
      </c>
      <c r="C54" s="88">
        <v>537.27</v>
      </c>
      <c r="D54" s="88">
        <v>536.85</v>
      </c>
      <c r="E54" s="88">
        <v>536.83000000000004</v>
      </c>
      <c r="F54" s="88">
        <v>532.49</v>
      </c>
      <c r="G54" s="88">
        <v>537.28</v>
      </c>
      <c r="H54" s="88">
        <v>536.35</v>
      </c>
      <c r="I54" s="88">
        <v>537.14</v>
      </c>
      <c r="J54" s="88">
        <v>536.54</v>
      </c>
    </row>
    <row r="55" spans="1:10" x14ac:dyDescent="0.25">
      <c r="A55" s="321" t="s">
        <v>680</v>
      </c>
      <c r="B55" s="88">
        <v>537.39</v>
      </c>
      <c r="C55" s="88">
        <v>537.29</v>
      </c>
      <c r="D55" s="88">
        <v>536.87</v>
      </c>
      <c r="E55" s="88">
        <v>536.86</v>
      </c>
      <c r="F55" s="88">
        <v>532.5</v>
      </c>
      <c r="G55" s="88">
        <v>537.36</v>
      </c>
      <c r="H55" s="88">
        <v>536.39</v>
      </c>
      <c r="I55" s="88">
        <v>537.16999999999996</v>
      </c>
      <c r="J55" s="88">
        <v>536.54999999999995</v>
      </c>
    </row>
    <row r="56" spans="1:10" x14ac:dyDescent="0.25">
      <c r="A56" s="321" t="s">
        <v>681</v>
      </c>
      <c r="B56" s="88">
        <v>537.37</v>
      </c>
      <c r="C56" s="88">
        <v>537.26</v>
      </c>
      <c r="D56" s="88">
        <v>536.82000000000005</v>
      </c>
      <c r="E56" s="88">
        <v>536.80999999999995</v>
      </c>
      <c r="F56" s="88">
        <v>532.16999999999996</v>
      </c>
      <c r="G56" s="88">
        <v>537.30999999999995</v>
      </c>
      <c r="H56" s="88">
        <v>536.36</v>
      </c>
      <c r="I56" s="88">
        <v>537.16999999999996</v>
      </c>
      <c r="J56" s="88">
        <v>536.5</v>
      </c>
    </row>
    <row r="57" spans="1:10" x14ac:dyDescent="0.25">
      <c r="A57" s="321" t="s">
        <v>682</v>
      </c>
      <c r="B57" s="88">
        <v>537.46</v>
      </c>
      <c r="C57" s="88">
        <v>537.25</v>
      </c>
      <c r="D57" s="88">
        <v>536.87</v>
      </c>
      <c r="E57" s="88">
        <v>536.89</v>
      </c>
      <c r="F57" s="88">
        <v>532.5</v>
      </c>
      <c r="G57" s="88">
        <v>537.39</v>
      </c>
      <c r="H57" s="88">
        <v>536.39</v>
      </c>
      <c r="I57" s="88">
        <v>537.24</v>
      </c>
      <c r="J57" s="88">
        <v>536.59</v>
      </c>
    </row>
    <row r="58" spans="1:10" x14ac:dyDescent="0.25">
      <c r="A58" s="321" t="s">
        <v>683</v>
      </c>
      <c r="B58" s="88">
        <v>537.30999999999995</v>
      </c>
      <c r="C58" s="88">
        <v>537.23</v>
      </c>
      <c r="D58" s="88">
        <v>536.75</v>
      </c>
      <c r="E58" s="88">
        <v>536.75</v>
      </c>
      <c r="F58" s="88">
        <v>532.29</v>
      </c>
      <c r="G58" s="88">
        <v>537.21</v>
      </c>
      <c r="H58" s="88">
        <v>536.28</v>
      </c>
      <c r="I58" s="88">
        <v>537.07000000000005</v>
      </c>
      <c r="J58" s="88">
        <v>536.46</v>
      </c>
    </row>
    <row r="59" spans="1:10" x14ac:dyDescent="0.25">
      <c r="A59" s="321" t="s">
        <v>684</v>
      </c>
      <c r="B59" s="88">
        <v>537.33000000000004</v>
      </c>
      <c r="C59" s="88">
        <v>537.27</v>
      </c>
      <c r="D59" s="88">
        <v>536.84</v>
      </c>
      <c r="E59" s="88">
        <v>536.82000000000005</v>
      </c>
      <c r="F59" s="88">
        <v>532.39</v>
      </c>
      <c r="G59" s="88">
        <v>537.29999999999995</v>
      </c>
      <c r="H59" s="88">
        <v>536.36</v>
      </c>
      <c r="I59" s="88">
        <v>537.22</v>
      </c>
      <c r="J59" s="88">
        <v>536.51</v>
      </c>
    </row>
  </sheetData>
  <sheetProtection algorithmName="SHA-512" hashValue="Bxk3WtpYOkwLghNPpg2yds8/eLDtYI27dj3tznry3oK2H6IIx3LVJBGazY7YQIcxORadeO71f9fQBs/YWs5gJg==" saltValue="cbyu41ia6P7NXHG7996YV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76"/>
  <sheetViews>
    <sheetView workbookViewId="0">
      <selection activeCell="F17" sqref="F17"/>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526</v>
      </c>
      <c r="C1" t="s">
        <v>527</v>
      </c>
      <c r="D1" t="s">
        <v>528</v>
      </c>
      <c r="E1" t="s">
        <v>529</v>
      </c>
    </row>
    <row r="2" spans="1:11" x14ac:dyDescent="0.25">
      <c r="A2" s="328" t="s">
        <v>685</v>
      </c>
      <c r="B2">
        <v>39.9</v>
      </c>
      <c r="C2">
        <v>40.1</v>
      </c>
      <c r="D2">
        <v>40.5</v>
      </c>
      <c r="E2">
        <v>35.200000000000003</v>
      </c>
    </row>
    <row r="3" spans="1:11" x14ac:dyDescent="0.25">
      <c r="A3" s="321" t="s">
        <v>686</v>
      </c>
      <c r="B3" s="88">
        <v>40.200000000000003</v>
      </c>
      <c r="C3" s="88">
        <v>40.4</v>
      </c>
      <c r="D3" s="88">
        <v>41</v>
      </c>
      <c r="E3" s="88">
        <v>35.5</v>
      </c>
    </row>
    <row r="4" spans="1:11" x14ac:dyDescent="0.25">
      <c r="A4" s="321" t="s">
        <v>687</v>
      </c>
      <c r="B4" s="88">
        <v>40.5</v>
      </c>
      <c r="C4" s="88">
        <v>40.6</v>
      </c>
      <c r="D4" s="88">
        <v>41.3</v>
      </c>
      <c r="E4" s="88">
        <v>35.799999999999997</v>
      </c>
    </row>
    <row r="5" spans="1:11" x14ac:dyDescent="0.25">
      <c r="A5" s="321" t="s">
        <v>688</v>
      </c>
      <c r="B5" s="88">
        <v>40.700000000000003</v>
      </c>
      <c r="C5" s="88">
        <v>40.799999999999997</v>
      </c>
      <c r="D5" s="88">
        <v>41.6</v>
      </c>
      <c r="E5" s="88">
        <v>36.200000000000003</v>
      </c>
    </row>
    <row r="6" spans="1:11" x14ac:dyDescent="0.25">
      <c r="A6" s="321" t="s">
        <v>689</v>
      </c>
      <c r="B6" s="88">
        <v>40.9</v>
      </c>
      <c r="C6" s="88">
        <v>41</v>
      </c>
      <c r="D6" s="88">
        <v>41.8</v>
      </c>
      <c r="E6" s="88">
        <v>36.5</v>
      </c>
    </row>
    <row r="7" spans="1:11" x14ac:dyDescent="0.25">
      <c r="A7" s="321" t="s">
        <v>690</v>
      </c>
      <c r="B7" s="88">
        <v>41.1</v>
      </c>
      <c r="C7" s="88">
        <v>41.1</v>
      </c>
      <c r="D7" s="88">
        <v>41.9</v>
      </c>
      <c r="E7" s="88">
        <v>36.799999999999997</v>
      </c>
    </row>
    <row r="8" spans="1:11" ht="15.75" thickBot="1" x14ac:dyDescent="0.3">
      <c r="A8" s="321" t="s">
        <v>691</v>
      </c>
      <c r="B8" s="88">
        <v>41.2</v>
      </c>
      <c r="C8" s="88">
        <v>41.3</v>
      </c>
      <c r="D8" s="88">
        <v>42.1</v>
      </c>
      <c r="E8" s="88">
        <v>37.200000000000003</v>
      </c>
    </row>
    <row r="9" spans="1:11" x14ac:dyDescent="0.25">
      <c r="A9" s="321" t="s">
        <v>692</v>
      </c>
      <c r="B9" s="88">
        <v>41.3</v>
      </c>
      <c r="C9" s="88">
        <v>41.4</v>
      </c>
      <c r="D9" s="88">
        <v>42.3</v>
      </c>
      <c r="E9" s="88">
        <v>37.5</v>
      </c>
      <c r="H9" s="362" t="s">
        <v>525</v>
      </c>
      <c r="I9" s="363"/>
      <c r="J9" s="363"/>
      <c r="K9" s="364"/>
    </row>
    <row r="10" spans="1:11" x14ac:dyDescent="0.25">
      <c r="A10" s="321" t="s">
        <v>693</v>
      </c>
      <c r="B10" s="88">
        <v>41.4</v>
      </c>
      <c r="C10" s="88">
        <v>41.5</v>
      </c>
      <c r="D10" s="88">
        <v>42.4</v>
      </c>
      <c r="E10" s="88">
        <v>37.799999999999997</v>
      </c>
      <c r="H10" s="365"/>
      <c r="I10" s="366"/>
      <c r="J10" s="366"/>
      <c r="K10" s="367"/>
    </row>
    <row r="11" spans="1:11" x14ac:dyDescent="0.25">
      <c r="A11" s="321" t="s">
        <v>694</v>
      </c>
      <c r="B11" s="88">
        <v>41.6</v>
      </c>
      <c r="C11" s="88">
        <v>41.6</v>
      </c>
      <c r="D11" s="88">
        <v>42.5</v>
      </c>
      <c r="E11" s="88">
        <v>38.200000000000003</v>
      </c>
      <c r="H11" s="365"/>
      <c r="I11" s="366"/>
      <c r="J11" s="366"/>
      <c r="K11" s="367"/>
    </row>
    <row r="12" spans="1:11" x14ac:dyDescent="0.25">
      <c r="A12" s="321" t="s">
        <v>695</v>
      </c>
      <c r="B12" s="88">
        <v>41.7</v>
      </c>
      <c r="C12" s="88">
        <v>41.8</v>
      </c>
      <c r="D12" s="88">
        <v>42.7</v>
      </c>
      <c r="E12" s="88">
        <v>38.5</v>
      </c>
      <c r="H12" s="365"/>
      <c r="I12" s="366"/>
      <c r="J12" s="366"/>
      <c r="K12" s="367"/>
    </row>
    <row r="13" spans="1:11" x14ac:dyDescent="0.25">
      <c r="A13" s="321" t="s">
        <v>696</v>
      </c>
      <c r="B13" s="88">
        <v>41.9</v>
      </c>
      <c r="C13" s="88">
        <v>41.9</v>
      </c>
      <c r="D13" s="88">
        <v>42.8</v>
      </c>
      <c r="E13" s="88">
        <v>38.799999999999997</v>
      </c>
      <c r="H13" s="365"/>
      <c r="I13" s="366"/>
      <c r="J13" s="366"/>
      <c r="K13" s="367"/>
    </row>
    <row r="14" spans="1:11" x14ac:dyDescent="0.25">
      <c r="A14" s="321" t="s">
        <v>697</v>
      </c>
      <c r="B14" s="88">
        <v>42</v>
      </c>
      <c r="C14" s="88">
        <v>42.1</v>
      </c>
      <c r="D14" s="88">
        <v>42.9</v>
      </c>
      <c r="E14" s="88">
        <v>39.200000000000003</v>
      </c>
      <c r="H14" s="365"/>
      <c r="I14" s="366"/>
      <c r="J14" s="366"/>
      <c r="K14" s="367"/>
    </row>
    <row r="15" spans="1:11" ht="15.75" thickBot="1" x14ac:dyDescent="0.3">
      <c r="A15" s="321" t="s">
        <v>698</v>
      </c>
      <c r="B15" s="88">
        <v>42.1</v>
      </c>
      <c r="C15" s="88">
        <v>42.2</v>
      </c>
      <c r="D15" s="88">
        <v>43</v>
      </c>
      <c r="E15" s="88">
        <v>39.5</v>
      </c>
      <c r="H15" s="368"/>
      <c r="I15" s="369"/>
      <c r="J15" s="369"/>
      <c r="K15" s="370"/>
    </row>
    <row r="16" spans="1:11" x14ac:dyDescent="0.25">
      <c r="A16" s="321" t="s">
        <v>699</v>
      </c>
      <c r="B16" s="88">
        <v>42.2</v>
      </c>
      <c r="C16" s="88">
        <v>42.3</v>
      </c>
      <c r="D16" s="88">
        <v>43.1</v>
      </c>
      <c r="E16" s="88">
        <v>39.799999999999997</v>
      </c>
    </row>
    <row r="17" spans="1:5" x14ac:dyDescent="0.25">
      <c r="A17" s="321" t="s">
        <v>700</v>
      </c>
      <c r="B17" s="88">
        <v>42.3</v>
      </c>
      <c r="C17" s="88">
        <v>42.4</v>
      </c>
      <c r="D17" s="88">
        <v>43.2</v>
      </c>
      <c r="E17" s="88">
        <v>40.200000000000003</v>
      </c>
    </row>
    <row r="18" spans="1:5" x14ac:dyDescent="0.25">
      <c r="A18" s="321" t="s">
        <v>701</v>
      </c>
      <c r="B18" s="88">
        <v>42.4</v>
      </c>
      <c r="C18" s="88">
        <v>42.5</v>
      </c>
      <c r="D18" s="88">
        <v>43.4</v>
      </c>
      <c r="E18" s="88">
        <v>40.5</v>
      </c>
    </row>
    <row r="19" spans="1:5" x14ac:dyDescent="0.25">
      <c r="A19" s="321" t="s">
        <v>702</v>
      </c>
      <c r="B19" s="88">
        <v>42.5</v>
      </c>
      <c r="C19" s="88">
        <v>42.6</v>
      </c>
      <c r="D19" s="88">
        <v>43.5</v>
      </c>
      <c r="E19" s="88">
        <v>40.799999999999997</v>
      </c>
    </row>
    <row r="20" spans="1:5" x14ac:dyDescent="0.25">
      <c r="A20" s="321" t="s">
        <v>703</v>
      </c>
      <c r="B20" s="88">
        <v>42.6</v>
      </c>
      <c r="C20" s="88">
        <v>42.8</v>
      </c>
      <c r="D20" s="88">
        <v>43.6</v>
      </c>
      <c r="E20" s="88">
        <v>41.2</v>
      </c>
    </row>
    <row r="21" spans="1:5" x14ac:dyDescent="0.25">
      <c r="A21" s="321" t="s">
        <v>704</v>
      </c>
      <c r="B21" s="88">
        <v>42.7</v>
      </c>
      <c r="C21" s="88">
        <v>42.9</v>
      </c>
      <c r="D21" s="88">
        <v>43.7</v>
      </c>
      <c r="E21" s="88">
        <v>41.5</v>
      </c>
    </row>
    <row r="22" spans="1:5" x14ac:dyDescent="0.25">
      <c r="A22" s="321" t="s">
        <v>705</v>
      </c>
      <c r="B22" s="88">
        <v>42.8</v>
      </c>
      <c r="C22" s="88">
        <v>42.9</v>
      </c>
      <c r="D22" s="88">
        <v>43.8</v>
      </c>
      <c r="E22" s="88">
        <v>41.8</v>
      </c>
    </row>
    <row r="23" spans="1:5" x14ac:dyDescent="0.25">
      <c r="A23" s="321" t="s">
        <v>706</v>
      </c>
      <c r="B23" s="88">
        <v>42.9</v>
      </c>
      <c r="C23" s="88">
        <v>43</v>
      </c>
      <c r="D23" s="88">
        <v>43.9</v>
      </c>
      <c r="E23" s="88">
        <v>42.2</v>
      </c>
    </row>
    <row r="24" spans="1:5" x14ac:dyDescent="0.25">
      <c r="A24" s="321" t="s">
        <v>707</v>
      </c>
      <c r="B24" s="88">
        <v>43</v>
      </c>
      <c r="C24" s="88">
        <v>43.1</v>
      </c>
      <c r="D24" s="88">
        <v>44</v>
      </c>
      <c r="E24" s="88">
        <v>42.5</v>
      </c>
    </row>
    <row r="25" spans="1:5" x14ac:dyDescent="0.25">
      <c r="A25" s="321" t="s">
        <v>708</v>
      </c>
      <c r="B25" s="88">
        <v>43</v>
      </c>
      <c r="C25" s="88">
        <v>43.2</v>
      </c>
      <c r="D25" s="88">
        <v>44.1</v>
      </c>
      <c r="E25" s="88">
        <v>42.8</v>
      </c>
    </row>
    <row r="26" spans="1:5" x14ac:dyDescent="0.25">
      <c r="A26" s="321" t="s">
        <v>709</v>
      </c>
      <c r="B26" s="88">
        <v>43.1</v>
      </c>
      <c r="C26" s="88">
        <v>43.3</v>
      </c>
      <c r="D26" s="88">
        <v>44.2</v>
      </c>
      <c r="E26" s="88">
        <v>43.2</v>
      </c>
    </row>
    <row r="27" spans="1:5" x14ac:dyDescent="0.25">
      <c r="A27" s="321" t="s">
        <v>710</v>
      </c>
      <c r="B27" s="88">
        <v>43.2</v>
      </c>
      <c r="C27" s="88">
        <v>43.4</v>
      </c>
      <c r="D27" s="88">
        <v>44.3</v>
      </c>
      <c r="E27" s="88">
        <v>43.5</v>
      </c>
    </row>
    <row r="28" spans="1:5" x14ac:dyDescent="0.25">
      <c r="A28" s="321" t="s">
        <v>711</v>
      </c>
      <c r="B28" s="88">
        <v>43.3</v>
      </c>
      <c r="C28" s="88">
        <v>43.5</v>
      </c>
      <c r="D28" s="88">
        <v>44.4</v>
      </c>
      <c r="E28" s="88">
        <v>43.8</v>
      </c>
    </row>
    <row r="29" spans="1:5" x14ac:dyDescent="0.25">
      <c r="A29" s="321" t="s">
        <v>712</v>
      </c>
      <c r="B29" s="88">
        <v>43.4</v>
      </c>
      <c r="C29" s="88">
        <v>43.6</v>
      </c>
      <c r="D29" s="88">
        <v>44.5</v>
      </c>
      <c r="E29" s="88">
        <v>44.2</v>
      </c>
    </row>
    <row r="30" spans="1:5" x14ac:dyDescent="0.25">
      <c r="A30" s="321" t="s">
        <v>713</v>
      </c>
      <c r="B30" s="88">
        <v>43.5</v>
      </c>
      <c r="C30" s="88">
        <v>43.7</v>
      </c>
      <c r="D30" s="88">
        <v>44.6</v>
      </c>
      <c r="E30" s="88">
        <v>44.5</v>
      </c>
    </row>
    <row r="31" spans="1:5" x14ac:dyDescent="0.25">
      <c r="A31" s="321" t="s">
        <v>714</v>
      </c>
      <c r="B31" s="88">
        <v>43.6</v>
      </c>
      <c r="C31" s="88">
        <v>43.8</v>
      </c>
      <c r="D31" s="88">
        <v>44.6</v>
      </c>
      <c r="E31" s="88">
        <v>44.8</v>
      </c>
    </row>
    <row r="32" spans="1:5" x14ac:dyDescent="0.25">
      <c r="A32" s="321" t="s">
        <v>715</v>
      </c>
      <c r="B32" s="88">
        <v>43.6</v>
      </c>
      <c r="C32" s="88">
        <v>43.9</v>
      </c>
      <c r="D32" s="88">
        <v>44.7</v>
      </c>
      <c r="E32" s="88">
        <v>45.2</v>
      </c>
    </row>
    <row r="33" spans="1:5" x14ac:dyDescent="0.25">
      <c r="A33" s="321" t="s">
        <v>716</v>
      </c>
      <c r="B33" s="88">
        <v>43.7</v>
      </c>
      <c r="C33" s="88">
        <v>43.9</v>
      </c>
      <c r="D33" s="88">
        <v>44.8</v>
      </c>
      <c r="E33" s="88">
        <v>45.5</v>
      </c>
    </row>
    <row r="34" spans="1:5" x14ac:dyDescent="0.25">
      <c r="A34" s="321" t="s">
        <v>717</v>
      </c>
      <c r="B34" s="88">
        <v>43.8</v>
      </c>
      <c r="C34" s="88">
        <v>44</v>
      </c>
      <c r="D34" s="88">
        <v>44.9</v>
      </c>
      <c r="E34" s="88">
        <v>45.8</v>
      </c>
    </row>
    <row r="35" spans="1:5" x14ac:dyDescent="0.25">
      <c r="A35" s="321" t="s">
        <v>718</v>
      </c>
      <c r="B35" s="88">
        <v>43.9</v>
      </c>
      <c r="C35" s="88">
        <v>44.1</v>
      </c>
      <c r="D35" s="88">
        <v>45</v>
      </c>
      <c r="E35" s="88">
        <v>46.2</v>
      </c>
    </row>
    <row r="36" spans="1:5" x14ac:dyDescent="0.25">
      <c r="A36" s="321" t="s">
        <v>719</v>
      </c>
      <c r="B36" s="88">
        <v>44</v>
      </c>
      <c r="C36" s="88">
        <v>44.2</v>
      </c>
      <c r="D36" s="88">
        <v>45.1</v>
      </c>
      <c r="E36" s="88">
        <v>46.5</v>
      </c>
    </row>
    <row r="37" spans="1:5" x14ac:dyDescent="0.25">
      <c r="A37" s="321" t="s">
        <v>720</v>
      </c>
      <c r="B37" s="88">
        <v>44</v>
      </c>
      <c r="C37" s="88">
        <v>44.3</v>
      </c>
      <c r="D37" s="88">
        <v>45.1</v>
      </c>
      <c r="E37" s="88">
        <v>46.8</v>
      </c>
    </row>
    <row r="38" spans="1:5" x14ac:dyDescent="0.25">
      <c r="A38" s="321" t="s">
        <v>721</v>
      </c>
      <c r="B38" s="88">
        <v>44.1</v>
      </c>
      <c r="C38" s="88">
        <v>44.3</v>
      </c>
      <c r="D38" s="88">
        <v>45.2</v>
      </c>
      <c r="E38" s="88">
        <v>47.2</v>
      </c>
    </row>
    <row r="39" spans="1:5" x14ac:dyDescent="0.25">
      <c r="A39" s="321" t="s">
        <v>722</v>
      </c>
      <c r="B39" s="88">
        <v>44.1</v>
      </c>
      <c r="C39" s="88">
        <v>44.4</v>
      </c>
      <c r="D39" s="88">
        <v>45.3</v>
      </c>
      <c r="E39" s="88">
        <v>47.5</v>
      </c>
    </row>
    <row r="40" spans="1:5" x14ac:dyDescent="0.25">
      <c r="A40" s="321" t="s">
        <v>723</v>
      </c>
      <c r="B40" s="88">
        <v>44.3</v>
      </c>
      <c r="C40" s="88">
        <v>44.5</v>
      </c>
      <c r="D40" s="88">
        <v>45.4</v>
      </c>
      <c r="E40" s="88">
        <v>47.8</v>
      </c>
    </row>
    <row r="41" spans="1:5" x14ac:dyDescent="0.25">
      <c r="A41" s="321" t="s">
        <v>724</v>
      </c>
      <c r="B41" s="88">
        <v>44.3</v>
      </c>
      <c r="C41" s="88">
        <v>44.6</v>
      </c>
      <c r="D41" s="88">
        <v>45.5</v>
      </c>
      <c r="E41" s="88">
        <v>48.2</v>
      </c>
    </row>
    <row r="42" spans="1:5" x14ac:dyDescent="0.25">
      <c r="A42" s="321" t="s">
        <v>725</v>
      </c>
      <c r="B42" s="88">
        <v>44.4</v>
      </c>
      <c r="C42" s="88">
        <v>44.6</v>
      </c>
      <c r="D42" s="88">
        <v>45.5</v>
      </c>
      <c r="E42" s="88">
        <v>48.5</v>
      </c>
    </row>
    <row r="43" spans="1:5" x14ac:dyDescent="0.25">
      <c r="A43" s="321" t="s">
        <v>726</v>
      </c>
      <c r="B43" s="88">
        <v>44.5</v>
      </c>
      <c r="C43" s="88">
        <v>44.7</v>
      </c>
      <c r="D43" s="88">
        <v>45.6</v>
      </c>
      <c r="E43" s="88">
        <v>48.8</v>
      </c>
    </row>
    <row r="44" spans="1:5" x14ac:dyDescent="0.25">
      <c r="A44" s="321" t="s">
        <v>727</v>
      </c>
      <c r="B44" s="88">
        <v>44.5</v>
      </c>
      <c r="C44" s="88">
        <v>44.8</v>
      </c>
      <c r="D44" s="88">
        <v>45.7</v>
      </c>
      <c r="E44" s="88">
        <v>49.2</v>
      </c>
    </row>
    <row r="45" spans="1:5" x14ac:dyDescent="0.25">
      <c r="A45" s="321" t="s">
        <v>728</v>
      </c>
      <c r="B45" s="88">
        <v>44.6</v>
      </c>
      <c r="C45" s="88">
        <v>44.8</v>
      </c>
      <c r="D45" s="88">
        <v>45.8</v>
      </c>
      <c r="E45" s="88">
        <v>49.5</v>
      </c>
    </row>
    <row r="46" spans="1:5" x14ac:dyDescent="0.25">
      <c r="A46" s="321" t="s">
        <v>729</v>
      </c>
      <c r="B46" s="88">
        <v>44.7</v>
      </c>
      <c r="C46" s="88">
        <v>44.9</v>
      </c>
      <c r="D46" s="88">
        <v>45.8</v>
      </c>
      <c r="E46" s="88">
        <v>49.8</v>
      </c>
    </row>
    <row r="47" spans="1:5" x14ac:dyDescent="0.25">
      <c r="A47" s="321" t="s">
        <v>730</v>
      </c>
      <c r="B47" s="88">
        <v>44.8</v>
      </c>
      <c r="C47" s="88">
        <v>45</v>
      </c>
      <c r="D47" s="88">
        <v>45.9</v>
      </c>
      <c r="E47" s="88">
        <v>50.2</v>
      </c>
    </row>
    <row r="48" spans="1:5" x14ac:dyDescent="0.25">
      <c r="A48" s="321" t="s">
        <v>731</v>
      </c>
      <c r="B48" s="88">
        <v>44.8</v>
      </c>
      <c r="C48" s="88">
        <v>45</v>
      </c>
      <c r="D48" s="88">
        <v>46</v>
      </c>
      <c r="E48" s="88">
        <v>50.5</v>
      </c>
    </row>
    <row r="49" spans="1:5" x14ac:dyDescent="0.25">
      <c r="A49" s="321" t="s">
        <v>732</v>
      </c>
      <c r="B49" s="88">
        <v>44.9</v>
      </c>
      <c r="C49" s="88">
        <v>45.1</v>
      </c>
      <c r="D49" s="88">
        <v>46</v>
      </c>
      <c r="E49" s="88">
        <v>50.8</v>
      </c>
    </row>
    <row r="50" spans="1:5" x14ac:dyDescent="0.25">
      <c r="A50" s="321" t="s">
        <v>733</v>
      </c>
      <c r="B50" s="88">
        <v>44.9</v>
      </c>
      <c r="C50" s="88">
        <v>45.2</v>
      </c>
      <c r="D50" s="88">
        <v>46.1</v>
      </c>
      <c r="E50" s="88">
        <v>51.2</v>
      </c>
    </row>
    <row r="51" spans="1:5" x14ac:dyDescent="0.25">
      <c r="A51" s="321" t="s">
        <v>734</v>
      </c>
      <c r="B51" s="88">
        <v>45</v>
      </c>
      <c r="C51" s="88">
        <v>45.3</v>
      </c>
      <c r="D51" s="88">
        <v>46.2</v>
      </c>
      <c r="E51" s="88">
        <v>51.5</v>
      </c>
    </row>
    <row r="52" spans="1:5" x14ac:dyDescent="0.25">
      <c r="A52" s="321" t="s">
        <v>735</v>
      </c>
      <c r="B52" s="88">
        <v>45</v>
      </c>
      <c r="C52" s="88">
        <v>45.3</v>
      </c>
      <c r="D52" s="88">
        <v>46.2</v>
      </c>
      <c r="E52" s="88">
        <v>51.8</v>
      </c>
    </row>
    <row r="53" spans="1:5" x14ac:dyDescent="0.25">
      <c r="A53" s="321" t="s">
        <v>736</v>
      </c>
      <c r="B53" s="88">
        <v>45.1</v>
      </c>
      <c r="C53" s="88">
        <v>45.4</v>
      </c>
      <c r="D53" s="88">
        <v>46.3</v>
      </c>
      <c r="E53" s="88">
        <v>52.2</v>
      </c>
    </row>
    <row r="54" spans="1:5" x14ac:dyDescent="0.25">
      <c r="A54" s="321" t="s">
        <v>737</v>
      </c>
      <c r="B54" s="88">
        <v>45.2</v>
      </c>
      <c r="C54" s="88">
        <v>45.4</v>
      </c>
      <c r="D54" s="88">
        <v>46.4</v>
      </c>
      <c r="E54" s="88">
        <v>52.5</v>
      </c>
    </row>
    <row r="55" spans="1:5" x14ac:dyDescent="0.25">
      <c r="A55" s="321" t="s">
        <v>738</v>
      </c>
      <c r="B55" s="88">
        <v>45.5</v>
      </c>
      <c r="C55" s="88">
        <v>45.7</v>
      </c>
      <c r="D55" s="88">
        <v>46.8</v>
      </c>
      <c r="E55" s="88">
        <v>52.8</v>
      </c>
    </row>
    <row r="56" spans="1:5" x14ac:dyDescent="0.25">
      <c r="A56" s="321" t="s">
        <v>739</v>
      </c>
      <c r="B56" s="88">
        <v>46.4</v>
      </c>
      <c r="C56" s="88">
        <v>46.3</v>
      </c>
      <c r="D56" s="88">
        <v>47.6</v>
      </c>
      <c r="E56" s="88">
        <v>53.2</v>
      </c>
    </row>
    <row r="57" spans="1:5" x14ac:dyDescent="0.25">
      <c r="A57" s="321" t="s">
        <v>740</v>
      </c>
      <c r="B57" s="88">
        <v>47.5</v>
      </c>
      <c r="C57" s="88">
        <v>47.1</v>
      </c>
      <c r="D57" s="88">
        <v>48.8</v>
      </c>
      <c r="E57" s="88">
        <v>53.5</v>
      </c>
    </row>
    <row r="58" spans="1:5" x14ac:dyDescent="0.25">
      <c r="A58" s="321" t="s">
        <v>741</v>
      </c>
      <c r="B58" s="88">
        <v>49</v>
      </c>
      <c r="C58" s="88">
        <v>48.2</v>
      </c>
      <c r="D58" s="88">
        <v>50.1</v>
      </c>
      <c r="E58" s="88">
        <v>53.8</v>
      </c>
    </row>
    <row r="59" spans="1:5" x14ac:dyDescent="0.25">
      <c r="A59" s="321" t="s">
        <v>742</v>
      </c>
      <c r="B59" s="88">
        <v>50.5</v>
      </c>
      <c r="C59" s="88">
        <v>49.3</v>
      </c>
      <c r="D59" s="88">
        <v>51.5</v>
      </c>
      <c r="E59" s="88">
        <v>54.2</v>
      </c>
    </row>
    <row r="60" spans="1:5" x14ac:dyDescent="0.25">
      <c r="A60" s="321" t="s">
        <v>743</v>
      </c>
      <c r="B60" s="88">
        <v>51.9</v>
      </c>
      <c r="C60" s="88">
        <v>50.5</v>
      </c>
      <c r="D60" s="88">
        <v>52.9</v>
      </c>
      <c r="E60" s="88">
        <v>54.5</v>
      </c>
    </row>
    <row r="61" spans="1:5" x14ac:dyDescent="0.25">
      <c r="A61" s="321" t="s">
        <v>744</v>
      </c>
      <c r="B61" s="88">
        <v>53.3</v>
      </c>
      <c r="C61" s="88">
        <v>51.6</v>
      </c>
      <c r="D61" s="88">
        <v>54.1</v>
      </c>
      <c r="E61" s="88">
        <v>54.8</v>
      </c>
    </row>
    <row r="62" spans="1:5" x14ac:dyDescent="0.25">
      <c r="A62" s="321" t="s">
        <v>745</v>
      </c>
      <c r="B62" s="88">
        <v>54.5</v>
      </c>
      <c r="C62" s="88">
        <v>52.6</v>
      </c>
      <c r="D62" s="88">
        <v>55.1</v>
      </c>
      <c r="E62" s="88">
        <v>55.2</v>
      </c>
    </row>
    <row r="63" spans="1:5" x14ac:dyDescent="0.25">
      <c r="A63" s="321" t="s">
        <v>746</v>
      </c>
      <c r="B63" s="88">
        <v>55.5</v>
      </c>
      <c r="C63" s="88">
        <v>53.5</v>
      </c>
      <c r="D63" s="88">
        <v>56.1</v>
      </c>
      <c r="E63" s="88">
        <v>55.5</v>
      </c>
    </row>
    <row r="64" spans="1:5" x14ac:dyDescent="0.25">
      <c r="A64" s="321" t="s">
        <v>747</v>
      </c>
      <c r="B64" s="88">
        <v>56.4</v>
      </c>
      <c r="C64" s="88">
        <v>54.3</v>
      </c>
      <c r="D64" s="88">
        <v>56.9</v>
      </c>
      <c r="E64" s="88">
        <v>55.8</v>
      </c>
    </row>
    <row r="65" spans="1:5" x14ac:dyDescent="0.25">
      <c r="A65" s="321" t="s">
        <v>748</v>
      </c>
      <c r="B65" s="88">
        <v>57</v>
      </c>
      <c r="C65" s="88">
        <v>55</v>
      </c>
      <c r="D65" s="88">
        <v>57.5</v>
      </c>
      <c r="E65" s="88">
        <v>56.2</v>
      </c>
    </row>
    <row r="66" spans="1:5" x14ac:dyDescent="0.25">
      <c r="A66" s="321" t="s">
        <v>749</v>
      </c>
      <c r="B66" s="88">
        <v>57.7</v>
      </c>
      <c r="C66" s="88">
        <v>55.7</v>
      </c>
      <c r="D66" s="88">
        <v>58</v>
      </c>
      <c r="E66" s="88">
        <v>56.5</v>
      </c>
    </row>
    <row r="67" spans="1:5" x14ac:dyDescent="0.25">
      <c r="A67" s="321" t="s">
        <v>750</v>
      </c>
      <c r="B67" s="88">
        <v>58.2</v>
      </c>
      <c r="C67" s="88">
        <v>56.2</v>
      </c>
      <c r="D67" s="88">
        <v>58.5</v>
      </c>
      <c r="E67" s="88">
        <v>56.8</v>
      </c>
    </row>
    <row r="68" spans="1:5" x14ac:dyDescent="0.25">
      <c r="A68" s="321" t="s">
        <v>751</v>
      </c>
      <c r="B68" s="88">
        <v>58.6</v>
      </c>
      <c r="C68" s="88">
        <v>56.7</v>
      </c>
      <c r="D68" s="88">
        <v>59</v>
      </c>
      <c r="E68" s="88">
        <v>57.2</v>
      </c>
    </row>
    <row r="69" spans="1:5" x14ac:dyDescent="0.25">
      <c r="A69" s="321" t="s">
        <v>752</v>
      </c>
      <c r="B69" s="88">
        <v>59</v>
      </c>
      <c r="C69" s="88">
        <v>57.2</v>
      </c>
      <c r="D69" s="88">
        <v>59.3</v>
      </c>
      <c r="E69" s="88">
        <v>57.5</v>
      </c>
    </row>
    <row r="70" spans="1:5" x14ac:dyDescent="0.25">
      <c r="A70" s="321" t="s">
        <v>753</v>
      </c>
      <c r="B70" s="88">
        <v>59.3</v>
      </c>
      <c r="C70" s="88">
        <v>57.6</v>
      </c>
      <c r="D70" s="88">
        <v>59.7</v>
      </c>
      <c r="E70" s="88">
        <v>57.8</v>
      </c>
    </row>
    <row r="71" spans="1:5" x14ac:dyDescent="0.25">
      <c r="A71" s="321" t="s">
        <v>754</v>
      </c>
      <c r="B71" s="88">
        <v>59.6</v>
      </c>
      <c r="C71" s="88">
        <v>58</v>
      </c>
      <c r="D71" s="88">
        <v>60</v>
      </c>
      <c r="E71" s="88">
        <v>58.2</v>
      </c>
    </row>
    <row r="72" spans="1:5" x14ac:dyDescent="0.25">
      <c r="A72" s="321" t="s">
        <v>755</v>
      </c>
      <c r="B72" s="88">
        <v>59.9</v>
      </c>
      <c r="C72" s="88">
        <v>58.4</v>
      </c>
      <c r="D72" s="88">
        <v>60.3</v>
      </c>
      <c r="E72" s="88">
        <v>58.5</v>
      </c>
    </row>
    <row r="73" spans="1:5" x14ac:dyDescent="0.25">
      <c r="A73" s="321" t="s">
        <v>756</v>
      </c>
      <c r="B73" s="88">
        <v>60.2</v>
      </c>
      <c r="C73" s="88">
        <v>58.7</v>
      </c>
      <c r="D73" s="88">
        <v>60.6</v>
      </c>
      <c r="E73" s="88">
        <v>58.8</v>
      </c>
    </row>
    <row r="74" spans="1:5" x14ac:dyDescent="0.25">
      <c r="A74" s="321" t="s">
        <v>757</v>
      </c>
      <c r="B74" s="88">
        <v>60.4</v>
      </c>
      <c r="C74" s="88">
        <v>59.1</v>
      </c>
      <c r="D74" s="88">
        <v>60.9</v>
      </c>
      <c r="E74" s="88">
        <v>59.2</v>
      </c>
    </row>
    <row r="75" spans="1:5" x14ac:dyDescent="0.25">
      <c r="A75" s="321" t="s">
        <v>758</v>
      </c>
      <c r="B75" s="88">
        <v>60.6</v>
      </c>
      <c r="C75" s="88">
        <v>59.4</v>
      </c>
      <c r="D75" s="88">
        <v>61.2</v>
      </c>
      <c r="E75" s="88">
        <v>59.5</v>
      </c>
    </row>
    <row r="76" spans="1:5" x14ac:dyDescent="0.25">
      <c r="A76" s="321" t="s">
        <v>759</v>
      </c>
      <c r="B76" s="88">
        <v>60.9</v>
      </c>
      <c r="C76" s="88">
        <v>59.6</v>
      </c>
      <c r="D76" s="88">
        <v>61.5</v>
      </c>
      <c r="E76" s="88">
        <v>59.8</v>
      </c>
    </row>
    <row r="77" spans="1:5" x14ac:dyDescent="0.25">
      <c r="A77" s="321" t="s">
        <v>760</v>
      </c>
      <c r="B77" s="88">
        <v>61.2</v>
      </c>
      <c r="C77" s="88">
        <v>60</v>
      </c>
      <c r="D77" s="88">
        <v>61.8</v>
      </c>
      <c r="E77" s="88">
        <v>60.2</v>
      </c>
    </row>
    <row r="78" spans="1:5" x14ac:dyDescent="0.25">
      <c r="A78" s="321" t="s">
        <v>761</v>
      </c>
      <c r="B78" s="88">
        <v>61.5</v>
      </c>
      <c r="C78" s="88">
        <v>60.3</v>
      </c>
      <c r="D78" s="88">
        <v>62</v>
      </c>
      <c r="E78" s="88">
        <v>60.5</v>
      </c>
    </row>
    <row r="79" spans="1:5" x14ac:dyDescent="0.25">
      <c r="A79" s="321" t="s">
        <v>762</v>
      </c>
      <c r="B79" s="88">
        <v>61.7</v>
      </c>
      <c r="C79" s="88">
        <v>60.6</v>
      </c>
      <c r="D79" s="88">
        <v>62.3</v>
      </c>
      <c r="E79" s="88">
        <v>60.8</v>
      </c>
    </row>
    <row r="80" spans="1:5" x14ac:dyDescent="0.25">
      <c r="A80" s="321" t="s">
        <v>763</v>
      </c>
      <c r="B80" s="88">
        <v>62</v>
      </c>
      <c r="C80" s="88">
        <v>60.9</v>
      </c>
      <c r="D80" s="88">
        <v>62.6</v>
      </c>
      <c r="E80" s="88">
        <v>61.2</v>
      </c>
    </row>
    <row r="81" spans="1:5" x14ac:dyDescent="0.25">
      <c r="A81" s="321" t="s">
        <v>764</v>
      </c>
      <c r="B81" s="88">
        <v>62.3</v>
      </c>
      <c r="C81" s="88">
        <v>61.2</v>
      </c>
      <c r="D81" s="88">
        <v>63</v>
      </c>
      <c r="E81" s="88">
        <v>61.5</v>
      </c>
    </row>
    <row r="82" spans="1:5" x14ac:dyDescent="0.25">
      <c r="A82" s="321" t="s">
        <v>765</v>
      </c>
      <c r="B82" s="88">
        <v>62.6</v>
      </c>
      <c r="C82" s="88">
        <v>61.5</v>
      </c>
      <c r="D82" s="88">
        <v>63.3</v>
      </c>
      <c r="E82" s="88">
        <v>61.8</v>
      </c>
    </row>
    <row r="83" spans="1:5" x14ac:dyDescent="0.25">
      <c r="A83" s="321" t="s">
        <v>766</v>
      </c>
      <c r="B83" s="88">
        <v>62.9</v>
      </c>
      <c r="C83" s="88">
        <v>61.9</v>
      </c>
      <c r="D83" s="88">
        <v>63.6</v>
      </c>
      <c r="E83" s="88">
        <v>62.2</v>
      </c>
    </row>
    <row r="84" spans="1:5" x14ac:dyDescent="0.25">
      <c r="A84" s="321" t="s">
        <v>767</v>
      </c>
      <c r="B84" s="88">
        <v>63.2</v>
      </c>
      <c r="C84" s="88">
        <v>62.2</v>
      </c>
      <c r="D84" s="88">
        <v>63.9</v>
      </c>
      <c r="E84" s="88">
        <v>62.5</v>
      </c>
    </row>
    <row r="85" spans="1:5" x14ac:dyDescent="0.25">
      <c r="A85" s="321" t="s">
        <v>768</v>
      </c>
      <c r="B85" s="88">
        <v>63.5</v>
      </c>
      <c r="C85" s="88">
        <v>62.5</v>
      </c>
      <c r="D85" s="88">
        <v>64.3</v>
      </c>
      <c r="E85" s="88">
        <v>62.8</v>
      </c>
    </row>
    <row r="86" spans="1:5" x14ac:dyDescent="0.25">
      <c r="A86" s="321" t="s">
        <v>769</v>
      </c>
      <c r="B86" s="88">
        <v>63.8</v>
      </c>
      <c r="C86" s="88">
        <v>62.9</v>
      </c>
      <c r="D86" s="88">
        <v>64.599999999999994</v>
      </c>
      <c r="E86" s="88">
        <v>63.2</v>
      </c>
    </row>
    <row r="87" spans="1:5" x14ac:dyDescent="0.25">
      <c r="A87" s="321" t="s">
        <v>770</v>
      </c>
      <c r="B87" s="88">
        <v>64.099999999999994</v>
      </c>
      <c r="C87" s="88">
        <v>63.2</v>
      </c>
      <c r="D87" s="88">
        <v>64.900000000000006</v>
      </c>
      <c r="E87" s="88">
        <v>63.5</v>
      </c>
    </row>
    <row r="88" spans="1:5" x14ac:dyDescent="0.25">
      <c r="A88" s="321" t="s">
        <v>771</v>
      </c>
      <c r="B88" s="88">
        <v>64.400000000000006</v>
      </c>
      <c r="C88" s="88">
        <v>63.5</v>
      </c>
      <c r="D88" s="88">
        <v>65.2</v>
      </c>
      <c r="E88" s="88">
        <v>63.8</v>
      </c>
    </row>
    <row r="89" spans="1:5" x14ac:dyDescent="0.25">
      <c r="A89" s="321" t="s">
        <v>772</v>
      </c>
      <c r="B89" s="88">
        <v>64.7</v>
      </c>
      <c r="C89" s="88">
        <v>63.8</v>
      </c>
      <c r="D89" s="88">
        <v>65.599999999999994</v>
      </c>
      <c r="E89" s="88">
        <v>64.2</v>
      </c>
    </row>
    <row r="90" spans="1:5" x14ac:dyDescent="0.25">
      <c r="A90" s="321" t="s">
        <v>773</v>
      </c>
      <c r="B90" s="88">
        <v>65.099999999999994</v>
      </c>
      <c r="C90" s="88">
        <v>64.2</v>
      </c>
      <c r="D90" s="88">
        <v>65.900000000000006</v>
      </c>
      <c r="E90" s="88">
        <v>64.5</v>
      </c>
    </row>
    <row r="91" spans="1:5" x14ac:dyDescent="0.25">
      <c r="A91" s="321" t="s">
        <v>774</v>
      </c>
      <c r="B91" s="88">
        <v>65.400000000000006</v>
      </c>
      <c r="C91" s="88">
        <v>64.5</v>
      </c>
      <c r="D91" s="88">
        <v>66.2</v>
      </c>
      <c r="E91" s="88">
        <v>64.8</v>
      </c>
    </row>
    <row r="92" spans="1:5" x14ac:dyDescent="0.25">
      <c r="A92" s="321" t="s">
        <v>775</v>
      </c>
      <c r="B92" s="88">
        <v>65.8</v>
      </c>
      <c r="C92" s="88">
        <v>64.8</v>
      </c>
      <c r="D92" s="88">
        <v>66.5</v>
      </c>
      <c r="E92" s="88">
        <v>65.2</v>
      </c>
    </row>
    <row r="93" spans="1:5" x14ac:dyDescent="0.25">
      <c r="A93" s="321" t="s">
        <v>776</v>
      </c>
      <c r="B93" s="88">
        <v>66.099999999999994</v>
      </c>
      <c r="C93" s="88">
        <v>65.099999999999994</v>
      </c>
      <c r="D93" s="88">
        <v>66.900000000000006</v>
      </c>
      <c r="E93" s="88">
        <v>65.5</v>
      </c>
    </row>
    <row r="94" spans="1:5" x14ac:dyDescent="0.25">
      <c r="A94" s="321" t="s">
        <v>777</v>
      </c>
      <c r="B94" s="88">
        <v>66.400000000000006</v>
      </c>
      <c r="C94" s="88">
        <v>65.5</v>
      </c>
      <c r="D94" s="88">
        <v>67.2</v>
      </c>
      <c r="E94" s="88">
        <v>65.8</v>
      </c>
    </row>
    <row r="95" spans="1:5" x14ac:dyDescent="0.25">
      <c r="A95" s="321" t="s">
        <v>778</v>
      </c>
      <c r="B95" s="88">
        <v>66.7</v>
      </c>
      <c r="C95" s="88">
        <v>65.8</v>
      </c>
      <c r="D95" s="88">
        <v>67.599999999999994</v>
      </c>
      <c r="E95" s="88">
        <v>66.2</v>
      </c>
    </row>
    <row r="96" spans="1:5" x14ac:dyDescent="0.25">
      <c r="A96" s="321" t="s">
        <v>779</v>
      </c>
      <c r="B96" s="88">
        <v>67.099999999999994</v>
      </c>
      <c r="C96" s="88">
        <v>66.099999999999994</v>
      </c>
      <c r="D96" s="88">
        <v>67.900000000000006</v>
      </c>
      <c r="E96" s="88">
        <v>66.5</v>
      </c>
    </row>
    <row r="97" spans="1:5" x14ac:dyDescent="0.25">
      <c r="A97" s="321" t="s">
        <v>780</v>
      </c>
      <c r="B97" s="88">
        <v>67.400000000000006</v>
      </c>
      <c r="C97" s="88">
        <v>66.5</v>
      </c>
      <c r="D97" s="88">
        <v>68.3</v>
      </c>
      <c r="E97" s="88">
        <v>66.8</v>
      </c>
    </row>
    <row r="98" spans="1:5" x14ac:dyDescent="0.25">
      <c r="A98" s="321" t="s">
        <v>781</v>
      </c>
      <c r="B98" s="88">
        <v>67.8</v>
      </c>
      <c r="C98" s="88">
        <v>66.8</v>
      </c>
      <c r="D98" s="88">
        <v>68.599999999999994</v>
      </c>
      <c r="E98" s="88">
        <v>67.2</v>
      </c>
    </row>
    <row r="99" spans="1:5" x14ac:dyDescent="0.25">
      <c r="A99" s="321" t="s">
        <v>782</v>
      </c>
      <c r="B99" s="88">
        <v>68</v>
      </c>
      <c r="C99" s="88">
        <v>67.099999999999994</v>
      </c>
      <c r="D99" s="88">
        <v>69</v>
      </c>
      <c r="E99" s="88">
        <v>67.5</v>
      </c>
    </row>
    <row r="100" spans="1:5" x14ac:dyDescent="0.25">
      <c r="A100" s="321" t="s">
        <v>783</v>
      </c>
      <c r="B100" s="88">
        <v>68.400000000000006</v>
      </c>
      <c r="C100" s="88">
        <v>67.400000000000006</v>
      </c>
      <c r="D100" s="88">
        <v>69.3</v>
      </c>
      <c r="E100" s="88">
        <v>67.8</v>
      </c>
    </row>
    <row r="101" spans="1:5" x14ac:dyDescent="0.25">
      <c r="A101" s="321" t="s">
        <v>784</v>
      </c>
      <c r="B101" s="88">
        <v>68.7</v>
      </c>
      <c r="C101" s="88">
        <v>67.8</v>
      </c>
      <c r="D101" s="88">
        <v>69.599999999999994</v>
      </c>
      <c r="E101" s="88">
        <v>68.2</v>
      </c>
    </row>
    <row r="102" spans="1:5" x14ac:dyDescent="0.25">
      <c r="A102" s="321" t="s">
        <v>785</v>
      </c>
      <c r="B102" s="88">
        <v>69.099999999999994</v>
      </c>
      <c r="C102" s="88">
        <v>68.099999999999994</v>
      </c>
      <c r="D102" s="88">
        <v>70</v>
      </c>
      <c r="E102" s="88">
        <v>68.5</v>
      </c>
    </row>
    <row r="103" spans="1:5" x14ac:dyDescent="0.25">
      <c r="A103" s="321" t="s">
        <v>786</v>
      </c>
      <c r="B103" s="88">
        <v>69.400000000000006</v>
      </c>
      <c r="C103" s="88">
        <v>68.400000000000006</v>
      </c>
      <c r="D103" s="88">
        <v>70.3</v>
      </c>
      <c r="E103" s="88">
        <v>68.8</v>
      </c>
    </row>
    <row r="104" spans="1:5" x14ac:dyDescent="0.25">
      <c r="A104" s="321" t="s">
        <v>787</v>
      </c>
      <c r="B104" s="88">
        <v>69.7</v>
      </c>
      <c r="C104" s="88">
        <v>68.8</v>
      </c>
      <c r="D104" s="88">
        <v>70.599999999999994</v>
      </c>
      <c r="E104" s="88">
        <v>69.2</v>
      </c>
    </row>
    <row r="105" spans="1:5" x14ac:dyDescent="0.25">
      <c r="A105" s="321" t="s">
        <v>788</v>
      </c>
      <c r="B105" s="88">
        <v>70</v>
      </c>
      <c r="C105" s="88">
        <v>69.099999999999994</v>
      </c>
      <c r="D105" s="88">
        <v>70.900000000000006</v>
      </c>
      <c r="E105" s="88">
        <v>69.5</v>
      </c>
    </row>
    <row r="106" spans="1:5" x14ac:dyDescent="0.25">
      <c r="A106" s="321" t="s">
        <v>789</v>
      </c>
      <c r="B106" s="88">
        <v>70.400000000000006</v>
      </c>
      <c r="C106" s="88">
        <v>69.5</v>
      </c>
      <c r="D106" s="88">
        <v>71.3</v>
      </c>
      <c r="E106" s="88">
        <v>69.8</v>
      </c>
    </row>
    <row r="107" spans="1:5" x14ac:dyDescent="0.25">
      <c r="A107" s="321" t="s">
        <v>790</v>
      </c>
      <c r="B107" s="88">
        <v>70.7</v>
      </c>
      <c r="C107" s="88">
        <v>69.8</v>
      </c>
      <c r="D107" s="88">
        <v>71.599999999999994</v>
      </c>
      <c r="E107" s="88">
        <v>70.2</v>
      </c>
    </row>
    <row r="108" spans="1:5" x14ac:dyDescent="0.25">
      <c r="A108" s="321" t="s">
        <v>791</v>
      </c>
      <c r="B108" s="88">
        <v>71.099999999999994</v>
      </c>
      <c r="C108" s="88">
        <v>70.099999999999994</v>
      </c>
      <c r="D108" s="88">
        <v>72</v>
      </c>
      <c r="E108" s="88">
        <v>70.5</v>
      </c>
    </row>
    <row r="109" spans="1:5" x14ac:dyDescent="0.25">
      <c r="A109" s="321" t="s">
        <v>792</v>
      </c>
      <c r="B109" s="88">
        <v>71.5</v>
      </c>
      <c r="C109" s="88">
        <v>70.5</v>
      </c>
      <c r="D109" s="88">
        <v>72.3</v>
      </c>
      <c r="E109" s="88">
        <v>70.8</v>
      </c>
    </row>
    <row r="110" spans="1:5" x14ac:dyDescent="0.25">
      <c r="A110" s="321" t="s">
        <v>793</v>
      </c>
      <c r="B110" s="88">
        <v>71.8</v>
      </c>
      <c r="C110" s="88">
        <v>70.8</v>
      </c>
      <c r="D110" s="88">
        <v>72.599999999999994</v>
      </c>
      <c r="E110" s="88">
        <v>71.2</v>
      </c>
    </row>
    <row r="111" spans="1:5" x14ac:dyDescent="0.25">
      <c r="A111" s="321" t="s">
        <v>794</v>
      </c>
      <c r="B111" s="88">
        <v>72.099999999999994</v>
      </c>
      <c r="C111" s="88">
        <v>71.099999999999994</v>
      </c>
      <c r="D111" s="88">
        <v>73</v>
      </c>
      <c r="E111" s="88">
        <v>71.5</v>
      </c>
    </row>
    <row r="112" spans="1:5" x14ac:dyDescent="0.25">
      <c r="A112" s="321" t="s">
        <v>795</v>
      </c>
      <c r="B112" s="88">
        <v>72.5</v>
      </c>
      <c r="C112" s="88">
        <v>71.5</v>
      </c>
      <c r="D112" s="88">
        <v>73.3</v>
      </c>
      <c r="E112" s="88">
        <v>71.8</v>
      </c>
    </row>
    <row r="113" spans="1:5" x14ac:dyDescent="0.25">
      <c r="A113" s="321" t="s">
        <v>796</v>
      </c>
      <c r="B113" s="88">
        <v>72.900000000000006</v>
      </c>
      <c r="C113" s="88">
        <v>71.8</v>
      </c>
      <c r="D113" s="88">
        <v>73.7</v>
      </c>
      <c r="E113" s="88">
        <v>72.2</v>
      </c>
    </row>
    <row r="114" spans="1:5" x14ac:dyDescent="0.25">
      <c r="A114" s="321" t="s">
        <v>797</v>
      </c>
      <c r="B114" s="88">
        <v>73.2</v>
      </c>
      <c r="C114" s="88">
        <v>72.2</v>
      </c>
      <c r="D114" s="88">
        <v>74</v>
      </c>
      <c r="E114" s="88">
        <v>72.5</v>
      </c>
    </row>
    <row r="115" spans="1:5" x14ac:dyDescent="0.25">
      <c r="A115" s="321" t="s">
        <v>798</v>
      </c>
      <c r="B115" s="88">
        <v>73.5</v>
      </c>
      <c r="C115" s="88">
        <v>72.5</v>
      </c>
      <c r="D115" s="88">
        <v>74.400000000000006</v>
      </c>
      <c r="E115" s="88">
        <v>72.8</v>
      </c>
    </row>
    <row r="116" spans="1:5" x14ac:dyDescent="0.25">
      <c r="A116" s="321" t="s">
        <v>799</v>
      </c>
      <c r="B116" s="88">
        <v>73.8</v>
      </c>
      <c r="C116" s="88">
        <v>72.8</v>
      </c>
      <c r="D116" s="88">
        <v>74.7</v>
      </c>
      <c r="E116" s="88">
        <v>73.2</v>
      </c>
    </row>
    <row r="117" spans="1:5" x14ac:dyDescent="0.25">
      <c r="A117" s="321" t="s">
        <v>800</v>
      </c>
      <c r="B117" s="88">
        <v>74.099999999999994</v>
      </c>
      <c r="C117" s="88">
        <v>73.2</v>
      </c>
      <c r="D117" s="88">
        <v>75.099999999999994</v>
      </c>
      <c r="E117" s="88">
        <v>73.5</v>
      </c>
    </row>
    <row r="118" spans="1:5" x14ac:dyDescent="0.25">
      <c r="A118" s="321" t="s">
        <v>801</v>
      </c>
      <c r="B118" s="88">
        <v>74.5</v>
      </c>
      <c r="C118" s="88">
        <v>73.5</v>
      </c>
      <c r="D118" s="88">
        <v>75.400000000000006</v>
      </c>
      <c r="E118" s="88">
        <v>73.8</v>
      </c>
    </row>
    <row r="119" spans="1:5" x14ac:dyDescent="0.25">
      <c r="A119" s="321" t="s">
        <v>802</v>
      </c>
      <c r="B119" s="88">
        <v>74.8</v>
      </c>
      <c r="C119" s="88">
        <v>73.8</v>
      </c>
      <c r="D119" s="88">
        <v>75.7</v>
      </c>
      <c r="E119" s="88">
        <v>74.2</v>
      </c>
    </row>
    <row r="120" spans="1:5" x14ac:dyDescent="0.25">
      <c r="A120" s="321" t="s">
        <v>803</v>
      </c>
      <c r="B120" s="88">
        <v>75.099999999999994</v>
      </c>
      <c r="C120" s="88">
        <v>74.099999999999994</v>
      </c>
      <c r="D120" s="88">
        <v>76.099999999999994</v>
      </c>
      <c r="E120" s="88">
        <v>74.5</v>
      </c>
    </row>
    <row r="121" spans="1:5" x14ac:dyDescent="0.25">
      <c r="A121" s="321" t="s">
        <v>804</v>
      </c>
      <c r="B121" s="88">
        <v>75.5</v>
      </c>
      <c r="C121" s="88">
        <v>74.400000000000006</v>
      </c>
      <c r="D121" s="88">
        <v>76.400000000000006</v>
      </c>
      <c r="E121" s="88">
        <v>74.8</v>
      </c>
    </row>
    <row r="122" spans="1:5" x14ac:dyDescent="0.25">
      <c r="A122" s="321" t="s">
        <v>805</v>
      </c>
      <c r="B122" s="88">
        <v>75.900000000000006</v>
      </c>
      <c r="C122" s="88">
        <v>74.8</v>
      </c>
      <c r="D122" s="88">
        <v>76.7</v>
      </c>
      <c r="E122" s="88">
        <v>75.2</v>
      </c>
    </row>
    <row r="123" spans="1:5" x14ac:dyDescent="0.25">
      <c r="A123" s="321" t="s">
        <v>806</v>
      </c>
      <c r="B123" s="88">
        <v>76.2</v>
      </c>
      <c r="C123" s="88">
        <v>75.099999999999994</v>
      </c>
      <c r="D123" s="88">
        <v>77</v>
      </c>
      <c r="E123" s="88">
        <v>75.5</v>
      </c>
    </row>
    <row r="124" spans="1:5" x14ac:dyDescent="0.25">
      <c r="A124" s="321" t="s">
        <v>807</v>
      </c>
      <c r="B124" s="88">
        <v>76.5</v>
      </c>
      <c r="C124" s="88">
        <v>75.5</v>
      </c>
      <c r="D124" s="88">
        <v>77.400000000000006</v>
      </c>
      <c r="E124" s="88">
        <v>75.8</v>
      </c>
    </row>
    <row r="125" spans="1:5" x14ac:dyDescent="0.25">
      <c r="A125" s="321" t="s">
        <v>808</v>
      </c>
      <c r="B125" s="88">
        <v>76.8</v>
      </c>
      <c r="C125" s="88">
        <v>75.8</v>
      </c>
      <c r="D125" s="88">
        <v>77.7</v>
      </c>
      <c r="E125" s="88">
        <v>76.2</v>
      </c>
    </row>
    <row r="126" spans="1:5" x14ac:dyDescent="0.25">
      <c r="A126" s="321" t="s">
        <v>809</v>
      </c>
      <c r="B126" s="88">
        <v>77.2</v>
      </c>
      <c r="C126" s="88">
        <v>76.099999999999994</v>
      </c>
      <c r="D126" s="88">
        <v>78.099999999999994</v>
      </c>
      <c r="E126" s="88">
        <v>76.5</v>
      </c>
    </row>
    <row r="127" spans="1:5" x14ac:dyDescent="0.25">
      <c r="A127" s="321" t="s">
        <v>810</v>
      </c>
      <c r="B127" s="88">
        <v>77.5</v>
      </c>
      <c r="C127" s="88">
        <v>76.5</v>
      </c>
      <c r="D127" s="88">
        <v>78.400000000000006</v>
      </c>
      <c r="E127" s="88">
        <v>76.8</v>
      </c>
    </row>
    <row r="128" spans="1:5" x14ac:dyDescent="0.25">
      <c r="A128" s="321" t="s">
        <v>811</v>
      </c>
      <c r="B128" s="88">
        <v>77.900000000000006</v>
      </c>
      <c r="C128" s="88">
        <v>76.8</v>
      </c>
      <c r="D128" s="88">
        <v>78.7</v>
      </c>
      <c r="E128" s="88">
        <v>77.2</v>
      </c>
    </row>
    <row r="129" spans="1:5" x14ac:dyDescent="0.25">
      <c r="A129" s="321" t="s">
        <v>812</v>
      </c>
      <c r="B129" s="88">
        <v>78.2</v>
      </c>
      <c r="C129" s="88">
        <v>77.099999999999994</v>
      </c>
      <c r="D129" s="88">
        <v>79</v>
      </c>
      <c r="E129" s="88">
        <v>77.5</v>
      </c>
    </row>
    <row r="130" spans="1:5" x14ac:dyDescent="0.25">
      <c r="A130" s="321" t="s">
        <v>813</v>
      </c>
      <c r="B130" s="88">
        <v>78.5</v>
      </c>
      <c r="C130" s="88">
        <v>77.5</v>
      </c>
      <c r="D130" s="88">
        <v>79.400000000000006</v>
      </c>
      <c r="E130" s="88">
        <v>77.8</v>
      </c>
    </row>
    <row r="131" spans="1:5" x14ac:dyDescent="0.25">
      <c r="A131" s="321" t="s">
        <v>814</v>
      </c>
      <c r="B131" s="88">
        <v>78.900000000000006</v>
      </c>
      <c r="C131" s="88">
        <v>77.8</v>
      </c>
      <c r="D131" s="88">
        <v>79.7</v>
      </c>
      <c r="E131" s="88">
        <v>78.2</v>
      </c>
    </row>
    <row r="132" spans="1:5" x14ac:dyDescent="0.25">
      <c r="A132" s="321" t="s">
        <v>815</v>
      </c>
      <c r="B132" s="88">
        <v>79.2</v>
      </c>
      <c r="C132" s="88">
        <v>78.099999999999994</v>
      </c>
      <c r="D132" s="88">
        <v>80</v>
      </c>
      <c r="E132" s="88">
        <v>78.5</v>
      </c>
    </row>
    <row r="133" spans="1:5" x14ac:dyDescent="0.25">
      <c r="A133" s="321" t="s">
        <v>816</v>
      </c>
      <c r="B133" s="88">
        <v>79.599999999999994</v>
      </c>
      <c r="C133" s="88">
        <v>78.400000000000006</v>
      </c>
      <c r="D133" s="88">
        <v>80.400000000000006</v>
      </c>
      <c r="E133" s="88">
        <v>78.8</v>
      </c>
    </row>
    <row r="134" spans="1:5" x14ac:dyDescent="0.25">
      <c r="A134" s="321" t="s">
        <v>817</v>
      </c>
      <c r="B134" s="88">
        <v>79.900000000000006</v>
      </c>
      <c r="C134" s="88">
        <v>78.8</v>
      </c>
      <c r="D134" s="88">
        <v>80.8</v>
      </c>
      <c r="E134" s="88">
        <v>79.2</v>
      </c>
    </row>
    <row r="135" spans="1:5" x14ac:dyDescent="0.25">
      <c r="A135" s="321" t="s">
        <v>818</v>
      </c>
      <c r="B135" s="88">
        <v>80.2</v>
      </c>
      <c r="C135" s="88">
        <v>79.099999999999994</v>
      </c>
      <c r="D135" s="88">
        <v>81.099999999999994</v>
      </c>
      <c r="E135" s="88">
        <v>79.5</v>
      </c>
    </row>
    <row r="136" spans="1:5" x14ac:dyDescent="0.25">
      <c r="A136" s="321" t="s">
        <v>819</v>
      </c>
      <c r="B136" s="88">
        <v>80.599999999999994</v>
      </c>
      <c r="C136" s="88">
        <v>79.5</v>
      </c>
      <c r="D136" s="88">
        <v>81.400000000000006</v>
      </c>
      <c r="E136" s="88">
        <v>79.8</v>
      </c>
    </row>
    <row r="137" spans="1:5" x14ac:dyDescent="0.25">
      <c r="A137" s="321" t="s">
        <v>820</v>
      </c>
      <c r="B137" s="88">
        <v>80.900000000000006</v>
      </c>
      <c r="C137" s="88">
        <v>79.8</v>
      </c>
      <c r="D137" s="88">
        <v>81.8</v>
      </c>
      <c r="E137" s="88">
        <v>80</v>
      </c>
    </row>
    <row r="138" spans="1:5" x14ac:dyDescent="0.25">
      <c r="A138" s="321" t="s">
        <v>821</v>
      </c>
      <c r="B138" s="88">
        <v>81.2</v>
      </c>
      <c r="C138" s="88">
        <v>80.099999999999994</v>
      </c>
      <c r="D138" s="88">
        <v>82</v>
      </c>
      <c r="E138" s="88">
        <v>80</v>
      </c>
    </row>
    <row r="139" spans="1:5" x14ac:dyDescent="0.25">
      <c r="A139" s="321" t="s">
        <v>822</v>
      </c>
      <c r="B139" s="88">
        <v>81.400000000000006</v>
      </c>
      <c r="C139" s="88">
        <v>80.3</v>
      </c>
      <c r="D139" s="88">
        <v>82.2</v>
      </c>
      <c r="E139" s="88">
        <v>80</v>
      </c>
    </row>
    <row r="140" spans="1:5" x14ac:dyDescent="0.25">
      <c r="A140" s="321" t="s">
        <v>823</v>
      </c>
      <c r="B140" s="88">
        <v>81.400000000000006</v>
      </c>
      <c r="C140" s="88">
        <v>80.5</v>
      </c>
      <c r="D140" s="88">
        <v>82.3</v>
      </c>
      <c r="E140" s="88">
        <v>80</v>
      </c>
    </row>
    <row r="141" spans="1:5" x14ac:dyDescent="0.25">
      <c r="A141" s="321" t="s">
        <v>824</v>
      </c>
      <c r="B141" s="88">
        <v>81.400000000000006</v>
      </c>
      <c r="C141" s="88">
        <v>80.5</v>
      </c>
      <c r="D141" s="88">
        <v>82.3</v>
      </c>
      <c r="E141" s="88">
        <v>80</v>
      </c>
    </row>
    <row r="142" spans="1:5" x14ac:dyDescent="0.25">
      <c r="A142" s="321" t="s">
        <v>825</v>
      </c>
      <c r="B142" s="88">
        <v>81.3</v>
      </c>
      <c r="C142" s="88">
        <v>80.599999999999994</v>
      </c>
      <c r="D142" s="88">
        <v>82.2</v>
      </c>
      <c r="E142" s="88">
        <v>80</v>
      </c>
    </row>
    <row r="143" spans="1:5" x14ac:dyDescent="0.25">
      <c r="A143" s="321" t="s">
        <v>826</v>
      </c>
      <c r="B143" s="88">
        <v>81.2</v>
      </c>
      <c r="C143" s="88">
        <v>80.599999999999994</v>
      </c>
      <c r="D143" s="88">
        <v>82.1</v>
      </c>
      <c r="E143" s="88">
        <v>80</v>
      </c>
    </row>
    <row r="144" spans="1:5" x14ac:dyDescent="0.25">
      <c r="A144" s="321" t="s">
        <v>827</v>
      </c>
      <c r="B144" s="88">
        <v>81.099999999999994</v>
      </c>
      <c r="C144" s="88">
        <v>80.5</v>
      </c>
      <c r="D144" s="88">
        <v>82</v>
      </c>
      <c r="E144" s="88">
        <v>80</v>
      </c>
    </row>
    <row r="145" spans="1:5" x14ac:dyDescent="0.25">
      <c r="A145" s="321" t="s">
        <v>828</v>
      </c>
      <c r="B145" s="88">
        <v>80.900000000000006</v>
      </c>
      <c r="C145" s="88">
        <v>80.5</v>
      </c>
      <c r="D145" s="88">
        <v>81.900000000000006</v>
      </c>
      <c r="E145" s="88">
        <v>80</v>
      </c>
    </row>
    <row r="146" spans="1:5" x14ac:dyDescent="0.25">
      <c r="A146" s="321" t="s">
        <v>829</v>
      </c>
      <c r="B146" s="88">
        <v>80.7</v>
      </c>
      <c r="C146" s="88">
        <v>80.5</v>
      </c>
      <c r="D146" s="88">
        <v>81.8</v>
      </c>
      <c r="E146" s="88">
        <v>80</v>
      </c>
    </row>
    <row r="147" spans="1:5" x14ac:dyDescent="0.25">
      <c r="A147" s="321" t="s">
        <v>830</v>
      </c>
      <c r="B147" s="88">
        <v>80.599999999999994</v>
      </c>
      <c r="C147" s="88">
        <v>80.400000000000006</v>
      </c>
      <c r="D147" s="88">
        <v>81.7</v>
      </c>
      <c r="E147" s="88">
        <v>80</v>
      </c>
    </row>
    <row r="148" spans="1:5" x14ac:dyDescent="0.25">
      <c r="A148" s="321" t="s">
        <v>831</v>
      </c>
      <c r="B148" s="88">
        <v>80.5</v>
      </c>
      <c r="C148" s="88">
        <v>80.400000000000006</v>
      </c>
      <c r="D148" s="88">
        <v>81.7</v>
      </c>
      <c r="E148" s="88">
        <v>80</v>
      </c>
    </row>
    <row r="149" spans="1:5" x14ac:dyDescent="0.25">
      <c r="A149" s="321" t="s">
        <v>832</v>
      </c>
      <c r="B149" s="88">
        <v>80.400000000000006</v>
      </c>
      <c r="C149" s="88">
        <v>80.3</v>
      </c>
      <c r="D149" s="88">
        <v>81.599999999999994</v>
      </c>
      <c r="E149" s="88">
        <v>80</v>
      </c>
    </row>
    <row r="150" spans="1:5" x14ac:dyDescent="0.25">
      <c r="A150" s="321" t="s">
        <v>833</v>
      </c>
      <c r="B150" s="88">
        <v>80.3</v>
      </c>
      <c r="C150" s="88">
        <v>80.2</v>
      </c>
      <c r="D150" s="88">
        <v>81.5</v>
      </c>
      <c r="E150" s="88">
        <v>80</v>
      </c>
    </row>
    <row r="151" spans="1:5" x14ac:dyDescent="0.25">
      <c r="A151" s="321" t="s">
        <v>834</v>
      </c>
      <c r="B151" s="88">
        <v>80.2</v>
      </c>
      <c r="C151" s="88">
        <v>80.2</v>
      </c>
      <c r="D151" s="88">
        <v>81.5</v>
      </c>
      <c r="E151" s="88">
        <v>80</v>
      </c>
    </row>
    <row r="152" spans="1:5" x14ac:dyDescent="0.25">
      <c r="A152" s="321" t="s">
        <v>835</v>
      </c>
      <c r="B152" s="88">
        <v>80.2</v>
      </c>
      <c r="C152" s="88">
        <v>80.2</v>
      </c>
      <c r="D152" s="88">
        <v>81.400000000000006</v>
      </c>
      <c r="E152" s="88">
        <v>80</v>
      </c>
    </row>
    <row r="153" spans="1:5" x14ac:dyDescent="0.25">
      <c r="A153" s="321" t="s">
        <v>836</v>
      </c>
      <c r="B153" s="88">
        <v>80.099999999999994</v>
      </c>
      <c r="C153" s="88">
        <v>80.2</v>
      </c>
      <c r="D153" s="88">
        <v>81.400000000000006</v>
      </c>
      <c r="E153" s="88">
        <v>80</v>
      </c>
    </row>
    <row r="154" spans="1:5" x14ac:dyDescent="0.25">
      <c r="A154" s="321" t="s">
        <v>837</v>
      </c>
      <c r="B154" s="88">
        <v>80</v>
      </c>
      <c r="C154" s="88">
        <v>80.099999999999994</v>
      </c>
      <c r="D154" s="88">
        <v>81.3</v>
      </c>
      <c r="E154" s="88">
        <v>80</v>
      </c>
    </row>
    <row r="155" spans="1:5" x14ac:dyDescent="0.25">
      <c r="A155" s="321" t="s">
        <v>838</v>
      </c>
      <c r="B155" s="88">
        <v>80</v>
      </c>
      <c r="C155" s="88">
        <v>80.099999999999994</v>
      </c>
      <c r="D155" s="88">
        <v>81.400000000000006</v>
      </c>
      <c r="E155" s="88">
        <v>80</v>
      </c>
    </row>
    <row r="156" spans="1:5" x14ac:dyDescent="0.25">
      <c r="A156" s="321" t="s">
        <v>839</v>
      </c>
      <c r="B156" s="88">
        <v>80</v>
      </c>
      <c r="C156" s="88">
        <v>80.099999999999994</v>
      </c>
      <c r="D156" s="88">
        <v>81.3</v>
      </c>
      <c r="E156" s="88">
        <v>80</v>
      </c>
    </row>
    <row r="157" spans="1:5" x14ac:dyDescent="0.25">
      <c r="A157" s="321" t="s">
        <v>840</v>
      </c>
      <c r="B157" s="88">
        <v>80</v>
      </c>
      <c r="C157" s="88">
        <v>80.099999999999994</v>
      </c>
      <c r="D157" s="88">
        <v>81.400000000000006</v>
      </c>
      <c r="E157" s="88">
        <v>80</v>
      </c>
    </row>
    <row r="158" spans="1:5" x14ac:dyDescent="0.25">
      <c r="A158" s="321" t="s">
        <v>841</v>
      </c>
      <c r="B158" s="88">
        <v>80</v>
      </c>
      <c r="C158" s="88">
        <v>80.099999999999994</v>
      </c>
      <c r="D158" s="88">
        <v>81.400000000000006</v>
      </c>
      <c r="E158" s="88">
        <v>80</v>
      </c>
    </row>
    <row r="159" spans="1:5" x14ac:dyDescent="0.25">
      <c r="A159" s="321" t="s">
        <v>842</v>
      </c>
      <c r="B159" s="88">
        <v>79.900000000000006</v>
      </c>
      <c r="C159" s="88">
        <v>80.099999999999994</v>
      </c>
      <c r="D159" s="88">
        <v>81.3</v>
      </c>
      <c r="E159" s="88">
        <v>80</v>
      </c>
    </row>
    <row r="160" spans="1:5" x14ac:dyDescent="0.25">
      <c r="A160" s="321" t="s">
        <v>843</v>
      </c>
      <c r="B160" s="88">
        <v>79.900000000000006</v>
      </c>
      <c r="C160" s="88">
        <v>80</v>
      </c>
      <c r="D160" s="88">
        <v>81.3</v>
      </c>
      <c r="E160" s="88">
        <v>80</v>
      </c>
    </row>
    <row r="161" spans="1:5" x14ac:dyDescent="0.25">
      <c r="A161" s="321" t="s">
        <v>844</v>
      </c>
      <c r="B161" s="88">
        <v>79.900000000000006</v>
      </c>
      <c r="C161" s="88">
        <v>80.099999999999994</v>
      </c>
      <c r="D161" s="88">
        <v>81.3</v>
      </c>
      <c r="E161" s="88">
        <v>80</v>
      </c>
    </row>
    <row r="162" spans="1:5" x14ac:dyDescent="0.25">
      <c r="A162" s="321" t="s">
        <v>845</v>
      </c>
      <c r="B162" s="88">
        <v>79.900000000000006</v>
      </c>
      <c r="C162" s="88">
        <v>80</v>
      </c>
      <c r="D162" s="88">
        <v>81.3</v>
      </c>
      <c r="E162" s="88">
        <v>80</v>
      </c>
    </row>
    <row r="163" spans="1:5" x14ac:dyDescent="0.25">
      <c r="A163" s="321" t="s">
        <v>846</v>
      </c>
      <c r="B163" s="88">
        <v>79.900000000000006</v>
      </c>
      <c r="C163" s="88">
        <v>80</v>
      </c>
      <c r="D163" s="88">
        <v>81.3</v>
      </c>
      <c r="E163" s="88">
        <v>80</v>
      </c>
    </row>
    <row r="164" spans="1:5" x14ac:dyDescent="0.25">
      <c r="A164" s="321" t="s">
        <v>847</v>
      </c>
      <c r="B164" s="88">
        <v>79.900000000000006</v>
      </c>
      <c r="C164" s="88">
        <v>80</v>
      </c>
      <c r="D164" s="88">
        <v>81.3</v>
      </c>
      <c r="E164" s="88">
        <v>80</v>
      </c>
    </row>
    <row r="165" spans="1:5" x14ac:dyDescent="0.25">
      <c r="A165" s="321" t="s">
        <v>848</v>
      </c>
      <c r="B165" s="88">
        <v>80</v>
      </c>
      <c r="C165" s="88">
        <v>80</v>
      </c>
      <c r="D165" s="88">
        <v>81.3</v>
      </c>
      <c r="E165" s="88">
        <v>80</v>
      </c>
    </row>
    <row r="166" spans="1:5" x14ac:dyDescent="0.25">
      <c r="A166" s="321" t="s">
        <v>849</v>
      </c>
      <c r="B166" s="88">
        <v>79.900000000000006</v>
      </c>
      <c r="C166" s="88">
        <v>80.099999999999994</v>
      </c>
      <c r="D166" s="88">
        <v>81.3</v>
      </c>
      <c r="E166" s="88">
        <v>80</v>
      </c>
    </row>
    <row r="167" spans="1:5" x14ac:dyDescent="0.25">
      <c r="A167" s="321" t="s">
        <v>850</v>
      </c>
      <c r="B167" s="88">
        <v>79.900000000000006</v>
      </c>
      <c r="C167" s="88">
        <v>80.099999999999994</v>
      </c>
      <c r="D167" s="88">
        <v>81.3</v>
      </c>
      <c r="E167" s="88">
        <v>80</v>
      </c>
    </row>
    <row r="168" spans="1:5" x14ac:dyDescent="0.25">
      <c r="A168" s="321" t="s">
        <v>851</v>
      </c>
      <c r="B168" s="88">
        <v>79.8</v>
      </c>
      <c r="C168" s="88">
        <v>80</v>
      </c>
      <c r="D168" s="88">
        <v>81.3</v>
      </c>
      <c r="E168" s="88">
        <v>80</v>
      </c>
    </row>
    <row r="169" spans="1:5" x14ac:dyDescent="0.25">
      <c r="A169" s="321" t="s">
        <v>852</v>
      </c>
      <c r="B169" s="88">
        <v>79.8</v>
      </c>
      <c r="C169" s="88">
        <v>80</v>
      </c>
      <c r="D169" s="88">
        <v>81.3</v>
      </c>
      <c r="E169" s="88">
        <v>80</v>
      </c>
    </row>
    <row r="170" spans="1:5" x14ac:dyDescent="0.25">
      <c r="A170" s="321" t="s">
        <v>853</v>
      </c>
      <c r="B170" s="88">
        <v>79.900000000000006</v>
      </c>
      <c r="C170" s="88">
        <v>80</v>
      </c>
      <c r="D170" s="88">
        <v>81.3</v>
      </c>
      <c r="E170" s="88">
        <v>80</v>
      </c>
    </row>
    <row r="171" spans="1:5" x14ac:dyDescent="0.25">
      <c r="A171" s="321" t="s">
        <v>854</v>
      </c>
      <c r="B171" s="88">
        <v>79.900000000000006</v>
      </c>
      <c r="C171" s="88">
        <v>80</v>
      </c>
      <c r="D171" s="88">
        <v>81.3</v>
      </c>
      <c r="E171" s="88">
        <v>80</v>
      </c>
    </row>
    <row r="172" spans="1:5" x14ac:dyDescent="0.25">
      <c r="A172" s="321" t="s">
        <v>855</v>
      </c>
      <c r="B172" s="88">
        <v>79.8</v>
      </c>
      <c r="C172" s="88">
        <v>80</v>
      </c>
      <c r="D172" s="88">
        <v>81.3</v>
      </c>
      <c r="E172" s="88">
        <v>80</v>
      </c>
    </row>
    <row r="173" spans="1:5" x14ac:dyDescent="0.25">
      <c r="A173" s="321" t="s">
        <v>856</v>
      </c>
      <c r="B173" s="88">
        <v>79.900000000000006</v>
      </c>
      <c r="C173" s="88">
        <v>80</v>
      </c>
      <c r="D173" s="88">
        <v>81.3</v>
      </c>
      <c r="E173" s="88">
        <v>80</v>
      </c>
    </row>
    <row r="174" spans="1:5" x14ac:dyDescent="0.25">
      <c r="A174" s="321" t="s">
        <v>857</v>
      </c>
      <c r="B174" s="88">
        <v>79.900000000000006</v>
      </c>
      <c r="C174" s="88">
        <v>80</v>
      </c>
      <c r="D174" s="88">
        <v>81.3</v>
      </c>
      <c r="E174" s="88">
        <v>80</v>
      </c>
    </row>
    <row r="175" spans="1:5" x14ac:dyDescent="0.25">
      <c r="A175" s="321" t="s">
        <v>858</v>
      </c>
      <c r="B175" s="88">
        <v>79.900000000000006</v>
      </c>
      <c r="C175" s="88">
        <v>80</v>
      </c>
      <c r="D175" s="88">
        <v>81.3</v>
      </c>
      <c r="E175" s="88">
        <v>80</v>
      </c>
    </row>
    <row r="176" spans="1:5" x14ac:dyDescent="0.25">
      <c r="A176" s="321" t="s">
        <v>859</v>
      </c>
      <c r="B176" s="88">
        <v>79.900000000000006</v>
      </c>
      <c r="C176" s="88">
        <v>80</v>
      </c>
      <c r="D176" s="88">
        <v>81.3</v>
      </c>
      <c r="E176" s="88">
        <v>80</v>
      </c>
    </row>
  </sheetData>
  <sheetProtection algorithmName="SHA-512" hashValue="PWSYQfMz6mRDVl1qxUt1T4dOoLI05wLSN374iYs7AthWE36iMxmYD7LUn1xJgyp07PhU20oDOi8lgMW5yhmwpA==" saltValue="63MT7TBCFB62NgPc/J9/V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93"/>
  <sheetViews>
    <sheetView workbookViewId="0">
      <selection activeCell="E20" sqref="E20"/>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8" t="s">
        <v>860</v>
      </c>
      <c r="B2">
        <v>163.19999999999999</v>
      </c>
      <c r="C2">
        <v>153.1</v>
      </c>
      <c r="D2">
        <v>160.6</v>
      </c>
      <c r="E2">
        <v>190</v>
      </c>
    </row>
    <row r="3" spans="1:11" x14ac:dyDescent="0.25">
      <c r="A3" s="321" t="s">
        <v>861</v>
      </c>
      <c r="B3" s="88">
        <v>167.6</v>
      </c>
      <c r="C3" s="88">
        <v>157.69999999999999</v>
      </c>
      <c r="D3" s="88">
        <v>164.8</v>
      </c>
      <c r="E3" s="88">
        <v>190</v>
      </c>
    </row>
    <row r="4" spans="1:11" x14ac:dyDescent="0.25">
      <c r="A4" s="321" t="s">
        <v>862</v>
      </c>
      <c r="B4" s="88">
        <v>172</v>
      </c>
      <c r="C4" s="88">
        <v>162.4</v>
      </c>
      <c r="D4" s="88">
        <v>169.5</v>
      </c>
      <c r="E4" s="88">
        <v>190</v>
      </c>
    </row>
    <row r="5" spans="1:11" x14ac:dyDescent="0.25">
      <c r="A5" s="321" t="s">
        <v>863</v>
      </c>
      <c r="B5" s="88">
        <v>176.4</v>
      </c>
      <c r="C5" s="88">
        <v>166.9</v>
      </c>
      <c r="D5" s="88">
        <v>174</v>
      </c>
      <c r="E5" s="88">
        <v>190</v>
      </c>
    </row>
    <row r="6" spans="1:11" x14ac:dyDescent="0.25">
      <c r="A6" s="321" t="s">
        <v>864</v>
      </c>
      <c r="B6" s="88">
        <v>180.8</v>
      </c>
      <c r="C6" s="88">
        <v>171.5</v>
      </c>
      <c r="D6" s="88">
        <v>178.3</v>
      </c>
      <c r="E6" s="88">
        <v>190</v>
      </c>
    </row>
    <row r="7" spans="1:11" x14ac:dyDescent="0.25">
      <c r="A7" s="321" t="s">
        <v>865</v>
      </c>
      <c r="B7" s="88">
        <v>185.2</v>
      </c>
      <c r="C7" s="88">
        <v>176</v>
      </c>
      <c r="D7" s="88">
        <v>182.9</v>
      </c>
      <c r="E7" s="88">
        <v>190</v>
      </c>
    </row>
    <row r="8" spans="1:11" ht="15.75" thickBot="1" x14ac:dyDescent="0.3">
      <c r="A8" s="321" t="s">
        <v>866</v>
      </c>
      <c r="B8" s="88">
        <v>189.6</v>
      </c>
      <c r="C8" s="88">
        <v>180.4</v>
      </c>
      <c r="D8" s="88">
        <v>187.4</v>
      </c>
      <c r="E8" s="88">
        <v>190</v>
      </c>
    </row>
    <row r="9" spans="1:11" x14ac:dyDescent="0.25">
      <c r="A9" s="321" t="s">
        <v>867</v>
      </c>
      <c r="B9" s="88">
        <v>193.4</v>
      </c>
      <c r="C9" s="88">
        <v>184.4</v>
      </c>
      <c r="D9" s="88">
        <v>190.8</v>
      </c>
      <c r="E9" s="88">
        <v>190</v>
      </c>
      <c r="H9" s="362" t="s">
        <v>525</v>
      </c>
      <c r="I9" s="363"/>
      <c r="J9" s="363"/>
      <c r="K9" s="364"/>
    </row>
    <row r="10" spans="1:11" x14ac:dyDescent="0.25">
      <c r="A10" s="321" t="s">
        <v>868</v>
      </c>
      <c r="B10" s="88">
        <v>195.1</v>
      </c>
      <c r="C10" s="88">
        <v>187.1</v>
      </c>
      <c r="D10" s="88">
        <v>192.6</v>
      </c>
      <c r="E10" s="88">
        <v>190</v>
      </c>
      <c r="H10" s="365"/>
      <c r="I10" s="366"/>
      <c r="J10" s="366"/>
      <c r="K10" s="367"/>
    </row>
    <row r="11" spans="1:11" x14ac:dyDescent="0.25">
      <c r="A11" s="321" t="s">
        <v>869</v>
      </c>
      <c r="B11" s="88">
        <v>195.5</v>
      </c>
      <c r="C11" s="88">
        <v>188.7</v>
      </c>
      <c r="D11" s="88">
        <v>193.1</v>
      </c>
      <c r="E11" s="88">
        <v>190</v>
      </c>
      <c r="H11" s="365"/>
      <c r="I11" s="366"/>
      <c r="J11" s="366"/>
      <c r="K11" s="367"/>
    </row>
    <row r="12" spans="1:11" x14ac:dyDescent="0.25">
      <c r="A12" s="321" t="s">
        <v>870</v>
      </c>
      <c r="B12" s="88">
        <v>195.3</v>
      </c>
      <c r="C12" s="88">
        <v>189.6</v>
      </c>
      <c r="D12" s="88">
        <v>193.2</v>
      </c>
      <c r="E12" s="88">
        <v>190</v>
      </c>
      <c r="H12" s="365"/>
      <c r="I12" s="366"/>
      <c r="J12" s="366"/>
      <c r="K12" s="367"/>
    </row>
    <row r="13" spans="1:11" x14ac:dyDescent="0.25">
      <c r="A13" s="321" t="s">
        <v>871</v>
      </c>
      <c r="B13" s="88">
        <v>194.8</v>
      </c>
      <c r="C13" s="88">
        <v>190.2</v>
      </c>
      <c r="D13" s="88">
        <v>193.3</v>
      </c>
      <c r="E13" s="88">
        <v>190</v>
      </c>
      <c r="H13" s="365"/>
      <c r="I13" s="366"/>
      <c r="J13" s="366"/>
      <c r="K13" s="367"/>
    </row>
    <row r="14" spans="1:11" x14ac:dyDescent="0.25">
      <c r="A14" s="321" t="s">
        <v>872</v>
      </c>
      <c r="B14" s="88">
        <v>194.3</v>
      </c>
      <c r="C14" s="88">
        <v>190.5</v>
      </c>
      <c r="D14" s="88">
        <v>193.1</v>
      </c>
      <c r="E14" s="88">
        <v>190</v>
      </c>
      <c r="H14" s="365"/>
      <c r="I14" s="366"/>
      <c r="J14" s="366"/>
      <c r="K14" s="367"/>
    </row>
    <row r="15" spans="1:11" ht="15.75" thickBot="1" x14ac:dyDescent="0.3">
      <c r="A15" s="321" t="s">
        <v>873</v>
      </c>
      <c r="B15" s="88">
        <v>193.7</v>
      </c>
      <c r="C15" s="88">
        <v>190.7</v>
      </c>
      <c r="D15" s="88">
        <v>193</v>
      </c>
      <c r="E15" s="88">
        <v>190</v>
      </c>
      <c r="H15" s="368"/>
      <c r="I15" s="369"/>
      <c r="J15" s="369"/>
      <c r="K15" s="370"/>
    </row>
    <row r="16" spans="1:11" x14ac:dyDescent="0.25">
      <c r="A16" s="321" t="s">
        <v>874</v>
      </c>
      <c r="B16" s="88">
        <v>193.1</v>
      </c>
      <c r="C16" s="88">
        <v>190.8</v>
      </c>
      <c r="D16" s="88">
        <v>192.8</v>
      </c>
      <c r="E16" s="88">
        <v>190</v>
      </c>
    </row>
    <row r="17" spans="1:5" x14ac:dyDescent="0.25">
      <c r="A17" s="321" t="s">
        <v>875</v>
      </c>
      <c r="B17" s="88">
        <v>192.7</v>
      </c>
      <c r="C17" s="88">
        <v>190.7</v>
      </c>
      <c r="D17" s="88">
        <v>192.6</v>
      </c>
      <c r="E17" s="88">
        <v>190</v>
      </c>
    </row>
    <row r="18" spans="1:5" x14ac:dyDescent="0.25">
      <c r="A18" s="321" t="s">
        <v>876</v>
      </c>
      <c r="B18" s="88">
        <v>192.4</v>
      </c>
      <c r="C18" s="88">
        <v>190.7</v>
      </c>
      <c r="D18" s="88">
        <v>192.4</v>
      </c>
      <c r="E18" s="88">
        <v>190</v>
      </c>
    </row>
    <row r="19" spans="1:5" x14ac:dyDescent="0.25">
      <c r="A19" s="321" t="s">
        <v>877</v>
      </c>
      <c r="B19" s="88">
        <v>192</v>
      </c>
      <c r="C19" s="88">
        <v>190.7</v>
      </c>
      <c r="D19" s="88">
        <v>192.3</v>
      </c>
      <c r="E19" s="88">
        <v>190</v>
      </c>
    </row>
    <row r="20" spans="1:5" x14ac:dyDescent="0.25">
      <c r="A20" s="321" t="s">
        <v>878</v>
      </c>
      <c r="B20" s="88">
        <v>191.7</v>
      </c>
      <c r="C20" s="88">
        <v>190.6</v>
      </c>
      <c r="D20" s="88">
        <v>192.2</v>
      </c>
      <c r="E20" s="88">
        <v>190</v>
      </c>
    </row>
    <row r="21" spans="1:5" x14ac:dyDescent="0.25">
      <c r="A21" s="321" t="s">
        <v>879</v>
      </c>
      <c r="B21" s="88">
        <v>191.5</v>
      </c>
      <c r="C21" s="88">
        <v>190.5</v>
      </c>
      <c r="D21" s="88">
        <v>192.1</v>
      </c>
      <c r="E21" s="88">
        <v>190</v>
      </c>
    </row>
    <row r="22" spans="1:5" x14ac:dyDescent="0.25">
      <c r="A22" s="321" t="s">
        <v>880</v>
      </c>
      <c r="B22" s="88">
        <v>191.3</v>
      </c>
      <c r="C22" s="88">
        <v>190.5</v>
      </c>
      <c r="D22" s="88">
        <v>192.1</v>
      </c>
      <c r="E22" s="88">
        <v>190</v>
      </c>
    </row>
    <row r="23" spans="1:5" x14ac:dyDescent="0.25">
      <c r="A23" s="321" t="s">
        <v>881</v>
      </c>
      <c r="B23" s="88">
        <v>191.2</v>
      </c>
      <c r="C23" s="88">
        <v>190.4</v>
      </c>
      <c r="D23" s="88">
        <v>192</v>
      </c>
      <c r="E23" s="88">
        <v>190</v>
      </c>
    </row>
    <row r="24" spans="1:5" x14ac:dyDescent="0.25">
      <c r="A24" s="321" t="s">
        <v>882</v>
      </c>
      <c r="B24" s="88">
        <v>191</v>
      </c>
      <c r="C24" s="88">
        <v>190.4</v>
      </c>
      <c r="D24" s="88">
        <v>192</v>
      </c>
      <c r="E24" s="88">
        <v>190</v>
      </c>
    </row>
    <row r="25" spans="1:5" x14ac:dyDescent="0.25">
      <c r="A25" s="321" t="s">
        <v>883</v>
      </c>
      <c r="B25" s="88">
        <v>190.9</v>
      </c>
      <c r="C25" s="88">
        <v>190.3</v>
      </c>
      <c r="D25" s="88">
        <v>191.9</v>
      </c>
      <c r="E25" s="88">
        <v>190</v>
      </c>
    </row>
    <row r="26" spans="1:5" x14ac:dyDescent="0.25">
      <c r="A26" s="321" t="s">
        <v>884</v>
      </c>
      <c r="B26" s="88">
        <v>190.7</v>
      </c>
      <c r="C26" s="88">
        <v>190.3</v>
      </c>
      <c r="D26" s="88">
        <v>191.9</v>
      </c>
      <c r="E26" s="88">
        <v>190</v>
      </c>
    </row>
    <row r="27" spans="1:5" x14ac:dyDescent="0.25">
      <c r="A27" s="321" t="s">
        <v>885</v>
      </c>
      <c r="B27" s="88">
        <v>190.7</v>
      </c>
      <c r="C27" s="88">
        <v>190.2</v>
      </c>
      <c r="D27" s="88">
        <v>191.8</v>
      </c>
      <c r="E27" s="88">
        <v>190</v>
      </c>
    </row>
    <row r="28" spans="1:5" x14ac:dyDescent="0.25">
      <c r="A28" s="321" t="s">
        <v>886</v>
      </c>
      <c r="B28" s="88">
        <v>190.7</v>
      </c>
      <c r="C28" s="88">
        <v>190.2</v>
      </c>
      <c r="D28" s="88">
        <v>191.8</v>
      </c>
      <c r="E28" s="88">
        <v>190</v>
      </c>
    </row>
    <row r="29" spans="1:5" x14ac:dyDescent="0.25">
      <c r="A29" s="321" t="s">
        <v>887</v>
      </c>
      <c r="B29" s="88">
        <v>190.6</v>
      </c>
      <c r="C29" s="88">
        <v>190.2</v>
      </c>
      <c r="D29" s="88">
        <v>191.8</v>
      </c>
      <c r="E29" s="88">
        <v>190</v>
      </c>
    </row>
    <row r="30" spans="1:5" x14ac:dyDescent="0.25">
      <c r="A30" s="321" t="s">
        <v>888</v>
      </c>
      <c r="B30" s="88">
        <v>190.6</v>
      </c>
      <c r="C30" s="88">
        <v>190.2</v>
      </c>
      <c r="D30" s="88">
        <v>191.8</v>
      </c>
      <c r="E30" s="88">
        <v>190</v>
      </c>
    </row>
    <row r="31" spans="1:5" x14ac:dyDescent="0.25">
      <c r="A31" s="321" t="s">
        <v>889</v>
      </c>
      <c r="B31" s="88">
        <v>190.4</v>
      </c>
      <c r="C31" s="88">
        <v>190.2</v>
      </c>
      <c r="D31" s="88">
        <v>191.7</v>
      </c>
      <c r="E31" s="88">
        <v>190</v>
      </c>
    </row>
    <row r="32" spans="1:5" x14ac:dyDescent="0.25">
      <c r="A32" s="321" t="s">
        <v>890</v>
      </c>
      <c r="B32" s="88">
        <v>190.5</v>
      </c>
      <c r="C32" s="88">
        <v>190.1</v>
      </c>
      <c r="D32" s="88">
        <v>191.7</v>
      </c>
      <c r="E32" s="88">
        <v>190</v>
      </c>
    </row>
    <row r="33" spans="1:5" x14ac:dyDescent="0.25">
      <c r="A33" s="321" t="s">
        <v>891</v>
      </c>
      <c r="B33" s="88">
        <v>190.4</v>
      </c>
      <c r="C33" s="88">
        <v>190.1</v>
      </c>
      <c r="D33" s="88">
        <v>191.7</v>
      </c>
      <c r="E33" s="88">
        <v>190</v>
      </c>
    </row>
    <row r="34" spans="1:5" x14ac:dyDescent="0.25">
      <c r="A34" s="321" t="s">
        <v>892</v>
      </c>
      <c r="B34" s="88">
        <v>190.4</v>
      </c>
      <c r="C34" s="88">
        <v>190.1</v>
      </c>
      <c r="D34" s="88">
        <v>191.7</v>
      </c>
      <c r="E34" s="88">
        <v>190</v>
      </c>
    </row>
    <row r="35" spans="1:5" x14ac:dyDescent="0.25">
      <c r="A35" s="321" t="s">
        <v>893</v>
      </c>
      <c r="B35" s="88">
        <v>190.3</v>
      </c>
      <c r="C35" s="88">
        <v>190.1</v>
      </c>
      <c r="D35" s="88">
        <v>191.6</v>
      </c>
      <c r="E35" s="88">
        <v>190</v>
      </c>
    </row>
    <row r="36" spans="1:5" x14ac:dyDescent="0.25">
      <c r="A36" s="321" t="s">
        <v>894</v>
      </c>
      <c r="B36" s="88">
        <v>190.3</v>
      </c>
      <c r="C36" s="88">
        <v>190.1</v>
      </c>
      <c r="D36" s="88">
        <v>191.6</v>
      </c>
      <c r="E36" s="88">
        <v>190</v>
      </c>
    </row>
    <row r="37" spans="1:5" x14ac:dyDescent="0.25">
      <c r="A37" s="321" t="s">
        <v>895</v>
      </c>
      <c r="B37" s="88">
        <v>190.3</v>
      </c>
      <c r="C37" s="88">
        <v>190.1</v>
      </c>
      <c r="D37" s="88">
        <v>191.6</v>
      </c>
      <c r="E37" s="88">
        <v>190</v>
      </c>
    </row>
    <row r="38" spans="1:5" x14ac:dyDescent="0.25">
      <c r="A38" s="321" t="s">
        <v>896</v>
      </c>
      <c r="B38" s="88">
        <v>190.2</v>
      </c>
      <c r="C38" s="88">
        <v>190.1</v>
      </c>
      <c r="D38" s="88">
        <v>191.6</v>
      </c>
      <c r="E38" s="88">
        <v>190</v>
      </c>
    </row>
    <row r="39" spans="1:5" x14ac:dyDescent="0.25">
      <c r="A39" s="321" t="s">
        <v>897</v>
      </c>
      <c r="B39" s="88">
        <v>190.3</v>
      </c>
      <c r="C39" s="88">
        <v>190.1</v>
      </c>
      <c r="D39" s="88">
        <v>191.6</v>
      </c>
      <c r="E39" s="88">
        <v>190</v>
      </c>
    </row>
    <row r="40" spans="1:5" x14ac:dyDescent="0.25">
      <c r="A40" s="321" t="s">
        <v>898</v>
      </c>
      <c r="B40" s="88">
        <v>190.3</v>
      </c>
      <c r="C40" s="88">
        <v>190.1</v>
      </c>
      <c r="D40" s="88">
        <v>191.7</v>
      </c>
      <c r="E40" s="88">
        <v>190.8</v>
      </c>
    </row>
    <row r="41" spans="1:5" x14ac:dyDescent="0.25">
      <c r="A41" s="321" t="s">
        <v>899</v>
      </c>
      <c r="B41" s="88">
        <v>190.9</v>
      </c>
      <c r="C41" s="88">
        <v>190.5</v>
      </c>
      <c r="D41" s="88">
        <v>192.3</v>
      </c>
      <c r="E41" s="88">
        <v>191.8</v>
      </c>
    </row>
    <row r="42" spans="1:5" x14ac:dyDescent="0.25">
      <c r="A42" s="321" t="s">
        <v>900</v>
      </c>
      <c r="B42" s="88">
        <v>192.1</v>
      </c>
      <c r="C42" s="88">
        <v>191.4</v>
      </c>
      <c r="D42" s="88">
        <v>193.4</v>
      </c>
      <c r="E42" s="88">
        <v>192.8</v>
      </c>
    </row>
    <row r="43" spans="1:5" x14ac:dyDescent="0.25">
      <c r="A43" s="321" t="s">
        <v>901</v>
      </c>
      <c r="B43" s="88">
        <v>193.5</v>
      </c>
      <c r="C43" s="88">
        <v>192.4</v>
      </c>
      <c r="D43" s="88">
        <v>194.6</v>
      </c>
      <c r="E43" s="88">
        <v>193.8</v>
      </c>
    </row>
    <row r="44" spans="1:5" x14ac:dyDescent="0.25">
      <c r="A44" s="321" t="s">
        <v>902</v>
      </c>
      <c r="B44" s="88">
        <v>194.8</v>
      </c>
      <c r="C44" s="88">
        <v>193.4</v>
      </c>
      <c r="D44" s="88">
        <v>195.8</v>
      </c>
      <c r="E44" s="88">
        <v>194.8</v>
      </c>
    </row>
    <row r="45" spans="1:5" x14ac:dyDescent="0.25">
      <c r="A45" s="321" t="s">
        <v>903</v>
      </c>
      <c r="B45" s="88">
        <v>196</v>
      </c>
      <c r="C45" s="88">
        <v>194.5</v>
      </c>
      <c r="D45" s="88">
        <v>196.9</v>
      </c>
      <c r="E45" s="88">
        <v>195.8</v>
      </c>
    </row>
    <row r="46" spans="1:5" x14ac:dyDescent="0.25">
      <c r="A46" s="321" t="s">
        <v>904</v>
      </c>
      <c r="B46" s="88">
        <v>197.3</v>
      </c>
      <c r="C46" s="88">
        <v>195.6</v>
      </c>
      <c r="D46" s="88">
        <v>198</v>
      </c>
      <c r="E46" s="88">
        <v>196.8</v>
      </c>
    </row>
    <row r="47" spans="1:5" x14ac:dyDescent="0.25">
      <c r="A47" s="321" t="s">
        <v>905</v>
      </c>
      <c r="B47" s="88">
        <v>198.5</v>
      </c>
      <c r="C47" s="88">
        <v>196.6</v>
      </c>
      <c r="D47" s="88">
        <v>199.1</v>
      </c>
      <c r="E47" s="88">
        <v>197.8</v>
      </c>
    </row>
    <row r="48" spans="1:5" x14ac:dyDescent="0.25">
      <c r="A48" s="321" t="s">
        <v>906</v>
      </c>
      <c r="B48" s="88">
        <v>199.6</v>
      </c>
      <c r="C48" s="88">
        <v>197.7</v>
      </c>
      <c r="D48" s="88">
        <v>200.2</v>
      </c>
      <c r="E48" s="88">
        <v>198.3</v>
      </c>
    </row>
    <row r="49" spans="1:5" x14ac:dyDescent="0.25">
      <c r="A49" s="321" t="s">
        <v>907</v>
      </c>
      <c r="B49" s="88">
        <v>200.2</v>
      </c>
      <c r="C49" s="88">
        <v>198.4</v>
      </c>
      <c r="D49" s="88">
        <v>200.7</v>
      </c>
      <c r="E49" s="88">
        <v>198.6</v>
      </c>
    </row>
    <row r="50" spans="1:5" x14ac:dyDescent="0.25">
      <c r="A50" s="321" t="s">
        <v>908</v>
      </c>
      <c r="B50" s="88">
        <v>200.6</v>
      </c>
      <c r="C50" s="88">
        <v>198.9</v>
      </c>
      <c r="D50" s="88">
        <v>201.1</v>
      </c>
      <c r="E50" s="88">
        <v>198.9</v>
      </c>
    </row>
    <row r="51" spans="1:5" x14ac:dyDescent="0.25">
      <c r="A51" s="321" t="s">
        <v>909</v>
      </c>
      <c r="B51" s="88">
        <v>200.7</v>
      </c>
      <c r="C51" s="88">
        <v>199.3</v>
      </c>
      <c r="D51" s="88">
        <v>201.4</v>
      </c>
      <c r="E51" s="88">
        <v>199.3</v>
      </c>
    </row>
    <row r="52" spans="1:5" x14ac:dyDescent="0.25">
      <c r="A52" s="321" t="s">
        <v>910</v>
      </c>
      <c r="B52" s="88">
        <v>200.9</v>
      </c>
      <c r="C52" s="88">
        <v>199.6</v>
      </c>
      <c r="D52" s="88">
        <v>201.5</v>
      </c>
      <c r="E52" s="88">
        <v>199.6</v>
      </c>
    </row>
    <row r="53" spans="1:5" x14ac:dyDescent="0.25">
      <c r="A53" s="321" t="s">
        <v>911</v>
      </c>
      <c r="B53" s="88">
        <v>201.1</v>
      </c>
      <c r="C53" s="88">
        <v>199.9</v>
      </c>
      <c r="D53" s="88">
        <v>201.8</v>
      </c>
      <c r="E53" s="88">
        <v>199.9</v>
      </c>
    </row>
    <row r="54" spans="1:5" x14ac:dyDescent="0.25">
      <c r="A54" s="321" t="s">
        <v>912</v>
      </c>
      <c r="B54" s="88">
        <v>201.3</v>
      </c>
      <c r="C54" s="88">
        <v>200.2</v>
      </c>
      <c r="D54" s="88">
        <v>202</v>
      </c>
      <c r="E54" s="88">
        <v>200</v>
      </c>
    </row>
    <row r="55" spans="1:5" x14ac:dyDescent="0.25">
      <c r="A55" s="321" t="s">
        <v>913</v>
      </c>
      <c r="B55" s="88">
        <v>201.3</v>
      </c>
      <c r="C55" s="88">
        <v>200.4</v>
      </c>
      <c r="D55" s="88">
        <v>202.1</v>
      </c>
      <c r="E55" s="88">
        <v>200</v>
      </c>
    </row>
    <row r="56" spans="1:5" x14ac:dyDescent="0.25">
      <c r="A56" s="321" t="s">
        <v>914</v>
      </c>
      <c r="B56" s="88">
        <v>201.1</v>
      </c>
      <c r="C56" s="88">
        <v>200.4</v>
      </c>
      <c r="D56" s="88">
        <v>202</v>
      </c>
      <c r="E56" s="88">
        <v>200</v>
      </c>
    </row>
    <row r="57" spans="1:5" x14ac:dyDescent="0.25">
      <c r="A57" s="321" t="s">
        <v>915</v>
      </c>
      <c r="B57" s="88">
        <v>201</v>
      </c>
      <c r="C57" s="88">
        <v>200.3</v>
      </c>
      <c r="D57" s="88">
        <v>201.9</v>
      </c>
      <c r="E57" s="88">
        <v>200</v>
      </c>
    </row>
    <row r="58" spans="1:5" x14ac:dyDescent="0.25">
      <c r="A58" s="321" t="s">
        <v>916</v>
      </c>
      <c r="B58" s="88">
        <v>200.8</v>
      </c>
      <c r="C58" s="88">
        <v>200.3</v>
      </c>
      <c r="D58" s="88">
        <v>201.9</v>
      </c>
      <c r="E58" s="88">
        <v>200</v>
      </c>
    </row>
    <row r="59" spans="1:5" x14ac:dyDescent="0.25">
      <c r="A59" s="321" t="s">
        <v>917</v>
      </c>
      <c r="B59" s="88">
        <v>200.7</v>
      </c>
      <c r="C59" s="88">
        <v>200.3</v>
      </c>
      <c r="D59" s="88">
        <v>201.8</v>
      </c>
      <c r="E59" s="88">
        <v>200</v>
      </c>
    </row>
    <row r="60" spans="1:5" x14ac:dyDescent="0.25">
      <c r="A60" s="321" t="s">
        <v>918</v>
      </c>
      <c r="B60" s="88">
        <v>200.6</v>
      </c>
      <c r="C60" s="88">
        <v>200.2</v>
      </c>
      <c r="D60" s="88">
        <v>201.7</v>
      </c>
      <c r="E60" s="88">
        <v>200</v>
      </c>
    </row>
    <row r="61" spans="1:5" x14ac:dyDescent="0.25">
      <c r="A61" s="321" t="s">
        <v>919</v>
      </c>
      <c r="B61" s="88">
        <v>200.5</v>
      </c>
      <c r="C61" s="88">
        <v>200.2</v>
      </c>
      <c r="D61" s="88">
        <v>201.7</v>
      </c>
      <c r="E61" s="88">
        <v>200</v>
      </c>
    </row>
    <row r="62" spans="1:5" x14ac:dyDescent="0.25">
      <c r="A62" s="321" t="s">
        <v>920</v>
      </c>
      <c r="B62" s="88">
        <v>200.5</v>
      </c>
      <c r="C62" s="88">
        <v>200.2</v>
      </c>
      <c r="D62" s="88">
        <v>201.7</v>
      </c>
      <c r="E62" s="88">
        <v>200</v>
      </c>
    </row>
    <row r="63" spans="1:5" x14ac:dyDescent="0.25">
      <c r="A63" s="321" t="s">
        <v>921</v>
      </c>
      <c r="B63" s="88">
        <v>200.4</v>
      </c>
      <c r="C63" s="88">
        <v>200.1</v>
      </c>
      <c r="D63" s="88">
        <v>201.6</v>
      </c>
      <c r="E63" s="88">
        <v>200</v>
      </c>
    </row>
    <row r="64" spans="1:5" x14ac:dyDescent="0.25">
      <c r="A64" s="321" t="s">
        <v>922</v>
      </c>
      <c r="B64" s="88">
        <v>200.3</v>
      </c>
      <c r="C64" s="88">
        <v>200.1</v>
      </c>
      <c r="D64" s="88">
        <v>201.6</v>
      </c>
      <c r="E64" s="88">
        <v>200</v>
      </c>
    </row>
    <row r="65" spans="1:5" x14ac:dyDescent="0.25">
      <c r="A65" s="321" t="s">
        <v>923</v>
      </c>
      <c r="B65" s="88">
        <v>200.3</v>
      </c>
      <c r="C65" s="88">
        <v>200.1</v>
      </c>
      <c r="D65" s="88">
        <v>201.6</v>
      </c>
      <c r="E65" s="88">
        <v>200</v>
      </c>
    </row>
    <row r="66" spans="1:5" x14ac:dyDescent="0.25">
      <c r="A66" s="321" t="s">
        <v>924</v>
      </c>
      <c r="B66" s="88">
        <v>200.3</v>
      </c>
      <c r="C66" s="88">
        <v>200.1</v>
      </c>
      <c r="D66" s="88">
        <v>201.5</v>
      </c>
      <c r="E66" s="88">
        <v>200</v>
      </c>
    </row>
    <row r="67" spans="1:5" x14ac:dyDescent="0.25">
      <c r="A67" s="321" t="s">
        <v>925</v>
      </c>
      <c r="B67" s="88">
        <v>200.3</v>
      </c>
      <c r="C67" s="88">
        <v>200.1</v>
      </c>
      <c r="D67" s="88">
        <v>201.6</v>
      </c>
      <c r="E67" s="88">
        <v>200</v>
      </c>
    </row>
    <row r="68" spans="1:5" x14ac:dyDescent="0.25">
      <c r="A68" s="321" t="s">
        <v>926</v>
      </c>
      <c r="B68" s="88">
        <v>200.2</v>
      </c>
      <c r="C68" s="88">
        <v>200</v>
      </c>
      <c r="D68" s="88">
        <v>201.6</v>
      </c>
      <c r="E68" s="88">
        <v>200</v>
      </c>
    </row>
    <row r="69" spans="1:5" x14ac:dyDescent="0.25">
      <c r="A69" s="321" t="s">
        <v>927</v>
      </c>
      <c r="B69" s="88">
        <v>200.2</v>
      </c>
      <c r="C69" s="88">
        <v>200.1</v>
      </c>
      <c r="D69" s="88">
        <v>201.6</v>
      </c>
      <c r="E69" s="88">
        <v>200</v>
      </c>
    </row>
    <row r="70" spans="1:5" x14ac:dyDescent="0.25">
      <c r="A70" s="321" t="s">
        <v>928</v>
      </c>
      <c r="B70" s="88">
        <v>200.3</v>
      </c>
      <c r="C70" s="88">
        <v>200.1</v>
      </c>
      <c r="D70" s="88">
        <v>201.6</v>
      </c>
      <c r="E70" s="88">
        <v>200</v>
      </c>
    </row>
    <row r="71" spans="1:5" x14ac:dyDescent="0.25">
      <c r="A71" s="321" t="s">
        <v>929</v>
      </c>
      <c r="B71" s="88">
        <v>200.2</v>
      </c>
      <c r="C71" s="88">
        <v>200.1</v>
      </c>
      <c r="D71" s="88">
        <v>201.5</v>
      </c>
      <c r="E71" s="88">
        <v>200</v>
      </c>
    </row>
    <row r="72" spans="1:5" x14ac:dyDescent="0.25">
      <c r="A72" s="321" t="s">
        <v>930</v>
      </c>
      <c r="B72" s="88">
        <v>200.2</v>
      </c>
      <c r="C72" s="88">
        <v>200.1</v>
      </c>
      <c r="D72" s="88">
        <v>201.5</v>
      </c>
      <c r="E72" s="88">
        <v>200</v>
      </c>
    </row>
    <row r="73" spans="1:5" x14ac:dyDescent="0.25">
      <c r="A73" s="321" t="s">
        <v>931</v>
      </c>
      <c r="B73" s="88">
        <v>200.2</v>
      </c>
      <c r="C73" s="88">
        <v>200</v>
      </c>
      <c r="D73" s="88">
        <v>201.5</v>
      </c>
      <c r="E73" s="88">
        <v>200</v>
      </c>
    </row>
    <row r="74" spans="1:5" x14ac:dyDescent="0.25">
      <c r="A74" s="321" t="s">
        <v>932</v>
      </c>
      <c r="B74" s="88">
        <v>200.2</v>
      </c>
      <c r="C74" s="88">
        <v>200</v>
      </c>
      <c r="D74" s="88">
        <v>201.5</v>
      </c>
      <c r="E74" s="88">
        <v>200</v>
      </c>
    </row>
    <row r="75" spans="1:5" x14ac:dyDescent="0.25">
      <c r="A75" s="321" t="s">
        <v>933</v>
      </c>
      <c r="B75" s="88">
        <v>200.2</v>
      </c>
      <c r="C75" s="88">
        <v>200</v>
      </c>
      <c r="D75" s="88">
        <v>201.6</v>
      </c>
      <c r="E75" s="88">
        <v>200</v>
      </c>
    </row>
    <row r="76" spans="1:5" x14ac:dyDescent="0.25">
      <c r="A76" s="321" t="s">
        <v>934</v>
      </c>
      <c r="B76" s="88">
        <v>200.2</v>
      </c>
      <c r="C76" s="88">
        <v>200</v>
      </c>
      <c r="D76" s="88">
        <v>201.6</v>
      </c>
      <c r="E76" s="88">
        <v>200</v>
      </c>
    </row>
    <row r="77" spans="1:5" x14ac:dyDescent="0.25">
      <c r="A77" s="321" t="s">
        <v>935</v>
      </c>
      <c r="B77" s="88">
        <v>200.2</v>
      </c>
      <c r="C77" s="88">
        <v>200</v>
      </c>
      <c r="D77" s="88">
        <v>201.5</v>
      </c>
      <c r="E77" s="88">
        <v>200</v>
      </c>
    </row>
    <row r="78" spans="1:5" x14ac:dyDescent="0.25">
      <c r="A78" s="321" t="s">
        <v>936</v>
      </c>
      <c r="B78" s="88">
        <v>200.2</v>
      </c>
      <c r="C78" s="88">
        <v>200.1</v>
      </c>
      <c r="D78" s="88">
        <v>201.5</v>
      </c>
      <c r="E78" s="88">
        <v>200</v>
      </c>
    </row>
    <row r="79" spans="1:5" x14ac:dyDescent="0.25">
      <c r="A79" s="321" t="s">
        <v>937</v>
      </c>
      <c r="B79" s="88">
        <v>200.1</v>
      </c>
      <c r="C79" s="88">
        <v>200</v>
      </c>
      <c r="D79" s="88">
        <v>201.5</v>
      </c>
      <c r="E79" s="88">
        <v>200</v>
      </c>
    </row>
    <row r="80" spans="1:5" x14ac:dyDescent="0.25">
      <c r="A80" s="321" t="s">
        <v>938</v>
      </c>
      <c r="B80" s="88">
        <v>200.1</v>
      </c>
      <c r="C80" s="88">
        <v>200</v>
      </c>
      <c r="D80" s="88">
        <v>201.5</v>
      </c>
      <c r="E80" s="88">
        <v>200</v>
      </c>
    </row>
    <row r="81" spans="1:5" x14ac:dyDescent="0.25">
      <c r="A81" s="321" t="s">
        <v>939</v>
      </c>
      <c r="B81" s="88">
        <v>200.2</v>
      </c>
      <c r="C81" s="88">
        <v>200</v>
      </c>
      <c r="D81" s="88">
        <v>201.5</v>
      </c>
      <c r="E81" s="88">
        <v>200</v>
      </c>
    </row>
    <row r="82" spans="1:5" x14ac:dyDescent="0.25">
      <c r="A82" s="321" t="s">
        <v>940</v>
      </c>
      <c r="B82" s="88">
        <v>200.2</v>
      </c>
      <c r="C82" s="88">
        <v>200</v>
      </c>
      <c r="D82" s="88">
        <v>201.5</v>
      </c>
      <c r="E82" s="88">
        <v>200</v>
      </c>
    </row>
    <row r="83" spans="1:5" x14ac:dyDescent="0.25">
      <c r="A83" s="321" t="s">
        <v>941</v>
      </c>
      <c r="B83" s="88">
        <v>200.1</v>
      </c>
      <c r="C83" s="88">
        <v>200</v>
      </c>
      <c r="D83" s="88">
        <v>201.5</v>
      </c>
      <c r="E83" s="88">
        <v>200</v>
      </c>
    </row>
    <row r="84" spans="1:5" x14ac:dyDescent="0.25">
      <c r="A84" s="321" t="s">
        <v>942</v>
      </c>
      <c r="B84" s="88">
        <v>200.1</v>
      </c>
      <c r="C84" s="88">
        <v>200</v>
      </c>
      <c r="D84" s="88">
        <v>201.5</v>
      </c>
      <c r="E84" s="88">
        <v>200</v>
      </c>
    </row>
    <row r="85" spans="1:5" x14ac:dyDescent="0.25">
      <c r="A85" s="321" t="s">
        <v>943</v>
      </c>
      <c r="B85" s="88">
        <v>200.1</v>
      </c>
      <c r="C85" s="88">
        <v>200.1</v>
      </c>
      <c r="D85" s="88">
        <v>201.5</v>
      </c>
      <c r="E85" s="88">
        <v>200</v>
      </c>
    </row>
    <row r="86" spans="1:5" x14ac:dyDescent="0.25">
      <c r="A86" s="321" t="s">
        <v>944</v>
      </c>
      <c r="B86" s="88">
        <v>200.1</v>
      </c>
      <c r="C86" s="88">
        <v>200</v>
      </c>
      <c r="D86" s="88">
        <v>201.4</v>
      </c>
      <c r="E86" s="88">
        <v>200</v>
      </c>
    </row>
    <row r="87" spans="1:5" x14ac:dyDescent="0.25">
      <c r="A87" s="321" t="s">
        <v>945</v>
      </c>
      <c r="B87" s="88">
        <v>200.1</v>
      </c>
      <c r="C87" s="88">
        <v>200</v>
      </c>
      <c r="D87" s="88">
        <v>201.5</v>
      </c>
      <c r="E87" s="88">
        <v>200</v>
      </c>
    </row>
    <row r="88" spans="1:5" x14ac:dyDescent="0.25">
      <c r="A88" s="321" t="s">
        <v>946</v>
      </c>
      <c r="B88" s="88">
        <v>200</v>
      </c>
      <c r="C88" s="88">
        <v>200</v>
      </c>
      <c r="D88" s="88">
        <v>201.4</v>
      </c>
      <c r="E88" s="88">
        <v>200</v>
      </c>
    </row>
    <row r="89" spans="1:5" x14ac:dyDescent="0.25">
      <c r="A89" s="321" t="s">
        <v>947</v>
      </c>
      <c r="B89" s="88">
        <v>200.1</v>
      </c>
      <c r="C89" s="88">
        <v>200</v>
      </c>
      <c r="D89" s="88">
        <v>201.5</v>
      </c>
      <c r="E89" s="88">
        <v>200</v>
      </c>
    </row>
    <row r="90" spans="1:5" x14ac:dyDescent="0.25">
      <c r="A90" s="321" t="s">
        <v>948</v>
      </c>
      <c r="B90" s="88">
        <v>200.2</v>
      </c>
      <c r="C90" s="88">
        <v>200.1</v>
      </c>
      <c r="D90" s="88">
        <v>201.5</v>
      </c>
      <c r="E90" s="88">
        <v>200</v>
      </c>
    </row>
    <row r="91" spans="1:5" x14ac:dyDescent="0.25">
      <c r="A91" s="321" t="s">
        <v>949</v>
      </c>
      <c r="B91" s="88">
        <v>200.1</v>
      </c>
      <c r="C91" s="88">
        <v>200</v>
      </c>
      <c r="D91" s="88">
        <v>201.5</v>
      </c>
      <c r="E91" s="88">
        <v>200</v>
      </c>
    </row>
    <row r="92" spans="1:5" x14ac:dyDescent="0.25">
      <c r="A92" s="321" t="s">
        <v>950</v>
      </c>
      <c r="B92" s="88">
        <v>200</v>
      </c>
      <c r="C92" s="88">
        <v>200</v>
      </c>
      <c r="D92" s="88">
        <v>201.5</v>
      </c>
      <c r="E92" s="88">
        <v>200</v>
      </c>
    </row>
    <row r="93" spans="1:5" x14ac:dyDescent="0.25">
      <c r="A93" s="321" t="s">
        <v>951</v>
      </c>
      <c r="B93" s="88">
        <v>200.1</v>
      </c>
      <c r="C93" s="88">
        <v>200</v>
      </c>
      <c r="D93" s="88">
        <v>201.5</v>
      </c>
      <c r="E93" s="88">
        <v>200</v>
      </c>
    </row>
  </sheetData>
  <sheetProtection algorithmName="SHA-512" hashValue="BNeDnqSl5Fw3QEP5kaHZBChgV9uyTQGdsfjrK1dCgay6SYu+ynCVrFNlSTnQyjfPODQwtC8KqxF7hH4CDs1T6w==" saltValue="st6oAlVMawp5n2MsFwsXW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55"/>
  <sheetViews>
    <sheetView workbookViewId="0">
      <selection activeCell="A26" sqref="A26"/>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8" t="s">
        <v>573</v>
      </c>
      <c r="B2">
        <v>343.2</v>
      </c>
      <c r="C2">
        <v>337.2</v>
      </c>
      <c r="D2">
        <v>339.5</v>
      </c>
      <c r="E2">
        <v>385</v>
      </c>
    </row>
    <row r="3" spans="1:11" x14ac:dyDescent="0.25">
      <c r="A3" s="321" t="s">
        <v>574</v>
      </c>
      <c r="B3" s="88">
        <v>346.5</v>
      </c>
      <c r="C3" s="88">
        <v>340.4</v>
      </c>
      <c r="D3" s="88">
        <v>342.8</v>
      </c>
      <c r="E3" s="88">
        <v>385</v>
      </c>
    </row>
    <row r="4" spans="1:11" x14ac:dyDescent="0.25">
      <c r="A4" s="321" t="s">
        <v>575</v>
      </c>
      <c r="B4" s="88">
        <v>349.7</v>
      </c>
      <c r="C4" s="88">
        <v>343.7</v>
      </c>
      <c r="D4" s="88">
        <v>346</v>
      </c>
      <c r="E4" s="88">
        <v>385</v>
      </c>
    </row>
    <row r="5" spans="1:11" x14ac:dyDescent="0.25">
      <c r="A5" s="321" t="s">
        <v>576</v>
      </c>
      <c r="B5" s="88">
        <v>352.8</v>
      </c>
      <c r="C5" s="88">
        <v>347</v>
      </c>
      <c r="D5" s="88">
        <v>349.1</v>
      </c>
      <c r="E5" s="88">
        <v>385</v>
      </c>
    </row>
    <row r="6" spans="1:11" x14ac:dyDescent="0.25">
      <c r="A6" s="321" t="s">
        <v>577</v>
      </c>
      <c r="B6" s="88">
        <v>356</v>
      </c>
      <c r="C6" s="88">
        <v>350.2</v>
      </c>
      <c r="D6" s="88">
        <v>352.3</v>
      </c>
      <c r="E6" s="88">
        <v>385</v>
      </c>
    </row>
    <row r="7" spans="1:11" x14ac:dyDescent="0.25">
      <c r="A7" s="321" t="s">
        <v>578</v>
      </c>
      <c r="B7" s="88">
        <v>359.1</v>
      </c>
      <c r="C7" s="88">
        <v>353.4</v>
      </c>
      <c r="D7" s="88">
        <v>355.5</v>
      </c>
      <c r="E7" s="88">
        <v>385</v>
      </c>
    </row>
    <row r="8" spans="1:11" ht="15.75" thickBot="1" x14ac:dyDescent="0.3">
      <c r="A8" s="321" t="s">
        <v>579</v>
      </c>
      <c r="B8" s="88">
        <v>362.1</v>
      </c>
      <c r="C8" s="88">
        <v>356.6</v>
      </c>
      <c r="D8" s="88">
        <v>358.5</v>
      </c>
      <c r="E8" s="88">
        <v>385</v>
      </c>
    </row>
    <row r="9" spans="1:11" x14ac:dyDescent="0.25">
      <c r="A9" s="321" t="s">
        <v>580</v>
      </c>
      <c r="B9" s="88">
        <v>365.2</v>
      </c>
      <c r="C9" s="88">
        <v>359.7</v>
      </c>
      <c r="D9" s="88">
        <v>361.6</v>
      </c>
      <c r="E9" s="88">
        <v>385</v>
      </c>
      <c r="H9" s="362" t="s">
        <v>525</v>
      </c>
      <c r="I9" s="363"/>
      <c r="J9" s="363"/>
      <c r="K9" s="364"/>
    </row>
    <row r="10" spans="1:11" x14ac:dyDescent="0.25">
      <c r="A10" s="321" t="s">
        <v>581</v>
      </c>
      <c r="B10" s="88">
        <v>368.2</v>
      </c>
      <c r="C10" s="88">
        <v>362.8</v>
      </c>
      <c r="D10" s="88">
        <v>364.7</v>
      </c>
      <c r="E10" s="88">
        <v>385</v>
      </c>
      <c r="H10" s="365"/>
      <c r="I10" s="366"/>
      <c r="J10" s="366"/>
      <c r="K10" s="367"/>
    </row>
    <row r="11" spans="1:11" x14ac:dyDescent="0.25">
      <c r="A11" s="321" t="s">
        <v>582</v>
      </c>
      <c r="B11" s="88">
        <v>371.3</v>
      </c>
      <c r="C11" s="88">
        <v>366</v>
      </c>
      <c r="D11" s="88">
        <v>367.7</v>
      </c>
      <c r="E11" s="88">
        <v>385</v>
      </c>
      <c r="H11" s="365"/>
      <c r="I11" s="366"/>
      <c r="J11" s="366"/>
      <c r="K11" s="367"/>
    </row>
    <row r="12" spans="1:11" x14ac:dyDescent="0.25">
      <c r="A12" s="321" t="s">
        <v>583</v>
      </c>
      <c r="B12" s="88">
        <v>374.3</v>
      </c>
      <c r="C12" s="88">
        <v>368.9</v>
      </c>
      <c r="D12" s="88">
        <v>370.8</v>
      </c>
      <c r="E12" s="88">
        <v>385</v>
      </c>
      <c r="H12" s="365"/>
      <c r="I12" s="366"/>
      <c r="J12" s="366"/>
      <c r="K12" s="367"/>
    </row>
    <row r="13" spans="1:11" x14ac:dyDescent="0.25">
      <c r="A13" s="321" t="s">
        <v>584</v>
      </c>
      <c r="B13" s="88">
        <v>377.2</v>
      </c>
      <c r="C13" s="88">
        <v>372</v>
      </c>
      <c r="D13" s="88">
        <v>373.8</v>
      </c>
      <c r="E13" s="88">
        <v>385</v>
      </c>
      <c r="H13" s="365"/>
      <c r="I13" s="366"/>
      <c r="J13" s="366"/>
      <c r="K13" s="367"/>
    </row>
    <row r="14" spans="1:11" x14ac:dyDescent="0.25">
      <c r="A14" s="321" t="s">
        <v>585</v>
      </c>
      <c r="B14" s="88">
        <v>380.2</v>
      </c>
      <c r="C14" s="88">
        <v>375.1</v>
      </c>
      <c r="D14" s="88">
        <v>376.7</v>
      </c>
      <c r="E14" s="88">
        <v>385</v>
      </c>
      <c r="H14" s="365"/>
      <c r="I14" s="366"/>
      <c r="J14" s="366"/>
      <c r="K14" s="367"/>
    </row>
    <row r="15" spans="1:11" ht="15.75" thickBot="1" x14ac:dyDescent="0.3">
      <c r="A15" s="321" t="s">
        <v>586</v>
      </c>
      <c r="B15" s="88">
        <v>383</v>
      </c>
      <c r="C15" s="88">
        <v>378.1</v>
      </c>
      <c r="D15" s="88">
        <v>379.6</v>
      </c>
      <c r="E15" s="88">
        <v>385</v>
      </c>
      <c r="H15" s="368"/>
      <c r="I15" s="369"/>
      <c r="J15" s="369"/>
      <c r="K15" s="370"/>
    </row>
    <row r="16" spans="1:11" x14ac:dyDescent="0.25">
      <c r="A16" s="321" t="s">
        <v>587</v>
      </c>
      <c r="B16" s="88">
        <v>384.7</v>
      </c>
      <c r="C16" s="88">
        <v>380.2</v>
      </c>
      <c r="D16" s="88">
        <v>381.5</v>
      </c>
      <c r="E16" s="88">
        <v>385</v>
      </c>
    </row>
    <row r="17" spans="1:5" x14ac:dyDescent="0.25">
      <c r="A17" s="321" t="s">
        <v>588</v>
      </c>
      <c r="B17" s="88">
        <v>385.6</v>
      </c>
      <c r="C17" s="88">
        <v>381.8</v>
      </c>
      <c r="D17" s="88">
        <v>383</v>
      </c>
      <c r="E17" s="88">
        <v>385</v>
      </c>
    </row>
    <row r="18" spans="1:5" x14ac:dyDescent="0.25">
      <c r="A18" s="321" t="s">
        <v>589</v>
      </c>
      <c r="B18" s="88">
        <v>386.2</v>
      </c>
      <c r="C18" s="88">
        <v>383.2</v>
      </c>
      <c r="D18" s="88">
        <v>383.9</v>
      </c>
      <c r="E18" s="88">
        <v>385</v>
      </c>
    </row>
    <row r="19" spans="1:5" x14ac:dyDescent="0.25">
      <c r="A19" s="321" t="s">
        <v>590</v>
      </c>
      <c r="B19" s="88">
        <v>386.4</v>
      </c>
      <c r="C19" s="88">
        <v>384</v>
      </c>
      <c r="D19" s="88">
        <v>384.6</v>
      </c>
      <c r="E19" s="88">
        <v>385</v>
      </c>
    </row>
    <row r="20" spans="1:5" x14ac:dyDescent="0.25">
      <c r="A20" s="321" t="s">
        <v>591</v>
      </c>
      <c r="B20" s="88">
        <v>386.5</v>
      </c>
      <c r="C20" s="88">
        <v>384.6</v>
      </c>
      <c r="D20" s="88">
        <v>385</v>
      </c>
      <c r="E20" s="88">
        <v>385</v>
      </c>
    </row>
    <row r="21" spans="1:5" x14ac:dyDescent="0.25">
      <c r="A21" s="321" t="s">
        <v>592</v>
      </c>
      <c r="B21" s="88">
        <v>386.4</v>
      </c>
      <c r="C21" s="88">
        <v>385</v>
      </c>
      <c r="D21" s="88">
        <v>385.3</v>
      </c>
      <c r="E21" s="88">
        <v>385</v>
      </c>
    </row>
    <row r="22" spans="1:5" x14ac:dyDescent="0.25">
      <c r="A22" s="321" t="s">
        <v>593</v>
      </c>
      <c r="B22" s="88">
        <v>386.2</v>
      </c>
      <c r="C22" s="88">
        <v>385.2</v>
      </c>
      <c r="D22" s="88">
        <v>385.5</v>
      </c>
      <c r="E22" s="88">
        <v>385</v>
      </c>
    </row>
    <row r="23" spans="1:5" x14ac:dyDescent="0.25">
      <c r="A23" s="321" t="s">
        <v>594</v>
      </c>
      <c r="B23" s="88">
        <v>386</v>
      </c>
      <c r="C23" s="88">
        <v>385.4</v>
      </c>
      <c r="D23" s="88">
        <v>385.5</v>
      </c>
      <c r="E23" s="88">
        <v>385</v>
      </c>
    </row>
    <row r="24" spans="1:5" x14ac:dyDescent="0.25">
      <c r="A24" s="321" t="s">
        <v>595</v>
      </c>
      <c r="B24" s="88">
        <v>385.8</v>
      </c>
      <c r="C24" s="88">
        <v>385.4</v>
      </c>
      <c r="D24" s="88">
        <v>385.6</v>
      </c>
      <c r="E24" s="88">
        <v>385</v>
      </c>
    </row>
    <row r="25" spans="1:5" x14ac:dyDescent="0.25">
      <c r="A25" s="321" t="s">
        <v>596</v>
      </c>
      <c r="B25" s="88">
        <v>385.7</v>
      </c>
      <c r="C25" s="88">
        <v>385.5</v>
      </c>
      <c r="D25" s="88">
        <v>385.6</v>
      </c>
      <c r="E25" s="88">
        <v>385</v>
      </c>
    </row>
    <row r="26" spans="1:5" x14ac:dyDescent="0.25">
      <c r="A26" s="321" t="s">
        <v>597</v>
      </c>
      <c r="B26" s="88">
        <v>385.5</v>
      </c>
      <c r="C26" s="88">
        <v>385.5</v>
      </c>
      <c r="D26" s="88">
        <v>385.5</v>
      </c>
      <c r="E26" s="88">
        <v>385</v>
      </c>
    </row>
    <row r="27" spans="1:5" x14ac:dyDescent="0.25">
      <c r="A27" s="321" t="s">
        <v>598</v>
      </c>
      <c r="B27" s="88">
        <v>385.3</v>
      </c>
      <c r="C27" s="88">
        <v>385.4</v>
      </c>
      <c r="D27" s="88">
        <v>385.5</v>
      </c>
      <c r="E27" s="88">
        <v>385</v>
      </c>
    </row>
    <row r="28" spans="1:5" x14ac:dyDescent="0.25">
      <c r="A28" s="321" t="s">
        <v>599</v>
      </c>
      <c r="B28" s="88">
        <v>385.2</v>
      </c>
      <c r="C28" s="88">
        <v>385.4</v>
      </c>
      <c r="D28" s="88">
        <v>385.5</v>
      </c>
      <c r="E28" s="88">
        <v>385</v>
      </c>
    </row>
    <row r="29" spans="1:5" x14ac:dyDescent="0.25">
      <c r="A29" s="321" t="s">
        <v>600</v>
      </c>
      <c r="B29" s="88">
        <v>385.1</v>
      </c>
      <c r="C29" s="88">
        <v>385.3</v>
      </c>
      <c r="D29" s="88">
        <v>385.5</v>
      </c>
      <c r="E29" s="88">
        <v>385</v>
      </c>
    </row>
    <row r="30" spans="1:5" x14ac:dyDescent="0.25">
      <c r="A30" s="321" t="s">
        <v>601</v>
      </c>
      <c r="B30" s="88">
        <v>385.1</v>
      </c>
      <c r="C30" s="88">
        <v>385.3</v>
      </c>
      <c r="D30" s="88">
        <v>385.6</v>
      </c>
      <c r="E30" s="88">
        <v>385</v>
      </c>
    </row>
    <row r="31" spans="1:5" x14ac:dyDescent="0.25">
      <c r="A31" s="321" t="s">
        <v>602</v>
      </c>
      <c r="B31" s="88">
        <v>385</v>
      </c>
      <c r="C31" s="88">
        <v>385.3</v>
      </c>
      <c r="D31" s="88">
        <v>385.5</v>
      </c>
      <c r="E31" s="88">
        <v>385</v>
      </c>
    </row>
    <row r="32" spans="1:5" x14ac:dyDescent="0.25">
      <c r="A32" s="321" t="s">
        <v>603</v>
      </c>
      <c r="B32" s="88">
        <v>385</v>
      </c>
      <c r="C32" s="88">
        <v>385.3</v>
      </c>
      <c r="D32" s="88">
        <v>385.5</v>
      </c>
      <c r="E32" s="88">
        <v>385</v>
      </c>
    </row>
    <row r="33" spans="1:5" x14ac:dyDescent="0.25">
      <c r="A33" s="321" t="s">
        <v>604</v>
      </c>
      <c r="B33" s="88">
        <v>384.8</v>
      </c>
      <c r="C33" s="88">
        <v>385.2</v>
      </c>
      <c r="D33" s="88">
        <v>385.4</v>
      </c>
      <c r="E33" s="88">
        <v>385</v>
      </c>
    </row>
    <row r="34" spans="1:5" x14ac:dyDescent="0.25">
      <c r="A34" s="321" t="s">
        <v>605</v>
      </c>
      <c r="B34" s="88">
        <v>384.8</v>
      </c>
      <c r="C34" s="88">
        <v>385.2</v>
      </c>
      <c r="D34" s="88">
        <v>385.4</v>
      </c>
      <c r="E34" s="88">
        <v>385</v>
      </c>
    </row>
    <row r="35" spans="1:5" x14ac:dyDescent="0.25">
      <c r="A35" s="321" t="s">
        <v>606</v>
      </c>
      <c r="B35" s="88">
        <v>384.8</v>
      </c>
      <c r="C35" s="88">
        <v>385.2</v>
      </c>
      <c r="D35" s="88">
        <v>385.4</v>
      </c>
      <c r="E35" s="88">
        <v>385</v>
      </c>
    </row>
    <row r="36" spans="1:5" x14ac:dyDescent="0.25">
      <c r="A36" s="321" t="s">
        <v>607</v>
      </c>
      <c r="B36" s="88">
        <v>384.8</v>
      </c>
      <c r="C36" s="88">
        <v>385.2</v>
      </c>
      <c r="D36" s="88">
        <v>385.4</v>
      </c>
      <c r="E36" s="88">
        <v>385</v>
      </c>
    </row>
    <row r="37" spans="1:5" x14ac:dyDescent="0.25">
      <c r="A37" s="321" t="s">
        <v>608</v>
      </c>
      <c r="B37" s="88">
        <v>384.8</v>
      </c>
      <c r="C37" s="88">
        <v>385.2</v>
      </c>
      <c r="D37" s="88">
        <v>385.4</v>
      </c>
      <c r="E37" s="88">
        <v>385</v>
      </c>
    </row>
    <row r="38" spans="1:5" x14ac:dyDescent="0.25">
      <c r="A38" s="321" t="s">
        <v>609</v>
      </c>
      <c r="B38" s="88">
        <v>384.7</v>
      </c>
      <c r="C38" s="88">
        <v>385.1</v>
      </c>
      <c r="D38" s="88">
        <v>385.3</v>
      </c>
      <c r="E38" s="88">
        <v>385</v>
      </c>
    </row>
    <row r="39" spans="1:5" x14ac:dyDescent="0.25">
      <c r="A39" s="321" t="s">
        <v>610</v>
      </c>
      <c r="B39" s="88">
        <v>384.7</v>
      </c>
      <c r="C39" s="88">
        <v>385.1</v>
      </c>
      <c r="D39" s="88">
        <v>385.3</v>
      </c>
      <c r="E39" s="88">
        <v>385</v>
      </c>
    </row>
    <row r="40" spans="1:5" x14ac:dyDescent="0.25">
      <c r="A40" s="321" t="s">
        <v>611</v>
      </c>
      <c r="B40" s="88">
        <v>384.7</v>
      </c>
      <c r="C40" s="88">
        <v>385.1</v>
      </c>
      <c r="D40" s="88">
        <v>385.3</v>
      </c>
      <c r="E40" s="88">
        <v>385</v>
      </c>
    </row>
    <row r="41" spans="1:5" x14ac:dyDescent="0.25">
      <c r="A41" s="321" t="s">
        <v>612</v>
      </c>
      <c r="B41" s="88">
        <v>384.7</v>
      </c>
      <c r="C41" s="88">
        <v>385.1</v>
      </c>
      <c r="D41" s="88">
        <v>385.3</v>
      </c>
      <c r="E41" s="88">
        <v>385</v>
      </c>
    </row>
    <row r="42" spans="1:5" x14ac:dyDescent="0.25">
      <c r="A42" s="321" t="s">
        <v>613</v>
      </c>
      <c r="B42" s="88">
        <v>384.6</v>
      </c>
      <c r="C42" s="88">
        <v>385.1</v>
      </c>
      <c r="D42" s="88">
        <v>385.4</v>
      </c>
      <c r="E42" s="88">
        <v>385</v>
      </c>
    </row>
    <row r="43" spans="1:5" x14ac:dyDescent="0.25">
      <c r="A43" s="321" t="s">
        <v>614</v>
      </c>
      <c r="B43" s="88">
        <v>384.7</v>
      </c>
      <c r="C43" s="88">
        <v>385.1</v>
      </c>
      <c r="D43" s="88">
        <v>385.3</v>
      </c>
      <c r="E43" s="88">
        <v>385</v>
      </c>
    </row>
    <row r="44" spans="1:5" x14ac:dyDescent="0.25">
      <c r="A44" s="321" t="s">
        <v>615</v>
      </c>
      <c r="B44" s="88">
        <v>384.7</v>
      </c>
      <c r="C44" s="88">
        <v>385.1</v>
      </c>
      <c r="D44" s="88">
        <v>385.3</v>
      </c>
      <c r="E44" s="88">
        <v>385</v>
      </c>
    </row>
    <row r="45" spans="1:5" x14ac:dyDescent="0.25">
      <c r="A45" s="321" t="s">
        <v>616</v>
      </c>
      <c r="B45" s="88">
        <v>384.7</v>
      </c>
      <c r="C45" s="88">
        <v>385.1</v>
      </c>
      <c r="D45" s="88">
        <v>385.3</v>
      </c>
      <c r="E45" s="88">
        <v>385</v>
      </c>
    </row>
    <row r="46" spans="1:5" x14ac:dyDescent="0.25">
      <c r="A46" s="321" t="s">
        <v>617</v>
      </c>
      <c r="B46" s="88">
        <v>384.7</v>
      </c>
      <c r="C46" s="88">
        <v>385.1</v>
      </c>
      <c r="D46" s="88">
        <v>385.3</v>
      </c>
      <c r="E46" s="88">
        <v>385</v>
      </c>
    </row>
    <row r="47" spans="1:5" x14ac:dyDescent="0.25">
      <c r="A47" s="321" t="s">
        <v>618</v>
      </c>
      <c r="B47" s="88">
        <v>384.6</v>
      </c>
      <c r="C47" s="88">
        <v>385.1</v>
      </c>
      <c r="D47" s="88">
        <v>385.3</v>
      </c>
      <c r="E47" s="88">
        <v>385</v>
      </c>
    </row>
    <row r="48" spans="1:5" x14ac:dyDescent="0.25">
      <c r="A48" s="321" t="s">
        <v>619</v>
      </c>
      <c r="B48" s="88">
        <v>384.6</v>
      </c>
      <c r="C48" s="88">
        <v>385.1</v>
      </c>
      <c r="D48" s="88">
        <v>385.3</v>
      </c>
      <c r="E48" s="88">
        <v>385</v>
      </c>
    </row>
    <row r="49" spans="1:5" x14ac:dyDescent="0.25">
      <c r="A49" s="321" t="s">
        <v>620</v>
      </c>
      <c r="B49" s="88">
        <v>384.6</v>
      </c>
      <c r="C49" s="88">
        <v>385.1</v>
      </c>
      <c r="D49" s="88">
        <v>385.3</v>
      </c>
      <c r="E49" s="88">
        <v>385</v>
      </c>
    </row>
    <row r="50" spans="1:5" x14ac:dyDescent="0.25">
      <c r="A50" s="321" t="s">
        <v>621</v>
      </c>
      <c r="B50" s="88">
        <v>384.6</v>
      </c>
      <c r="C50" s="88">
        <v>385</v>
      </c>
      <c r="D50" s="88">
        <v>385.3</v>
      </c>
      <c r="E50" s="88">
        <v>385</v>
      </c>
    </row>
    <row r="51" spans="1:5" x14ac:dyDescent="0.25">
      <c r="A51" s="321" t="s">
        <v>622</v>
      </c>
      <c r="B51" s="88">
        <v>384.6</v>
      </c>
      <c r="C51" s="88">
        <v>385</v>
      </c>
      <c r="D51" s="88">
        <v>385.3</v>
      </c>
      <c r="E51" s="88">
        <v>385</v>
      </c>
    </row>
    <row r="52" spans="1:5" x14ac:dyDescent="0.25">
      <c r="A52" s="321" t="s">
        <v>623</v>
      </c>
      <c r="B52" s="88">
        <v>384.6</v>
      </c>
      <c r="C52" s="88">
        <v>385.1</v>
      </c>
      <c r="D52" s="88">
        <v>385.3</v>
      </c>
      <c r="E52" s="88">
        <v>385</v>
      </c>
    </row>
    <row r="53" spans="1:5" x14ac:dyDescent="0.25">
      <c r="A53" s="321" t="s">
        <v>624</v>
      </c>
      <c r="B53" s="88">
        <v>384.6</v>
      </c>
      <c r="C53" s="88">
        <v>385.1</v>
      </c>
      <c r="D53" s="88">
        <v>385.3</v>
      </c>
      <c r="E53" s="88">
        <v>385</v>
      </c>
    </row>
    <row r="54" spans="1:5" x14ac:dyDescent="0.25">
      <c r="A54" s="321" t="s">
        <v>625</v>
      </c>
      <c r="B54" s="88">
        <v>384.5</v>
      </c>
      <c r="C54" s="88">
        <v>385.1</v>
      </c>
      <c r="D54" s="88">
        <v>385.3</v>
      </c>
      <c r="E54" s="88">
        <v>385</v>
      </c>
    </row>
    <row r="55" spans="1:5" x14ac:dyDescent="0.25">
      <c r="A55" s="321" t="s">
        <v>626</v>
      </c>
      <c r="B55" s="88">
        <v>384.5</v>
      </c>
      <c r="C55" s="88">
        <v>385.1</v>
      </c>
      <c r="D55" s="88">
        <v>385.3</v>
      </c>
      <c r="E55" s="88">
        <v>385</v>
      </c>
    </row>
  </sheetData>
  <sheetProtection algorithmName="SHA-512" hashValue="pfRH1yvV034y/RpsgBdABEmtIGty27JGySB7oOTm0SQOYoqdI5qIgRDnqd5XrYU8psFWbu7RNNW6e3+Dt9XUoA==" saltValue="6R7Bi5xRk8SfDg0iurRhp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59"/>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8" t="s">
        <v>627</v>
      </c>
      <c r="B2">
        <v>489.3</v>
      </c>
      <c r="C2">
        <v>486.5</v>
      </c>
      <c r="D2">
        <v>485.8</v>
      </c>
      <c r="E2">
        <v>535</v>
      </c>
    </row>
    <row r="3" spans="1:11" x14ac:dyDescent="0.25">
      <c r="A3" s="321" t="s">
        <v>628</v>
      </c>
      <c r="B3" s="88">
        <v>491.8</v>
      </c>
      <c r="C3" s="88">
        <v>488.9</v>
      </c>
      <c r="D3" s="88">
        <v>488.2</v>
      </c>
      <c r="E3" s="88">
        <v>535</v>
      </c>
    </row>
    <row r="4" spans="1:11" x14ac:dyDescent="0.25">
      <c r="A4" s="321" t="s">
        <v>629</v>
      </c>
      <c r="B4" s="88">
        <v>494.1</v>
      </c>
      <c r="C4" s="88">
        <v>491.5</v>
      </c>
      <c r="D4" s="88">
        <v>490.6</v>
      </c>
      <c r="E4" s="88">
        <v>535</v>
      </c>
    </row>
    <row r="5" spans="1:11" x14ac:dyDescent="0.25">
      <c r="A5" s="321" t="s">
        <v>630</v>
      </c>
      <c r="B5" s="88">
        <v>496.6</v>
      </c>
      <c r="C5" s="88">
        <v>493.9</v>
      </c>
      <c r="D5" s="88">
        <v>493</v>
      </c>
      <c r="E5" s="88">
        <v>535</v>
      </c>
    </row>
    <row r="6" spans="1:11" x14ac:dyDescent="0.25">
      <c r="A6" s="321" t="s">
        <v>631</v>
      </c>
      <c r="B6" s="88">
        <v>499</v>
      </c>
      <c r="C6" s="88">
        <v>496.4</v>
      </c>
      <c r="D6" s="88">
        <v>495.4</v>
      </c>
      <c r="E6" s="88">
        <v>535</v>
      </c>
    </row>
    <row r="7" spans="1:11" x14ac:dyDescent="0.25">
      <c r="A7" s="321" t="s">
        <v>632</v>
      </c>
      <c r="B7" s="88">
        <v>501.4</v>
      </c>
      <c r="C7" s="88">
        <v>498.8</v>
      </c>
      <c r="D7" s="88">
        <v>497.8</v>
      </c>
      <c r="E7" s="88">
        <v>535</v>
      </c>
    </row>
    <row r="8" spans="1:11" ht="15.75" thickBot="1" x14ac:dyDescent="0.3">
      <c r="A8" s="321" t="s">
        <v>633</v>
      </c>
      <c r="B8" s="88">
        <v>503.6</v>
      </c>
      <c r="C8" s="88">
        <v>501.1</v>
      </c>
      <c r="D8" s="88">
        <v>500.2</v>
      </c>
      <c r="E8" s="88">
        <v>535</v>
      </c>
    </row>
    <row r="9" spans="1:11" x14ac:dyDescent="0.25">
      <c r="A9" s="321" t="s">
        <v>634</v>
      </c>
      <c r="B9" s="88">
        <v>505.9</v>
      </c>
      <c r="C9" s="88">
        <v>503.4</v>
      </c>
      <c r="D9" s="88">
        <v>502.6</v>
      </c>
      <c r="E9" s="88">
        <v>535</v>
      </c>
      <c r="H9" s="362" t="s">
        <v>525</v>
      </c>
      <c r="I9" s="363"/>
      <c r="J9" s="363"/>
      <c r="K9" s="364"/>
    </row>
    <row r="10" spans="1:11" x14ac:dyDescent="0.25">
      <c r="A10" s="321" t="s">
        <v>635</v>
      </c>
      <c r="B10" s="88">
        <v>508.4</v>
      </c>
      <c r="C10" s="88">
        <v>505.9</v>
      </c>
      <c r="D10" s="88">
        <v>505</v>
      </c>
      <c r="E10" s="88">
        <v>535</v>
      </c>
      <c r="H10" s="365"/>
      <c r="I10" s="366"/>
      <c r="J10" s="366"/>
      <c r="K10" s="367"/>
    </row>
    <row r="11" spans="1:11" x14ac:dyDescent="0.25">
      <c r="A11" s="321" t="s">
        <v>636</v>
      </c>
      <c r="B11" s="88">
        <v>510.6</v>
      </c>
      <c r="C11" s="88">
        <v>508.3</v>
      </c>
      <c r="D11" s="88">
        <v>507.3</v>
      </c>
      <c r="E11" s="88">
        <v>535</v>
      </c>
      <c r="H11" s="365"/>
      <c r="I11" s="366"/>
      <c r="J11" s="366"/>
      <c r="K11" s="367"/>
    </row>
    <row r="12" spans="1:11" x14ac:dyDescent="0.25">
      <c r="A12" s="321" t="s">
        <v>637</v>
      </c>
      <c r="B12" s="88">
        <v>513</v>
      </c>
      <c r="C12" s="88">
        <v>510.7</v>
      </c>
      <c r="D12" s="88">
        <v>509.5</v>
      </c>
      <c r="E12" s="88">
        <v>535</v>
      </c>
      <c r="H12" s="365"/>
      <c r="I12" s="366"/>
      <c r="J12" s="366"/>
      <c r="K12" s="367"/>
    </row>
    <row r="13" spans="1:11" x14ac:dyDescent="0.25">
      <c r="A13" s="321" t="s">
        <v>638</v>
      </c>
      <c r="B13" s="88">
        <v>515.29999999999995</v>
      </c>
      <c r="C13" s="88">
        <v>513</v>
      </c>
      <c r="D13" s="88">
        <v>511.9</v>
      </c>
      <c r="E13" s="88">
        <v>535</v>
      </c>
      <c r="H13" s="365"/>
      <c r="I13" s="366"/>
      <c r="J13" s="366"/>
      <c r="K13" s="367"/>
    </row>
    <row r="14" spans="1:11" x14ac:dyDescent="0.25">
      <c r="A14" s="321" t="s">
        <v>639</v>
      </c>
      <c r="B14" s="88">
        <v>517.5</v>
      </c>
      <c r="C14" s="88">
        <v>515.29999999999995</v>
      </c>
      <c r="D14" s="88">
        <v>514.20000000000005</v>
      </c>
      <c r="E14" s="88">
        <v>535</v>
      </c>
      <c r="H14" s="365"/>
      <c r="I14" s="366"/>
      <c r="J14" s="366"/>
      <c r="K14" s="367"/>
    </row>
    <row r="15" spans="1:11" ht="15.75" thickBot="1" x14ac:dyDescent="0.3">
      <c r="A15" s="321" t="s">
        <v>640</v>
      </c>
      <c r="B15" s="88">
        <v>519.70000000000005</v>
      </c>
      <c r="C15" s="88">
        <v>517.5</v>
      </c>
      <c r="D15" s="88">
        <v>516.4</v>
      </c>
      <c r="E15" s="88">
        <v>535</v>
      </c>
      <c r="H15" s="368"/>
      <c r="I15" s="369"/>
      <c r="J15" s="369"/>
      <c r="K15" s="370"/>
    </row>
    <row r="16" spans="1:11" x14ac:dyDescent="0.25">
      <c r="A16" s="321" t="s">
        <v>641</v>
      </c>
      <c r="B16" s="88">
        <v>522</v>
      </c>
      <c r="C16" s="88">
        <v>519.9</v>
      </c>
      <c r="D16" s="88">
        <v>518.70000000000005</v>
      </c>
      <c r="E16" s="88">
        <v>535</v>
      </c>
    </row>
    <row r="17" spans="1:5" x14ac:dyDescent="0.25">
      <c r="A17" s="321" t="s">
        <v>642</v>
      </c>
      <c r="B17" s="88">
        <v>524.20000000000005</v>
      </c>
      <c r="C17" s="88">
        <v>522.29999999999995</v>
      </c>
      <c r="D17" s="88">
        <v>520.9</v>
      </c>
      <c r="E17" s="88">
        <v>535</v>
      </c>
    </row>
    <row r="18" spans="1:5" x14ac:dyDescent="0.25">
      <c r="A18" s="321" t="s">
        <v>643</v>
      </c>
      <c r="B18" s="88">
        <v>526.29999999999995</v>
      </c>
      <c r="C18" s="88">
        <v>524.4</v>
      </c>
      <c r="D18" s="88">
        <v>523.1</v>
      </c>
      <c r="E18" s="88">
        <v>535</v>
      </c>
    </row>
    <row r="19" spans="1:5" x14ac:dyDescent="0.25">
      <c r="A19" s="321" t="s">
        <v>644</v>
      </c>
      <c r="B19" s="88">
        <v>528.70000000000005</v>
      </c>
      <c r="C19" s="88">
        <v>526.79999999999995</v>
      </c>
      <c r="D19" s="88">
        <v>525.4</v>
      </c>
      <c r="E19" s="88">
        <v>535</v>
      </c>
    </row>
    <row r="20" spans="1:5" x14ac:dyDescent="0.25">
      <c r="A20" s="321" t="s">
        <v>645</v>
      </c>
      <c r="B20" s="88">
        <v>530.29999999999995</v>
      </c>
      <c r="C20" s="88">
        <v>528.70000000000005</v>
      </c>
      <c r="D20" s="88">
        <v>527.20000000000005</v>
      </c>
      <c r="E20" s="88">
        <v>535</v>
      </c>
    </row>
    <row r="21" spans="1:5" x14ac:dyDescent="0.25">
      <c r="A21" s="321" t="s">
        <v>646</v>
      </c>
      <c r="B21" s="88">
        <v>531.6</v>
      </c>
      <c r="C21" s="88">
        <v>530.4</v>
      </c>
      <c r="D21" s="88">
        <v>528.79999999999995</v>
      </c>
      <c r="E21" s="88">
        <v>535</v>
      </c>
    </row>
    <row r="22" spans="1:5" x14ac:dyDescent="0.25">
      <c r="A22" s="321" t="s">
        <v>647</v>
      </c>
      <c r="B22" s="88">
        <v>532.6</v>
      </c>
      <c r="C22" s="88">
        <v>531.79999999999995</v>
      </c>
      <c r="D22" s="88">
        <v>530.20000000000005</v>
      </c>
      <c r="E22" s="88">
        <v>535</v>
      </c>
    </row>
    <row r="23" spans="1:5" x14ac:dyDescent="0.25">
      <c r="A23" s="321" t="s">
        <v>648</v>
      </c>
      <c r="B23" s="88">
        <v>533.29999999999995</v>
      </c>
      <c r="C23" s="88">
        <v>532.9</v>
      </c>
      <c r="D23" s="88">
        <v>531.20000000000005</v>
      </c>
      <c r="E23" s="88">
        <v>535</v>
      </c>
    </row>
    <row r="24" spans="1:5" x14ac:dyDescent="0.25">
      <c r="A24" s="321" t="s">
        <v>649</v>
      </c>
      <c r="B24" s="88">
        <v>533.79999999999995</v>
      </c>
      <c r="C24" s="88">
        <v>533.70000000000005</v>
      </c>
      <c r="D24" s="88">
        <v>532</v>
      </c>
      <c r="E24" s="88">
        <v>535</v>
      </c>
    </row>
    <row r="25" spans="1:5" x14ac:dyDescent="0.25">
      <c r="A25" s="321" t="s">
        <v>650</v>
      </c>
      <c r="B25" s="88">
        <v>534.1</v>
      </c>
      <c r="C25" s="88">
        <v>534.5</v>
      </c>
      <c r="D25" s="88">
        <v>532.70000000000005</v>
      </c>
      <c r="E25" s="88">
        <v>535</v>
      </c>
    </row>
    <row r="26" spans="1:5" x14ac:dyDescent="0.25">
      <c r="A26" s="321" t="s">
        <v>651</v>
      </c>
      <c r="B26" s="88">
        <v>534.1</v>
      </c>
      <c r="C26" s="88">
        <v>534.9</v>
      </c>
      <c r="D26" s="88">
        <v>533</v>
      </c>
      <c r="E26" s="88">
        <v>535</v>
      </c>
    </row>
    <row r="27" spans="1:5" x14ac:dyDescent="0.25">
      <c r="A27" s="321" t="s">
        <v>652</v>
      </c>
      <c r="B27" s="88">
        <v>534</v>
      </c>
      <c r="C27" s="88">
        <v>535.20000000000005</v>
      </c>
      <c r="D27" s="88">
        <v>533.20000000000005</v>
      </c>
      <c r="E27" s="88">
        <v>535</v>
      </c>
    </row>
    <row r="28" spans="1:5" x14ac:dyDescent="0.25">
      <c r="A28" s="321" t="s">
        <v>653</v>
      </c>
      <c r="B28" s="88">
        <v>534</v>
      </c>
      <c r="C28" s="88">
        <v>535.29999999999995</v>
      </c>
      <c r="D28" s="88">
        <v>533.4</v>
      </c>
      <c r="E28" s="88">
        <v>535</v>
      </c>
    </row>
    <row r="29" spans="1:5" x14ac:dyDescent="0.25">
      <c r="A29" s="321" t="s">
        <v>654</v>
      </c>
      <c r="B29" s="88">
        <v>534</v>
      </c>
      <c r="C29" s="88">
        <v>535.29999999999995</v>
      </c>
      <c r="D29" s="88">
        <v>533.5</v>
      </c>
      <c r="E29" s="88">
        <v>535</v>
      </c>
    </row>
    <row r="30" spans="1:5" x14ac:dyDescent="0.25">
      <c r="A30" s="321" t="s">
        <v>655</v>
      </c>
      <c r="B30" s="88">
        <v>533.9</v>
      </c>
      <c r="C30" s="88">
        <v>535.4</v>
      </c>
      <c r="D30" s="88">
        <v>533.6</v>
      </c>
      <c r="E30" s="88">
        <v>535</v>
      </c>
    </row>
    <row r="31" spans="1:5" x14ac:dyDescent="0.25">
      <c r="A31" s="321" t="s">
        <v>656</v>
      </c>
      <c r="B31" s="88">
        <v>533.9</v>
      </c>
      <c r="C31" s="88">
        <v>535.4</v>
      </c>
      <c r="D31" s="88">
        <v>533.6</v>
      </c>
      <c r="E31" s="88">
        <v>535</v>
      </c>
    </row>
    <row r="32" spans="1:5" x14ac:dyDescent="0.25">
      <c r="A32" s="321" t="s">
        <v>657</v>
      </c>
      <c r="B32" s="88">
        <v>533.79999999999995</v>
      </c>
      <c r="C32" s="88">
        <v>535.4</v>
      </c>
      <c r="D32" s="88">
        <v>533.70000000000005</v>
      </c>
      <c r="E32" s="88">
        <v>535</v>
      </c>
    </row>
    <row r="33" spans="1:5" x14ac:dyDescent="0.25">
      <c r="A33" s="321" t="s">
        <v>658</v>
      </c>
      <c r="B33" s="88">
        <v>533.70000000000005</v>
      </c>
      <c r="C33" s="88">
        <v>535.29999999999995</v>
      </c>
      <c r="D33" s="88">
        <v>533.5</v>
      </c>
      <c r="E33" s="88">
        <v>535</v>
      </c>
    </row>
    <row r="34" spans="1:5" x14ac:dyDescent="0.25">
      <c r="A34" s="321" t="s">
        <v>659</v>
      </c>
      <c r="B34" s="88">
        <v>533.79999999999995</v>
      </c>
      <c r="C34" s="88">
        <v>535.4</v>
      </c>
      <c r="D34" s="88">
        <v>533.70000000000005</v>
      </c>
      <c r="E34" s="88">
        <v>535</v>
      </c>
    </row>
    <row r="35" spans="1:5" x14ac:dyDescent="0.25">
      <c r="A35" s="321" t="s">
        <v>660</v>
      </c>
      <c r="B35" s="88">
        <v>533.70000000000005</v>
      </c>
      <c r="C35" s="88">
        <v>535.29999999999995</v>
      </c>
      <c r="D35" s="88">
        <v>533.70000000000005</v>
      </c>
      <c r="E35" s="88">
        <v>535</v>
      </c>
    </row>
    <row r="36" spans="1:5" x14ac:dyDescent="0.25">
      <c r="A36" s="321" t="s">
        <v>661</v>
      </c>
      <c r="B36" s="88">
        <v>533.70000000000005</v>
      </c>
      <c r="C36" s="88">
        <v>535.20000000000005</v>
      </c>
      <c r="D36" s="88">
        <v>533.5</v>
      </c>
      <c r="E36" s="88">
        <v>535</v>
      </c>
    </row>
    <row r="37" spans="1:5" x14ac:dyDescent="0.25">
      <c r="A37" s="321" t="s">
        <v>662</v>
      </c>
      <c r="B37" s="88">
        <v>533.79999999999995</v>
      </c>
      <c r="C37" s="88">
        <v>535.29999999999995</v>
      </c>
      <c r="D37" s="88">
        <v>533.70000000000005</v>
      </c>
      <c r="E37" s="88">
        <v>535</v>
      </c>
    </row>
    <row r="38" spans="1:5" x14ac:dyDescent="0.25">
      <c r="A38" s="321" t="s">
        <v>663</v>
      </c>
      <c r="B38" s="88">
        <v>533.6</v>
      </c>
      <c r="C38" s="88">
        <v>535.20000000000005</v>
      </c>
      <c r="D38" s="88">
        <v>533.6</v>
      </c>
      <c r="E38" s="88">
        <v>535</v>
      </c>
    </row>
    <row r="39" spans="1:5" x14ac:dyDescent="0.25">
      <c r="A39" s="321" t="s">
        <v>664</v>
      </c>
      <c r="B39" s="88">
        <v>533.70000000000005</v>
      </c>
      <c r="C39" s="88">
        <v>535.20000000000005</v>
      </c>
      <c r="D39" s="88">
        <v>533.6</v>
      </c>
      <c r="E39" s="88">
        <v>535</v>
      </c>
    </row>
    <row r="40" spans="1:5" x14ac:dyDescent="0.25">
      <c r="A40" s="321" t="s">
        <v>665</v>
      </c>
      <c r="B40" s="88">
        <v>533.6</v>
      </c>
      <c r="C40" s="88">
        <v>535.20000000000005</v>
      </c>
      <c r="D40" s="88">
        <v>533.5</v>
      </c>
      <c r="E40" s="88">
        <v>535</v>
      </c>
    </row>
    <row r="41" spans="1:5" x14ac:dyDescent="0.25">
      <c r="A41" s="321" t="s">
        <v>666</v>
      </c>
      <c r="B41" s="88">
        <v>533.5</v>
      </c>
      <c r="C41" s="88">
        <v>535.20000000000005</v>
      </c>
      <c r="D41" s="88">
        <v>533.6</v>
      </c>
      <c r="E41" s="88">
        <v>535</v>
      </c>
    </row>
    <row r="42" spans="1:5" x14ac:dyDescent="0.25">
      <c r="A42" s="321" t="s">
        <v>667</v>
      </c>
      <c r="B42" s="88">
        <v>533.5</v>
      </c>
      <c r="C42" s="88">
        <v>535.20000000000005</v>
      </c>
      <c r="D42" s="88">
        <v>533.6</v>
      </c>
      <c r="E42" s="88">
        <v>535</v>
      </c>
    </row>
    <row r="43" spans="1:5" x14ac:dyDescent="0.25">
      <c r="A43" s="321" t="s">
        <v>668</v>
      </c>
      <c r="B43" s="88">
        <v>533.4</v>
      </c>
      <c r="C43" s="88">
        <v>535.1</v>
      </c>
      <c r="D43" s="88">
        <v>533.6</v>
      </c>
      <c r="E43" s="88">
        <v>535</v>
      </c>
    </row>
    <row r="44" spans="1:5" x14ac:dyDescent="0.25">
      <c r="A44" s="321" t="s">
        <v>669</v>
      </c>
      <c r="B44" s="88">
        <v>533.4</v>
      </c>
      <c r="C44" s="88">
        <v>535.20000000000005</v>
      </c>
      <c r="D44" s="88">
        <v>533.5</v>
      </c>
      <c r="E44" s="88">
        <v>535</v>
      </c>
    </row>
    <row r="45" spans="1:5" x14ac:dyDescent="0.25">
      <c r="A45" s="321" t="s">
        <v>670</v>
      </c>
      <c r="B45" s="88">
        <v>533.4</v>
      </c>
      <c r="C45" s="88">
        <v>535.1</v>
      </c>
      <c r="D45" s="88">
        <v>533.6</v>
      </c>
      <c r="E45" s="88">
        <v>535</v>
      </c>
    </row>
    <row r="46" spans="1:5" x14ac:dyDescent="0.25">
      <c r="A46" s="321" t="s">
        <v>671</v>
      </c>
      <c r="B46" s="88">
        <v>533.5</v>
      </c>
      <c r="C46" s="88">
        <v>535.1</v>
      </c>
      <c r="D46" s="88">
        <v>533.5</v>
      </c>
      <c r="E46" s="88">
        <v>535</v>
      </c>
    </row>
    <row r="47" spans="1:5" x14ac:dyDescent="0.25">
      <c r="A47" s="321" t="s">
        <v>672</v>
      </c>
      <c r="B47" s="88">
        <v>533.5</v>
      </c>
      <c r="C47" s="88">
        <v>535.1</v>
      </c>
      <c r="D47" s="88">
        <v>533.4</v>
      </c>
      <c r="E47" s="88">
        <v>535</v>
      </c>
    </row>
    <row r="48" spans="1:5" x14ac:dyDescent="0.25">
      <c r="A48" s="321" t="s">
        <v>673</v>
      </c>
      <c r="B48" s="88">
        <v>533.5</v>
      </c>
      <c r="C48" s="88">
        <v>535.1</v>
      </c>
      <c r="D48" s="88">
        <v>533.6</v>
      </c>
      <c r="E48" s="88">
        <v>535</v>
      </c>
    </row>
    <row r="49" spans="1:5" x14ac:dyDescent="0.25">
      <c r="A49" s="321" t="s">
        <v>674</v>
      </c>
      <c r="B49" s="88">
        <v>533.5</v>
      </c>
      <c r="C49" s="88">
        <v>535.1</v>
      </c>
      <c r="D49" s="88">
        <v>533.6</v>
      </c>
      <c r="E49" s="88">
        <v>535</v>
      </c>
    </row>
    <row r="50" spans="1:5" x14ac:dyDescent="0.25">
      <c r="A50" s="321" t="s">
        <v>675</v>
      </c>
      <c r="B50" s="88">
        <v>533.5</v>
      </c>
      <c r="C50" s="88">
        <v>535</v>
      </c>
      <c r="D50" s="88">
        <v>533.5</v>
      </c>
      <c r="E50" s="88">
        <v>535</v>
      </c>
    </row>
    <row r="51" spans="1:5" x14ac:dyDescent="0.25">
      <c r="A51" s="321" t="s">
        <v>676</v>
      </c>
      <c r="B51" s="88">
        <v>533.5</v>
      </c>
      <c r="C51" s="88">
        <v>535.1</v>
      </c>
      <c r="D51" s="88">
        <v>533.4</v>
      </c>
      <c r="E51" s="88">
        <v>535</v>
      </c>
    </row>
    <row r="52" spans="1:5" x14ac:dyDescent="0.25">
      <c r="A52" s="321" t="s">
        <v>677</v>
      </c>
      <c r="B52" s="88">
        <v>533.4</v>
      </c>
      <c r="C52" s="88">
        <v>535.1</v>
      </c>
      <c r="D52" s="88">
        <v>533.5</v>
      </c>
      <c r="E52" s="88">
        <v>535</v>
      </c>
    </row>
    <row r="53" spans="1:5" x14ac:dyDescent="0.25">
      <c r="A53" s="321" t="s">
        <v>678</v>
      </c>
      <c r="B53" s="88">
        <v>533.4</v>
      </c>
      <c r="C53" s="88">
        <v>535</v>
      </c>
      <c r="D53" s="88">
        <v>533.4</v>
      </c>
      <c r="E53" s="88">
        <v>535</v>
      </c>
    </row>
    <row r="54" spans="1:5" x14ac:dyDescent="0.25">
      <c r="A54" s="321" t="s">
        <v>679</v>
      </c>
      <c r="B54" s="88">
        <v>533.5</v>
      </c>
      <c r="C54" s="88">
        <v>535.1</v>
      </c>
      <c r="D54" s="88">
        <v>533.6</v>
      </c>
      <c r="E54" s="88">
        <v>535</v>
      </c>
    </row>
    <row r="55" spans="1:5" x14ac:dyDescent="0.25">
      <c r="A55" s="321" t="s">
        <v>680</v>
      </c>
      <c r="B55" s="88">
        <v>533.4</v>
      </c>
      <c r="C55" s="88">
        <v>535.1</v>
      </c>
      <c r="D55" s="88">
        <v>533.5</v>
      </c>
      <c r="E55" s="88">
        <v>535</v>
      </c>
    </row>
    <row r="56" spans="1:5" x14ac:dyDescent="0.25">
      <c r="A56" s="321" t="s">
        <v>681</v>
      </c>
      <c r="B56" s="88">
        <v>533.29999999999995</v>
      </c>
      <c r="C56" s="88">
        <v>535.1</v>
      </c>
      <c r="D56" s="88">
        <v>533.5</v>
      </c>
      <c r="E56" s="88">
        <v>535</v>
      </c>
    </row>
    <row r="57" spans="1:5" x14ac:dyDescent="0.25">
      <c r="A57" s="321" t="s">
        <v>682</v>
      </c>
      <c r="B57" s="88">
        <v>533.29999999999995</v>
      </c>
      <c r="C57" s="88">
        <v>535</v>
      </c>
      <c r="D57" s="88">
        <v>533.5</v>
      </c>
      <c r="E57" s="88">
        <v>535</v>
      </c>
    </row>
    <row r="58" spans="1:5" x14ac:dyDescent="0.25">
      <c r="A58" s="321" t="s">
        <v>683</v>
      </c>
      <c r="B58" s="88">
        <v>533.4</v>
      </c>
      <c r="C58" s="88">
        <v>535.1</v>
      </c>
      <c r="D58" s="88">
        <v>533.6</v>
      </c>
      <c r="E58" s="88">
        <v>535</v>
      </c>
    </row>
    <row r="59" spans="1:5" x14ac:dyDescent="0.25">
      <c r="A59" s="321" t="s">
        <v>684</v>
      </c>
      <c r="B59" s="88">
        <v>533.29999999999995</v>
      </c>
      <c r="C59" s="88">
        <v>535</v>
      </c>
      <c r="D59" s="88">
        <v>533.5</v>
      </c>
      <c r="E59" s="88">
        <v>535</v>
      </c>
    </row>
  </sheetData>
  <sheetProtection algorithmName="SHA-512" hashValue="5k6Fa3h2zXpHQx4khe5qBb8jqGsRj3HAnGjdxqyUynTmX4Nl/asbBbB5r0Oc0H7/HDIp30cE6ibwTR4xgYf5Ug==" saltValue="AFaXSyG8jIjzEMZ1rWEkj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3"/>
  <sheetViews>
    <sheetView topLeftCell="D1" zoomScale="85" zoomScaleNormal="85" workbookViewId="0">
      <selection activeCell="N6" sqref="N6"/>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1" t="str">
        <f>Mesures_Four!D27</f>
        <v>80°C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31" x14ac:dyDescent="0.25">
      <c r="A2" s="145"/>
      <c r="M2" s="23" t="s">
        <v>87</v>
      </c>
      <c r="N2" s="44">
        <f>_xlfn.XLOOKUP(INT(SUBSTITUTE(N6,"Connecteur ", "")),Mesures_Four!C40:C48,Mesures_Four!D40:D48)</f>
        <v>0.26</v>
      </c>
      <c r="O2" s="44">
        <f>_xlfn.XLOOKUP(INT(SUBSTITUTE(O6,"Connecteur ", "")),Mesures_Four!C40:C48,Mesures_Four!D40:D48)</f>
        <v>7.0000000000000007E-2</v>
      </c>
      <c r="P2" s="44">
        <f>_xlfn.XLOOKUP(INT(SUBSTITUTE(P6,"Connecteur ", "")),Mesures_Four!C40:C48,Mesures_Four!D40:D48)</f>
        <v>0.3</v>
      </c>
      <c r="Q2" s="44">
        <f>_xlfn.XLOOKUP(INT(SUBSTITUTE(Q6,"Connecteur ", "")),Mesures_Four!C40:C48,Mesures_Four!D40:D48)</f>
        <v>0.11</v>
      </c>
      <c r="R2" s="44">
        <f>_xlfn.XLOOKUP(INT(SUBSTITUTE(R6,"Connecteur ", "")),Mesures_Four!C40:C48,Mesures_Four!D40:D48)</f>
        <v>0.2</v>
      </c>
      <c r="S2" s="44">
        <f>_xlfn.XLOOKUP(INT(SUBSTITUTE(S6,"Connecteur ", "")),Mesures_Four!C40:C48,Mesures_Four!D40:D48)</f>
        <v>0.3</v>
      </c>
      <c r="T2" s="44">
        <f>_xlfn.XLOOKUP(INT(SUBSTITUTE(T6,"Connecteur ", "")),Mesures_Four!C40:C48,Mesures_Four!D40:D48)</f>
        <v>0.15</v>
      </c>
      <c r="U2" s="44">
        <f>_xlfn.XLOOKUP(INT(SUBSTITUTE(U6,"Connecteur ", "")),Mesures_Four!C40:C48,Mesures_Four!D40:D48)</f>
        <v>0.27</v>
      </c>
      <c r="V2" s="44">
        <f>_xlfn.XLOOKUP(INT(SUBSTITUTE(V6,"Connecteur ", "")),Mesures_Four!C40:C48,Mesures_Four!D40:D48)</f>
        <v>0.27</v>
      </c>
      <c r="W2" s="212"/>
      <c r="X2" s="158"/>
      <c r="Y2" s="158"/>
    </row>
    <row r="3" spans="1:31" x14ac:dyDescent="0.25">
      <c r="M3" s="23" t="s">
        <v>23</v>
      </c>
      <c r="N3" s="44" cm="1">
        <f t="array" ref="N3">_xlfn.XLOOKUP(INT(SUBSTITUTE(N6,"Connecteur ", "")),INT(Mesures_Four!B28:B36),Mesures_Four!D28:D36)</f>
        <v>0.22</v>
      </c>
      <c r="O3" s="44" cm="1">
        <f t="array" ref="O3">_xlfn.XLOOKUP(INT(SUBSTITUTE(O6,"Connecteur ", "")),INT(Mesures_Four!B28:B36),Mesures_Four!D28:D36)</f>
        <v>0.22</v>
      </c>
      <c r="P3" s="44" cm="1">
        <f t="array" ref="P3">_xlfn.XLOOKUP(INT(SUBSTITUTE(P6,"Connecteur ", "")),INT(Mesures_Four!B28:B36),Mesures_Four!D28:D36)</f>
        <v>0.22</v>
      </c>
      <c r="Q3" s="44" cm="1">
        <f t="array" ref="Q3">_xlfn.XLOOKUP(INT(SUBSTITUTE(Q6,"Connecteur ", "")),INT(Mesures_Four!B28:B36),Mesures_Four!D28:D36)</f>
        <v>0.22</v>
      </c>
      <c r="R3" s="44" cm="1">
        <f t="array" ref="R3">_xlfn.XLOOKUP(INT(SUBSTITUTE(R6,"Connecteur ", "")),INT(Mesures_Four!B28:B36),Mesures_Four!D28:D36)</f>
        <v>0.56000000000000005</v>
      </c>
      <c r="S3" s="44" cm="1">
        <f t="array" ref="S3">_xlfn.XLOOKUP(INT(SUBSTITUTE(S6,"Connecteur ", "")),INT(Mesures_Four!B28:B36),Mesures_Four!D28:D36)</f>
        <v>0.22</v>
      </c>
      <c r="T3" s="44" cm="1">
        <f t="array" ref="T3">_xlfn.XLOOKUP(INT(SUBSTITUTE(T6,"Connecteur ", "")),INT(Mesures_Four!B28:B36),Mesures_Four!D28:D36)</f>
        <v>0.22</v>
      </c>
      <c r="U3" s="44" cm="1">
        <f t="array" ref="U3">_xlfn.XLOOKUP(INT(SUBSTITUTE(U6,"Connecteur ", "")),INT(Mesures_Four!B28:B36),Mesures_Four!D28:D36)</f>
        <v>0.22</v>
      </c>
      <c r="V3" s="44" cm="1">
        <f t="array" ref="V3">_xlfn.XLOOKUP(INT(SUBSTITUTE(V6,"Connecteur ", "")),INT(Mesures_Four!B28:B36),Mesures_Four!D28:D36)</f>
        <v>0.22</v>
      </c>
      <c r="W3" s="212"/>
      <c r="X3" s="158"/>
      <c r="Y3" s="158"/>
    </row>
    <row r="4" spans="1:31" x14ac:dyDescent="0.25">
      <c r="M4" s="23"/>
      <c r="N4" s="210"/>
      <c r="O4" s="210"/>
      <c r="P4" s="210"/>
      <c r="Q4" s="210"/>
      <c r="R4" s="210"/>
      <c r="S4" s="210"/>
      <c r="T4" s="210"/>
      <c r="U4" s="210"/>
      <c r="V4" s="210"/>
      <c r="W4" s="212"/>
      <c r="X4" s="158"/>
      <c r="Y4" s="158"/>
    </row>
    <row r="5" spans="1:31" x14ac:dyDescent="0.25">
      <c r="B5" s="373" t="s">
        <v>330</v>
      </c>
      <c r="C5" s="373"/>
      <c r="D5" s="373"/>
      <c r="E5" s="373"/>
      <c r="F5" s="373"/>
      <c r="G5" s="373"/>
      <c r="H5" s="373"/>
      <c r="I5" s="373"/>
      <c r="J5" s="373"/>
      <c r="N5" s="374" t="s">
        <v>88</v>
      </c>
      <c r="O5" s="374"/>
      <c r="P5" s="374"/>
      <c r="Q5" s="374"/>
      <c r="R5" s="374"/>
      <c r="S5" s="374"/>
      <c r="T5" s="374"/>
      <c r="U5" s="374"/>
      <c r="V5" s="374"/>
    </row>
    <row r="6" spans="1:31" x14ac:dyDescent="0.25">
      <c r="A6" s="207" t="str" cm="1">
        <f t="array" ref="A6:J181">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181">tab_four80[[#All],[Consigne T°]]</f>
        <v>Consigne T°</v>
      </c>
      <c r="Z6" s="201" t="str" cm="1">
        <f t="array" ref="Z6:AC181">tab_four80[[#All],[Date/Heure]:[Pt Chaud]]</f>
        <v>Date/Heure</v>
      </c>
      <c r="AA6" s="201" t="str">
        <v>Pt Froid</v>
      </c>
      <c r="AB6" s="201" t="str">
        <v>Regulation</v>
      </c>
      <c r="AC6" s="201" t="str">
        <v>Pt Chaud</v>
      </c>
      <c r="AE6" s="23"/>
    </row>
    <row r="7" spans="1:31" ht="14.45" customHeight="1" x14ac:dyDescent="0.25">
      <c r="A7" t="str">
        <v>20/02/2024  21:53</v>
      </c>
      <c r="B7">
        <v>41.4</v>
      </c>
      <c r="C7">
        <v>41.28</v>
      </c>
      <c r="D7">
        <v>41.19</v>
      </c>
      <c r="E7">
        <v>41.35</v>
      </c>
      <c r="F7">
        <v>41.22</v>
      </c>
      <c r="G7">
        <v>41.42</v>
      </c>
      <c r="H7">
        <v>41.37</v>
      </c>
      <c r="I7">
        <v>41.58</v>
      </c>
      <c r="J7">
        <v>41.31</v>
      </c>
      <c r="M7" s="504" t="s">
        <v>328</v>
      </c>
      <c r="N7" s="205" cm="1">
        <f t="array" ref="N7:V181">tab_transfert80[[Connecteur 1]:[Connecteur 9]]+N2:V2+N3:V3</f>
        <v>41.879999999999995</v>
      </c>
      <c r="O7" s="205">
        <v>41.57</v>
      </c>
      <c r="P7" s="205">
        <v>41.709999999999994</v>
      </c>
      <c r="Q7" s="205">
        <v>41.68</v>
      </c>
      <c r="R7" s="205">
        <v>41.980000000000004</v>
      </c>
      <c r="S7" s="205">
        <v>41.94</v>
      </c>
      <c r="T7" s="205">
        <v>41.739999999999995</v>
      </c>
      <c r="U7" s="205">
        <v>42.07</v>
      </c>
      <c r="V7" s="205">
        <v>41.800000000000004</v>
      </c>
      <c r="W7" s="213">
        <v>35.200000000000003</v>
      </c>
      <c r="Z7" s="23" t="str">
        <v>20/02/2024  21:53</v>
      </c>
      <c r="AA7" s="27">
        <v>39.9</v>
      </c>
      <c r="AB7" s="27">
        <v>40.1</v>
      </c>
      <c r="AC7" s="27">
        <v>40.5</v>
      </c>
    </row>
    <row r="8" spans="1:31" ht="14.45" customHeight="1" x14ac:dyDescent="0.25">
      <c r="A8" t="str">
        <v>20/02/2024  21:54</v>
      </c>
      <c r="B8">
        <v>41.68</v>
      </c>
      <c r="C8">
        <v>41.6</v>
      </c>
      <c r="D8">
        <v>41.53</v>
      </c>
      <c r="E8">
        <v>41.66</v>
      </c>
      <c r="F8">
        <v>41.69</v>
      </c>
      <c r="G8">
        <v>41.63</v>
      </c>
      <c r="H8">
        <v>41.67</v>
      </c>
      <c r="I8">
        <v>41.85</v>
      </c>
      <c r="J8">
        <v>41.69</v>
      </c>
      <c r="K8" s="327"/>
      <c r="M8" s="504"/>
      <c r="N8" s="205">
        <v>42.16</v>
      </c>
      <c r="O8" s="205">
        <v>41.89</v>
      </c>
      <c r="P8" s="205">
        <v>42.05</v>
      </c>
      <c r="Q8" s="205">
        <v>41.989999999999995</v>
      </c>
      <c r="R8" s="205">
        <v>42.45</v>
      </c>
      <c r="S8" s="205">
        <v>42.15</v>
      </c>
      <c r="T8" s="205">
        <v>42.04</v>
      </c>
      <c r="U8" s="205">
        <v>42.34</v>
      </c>
      <c r="V8" s="205">
        <v>42.18</v>
      </c>
      <c r="W8" s="213">
        <v>35.5</v>
      </c>
      <c r="Z8" s="23" t="str">
        <v>20/02/2024  21:54</v>
      </c>
      <c r="AA8" s="327">
        <v>40.200000000000003</v>
      </c>
      <c r="AB8" s="327">
        <v>40.4</v>
      </c>
      <c r="AC8" s="327">
        <v>41</v>
      </c>
    </row>
    <row r="9" spans="1:31" ht="14.45" customHeight="1" x14ac:dyDescent="0.25">
      <c r="A9" t="str">
        <v>20/02/2024  21:55</v>
      </c>
      <c r="B9">
        <v>41.78</v>
      </c>
      <c r="C9">
        <v>41.75</v>
      </c>
      <c r="D9">
        <v>41.69</v>
      </c>
      <c r="E9">
        <v>41.82</v>
      </c>
      <c r="F9">
        <v>41.75</v>
      </c>
      <c r="G9">
        <v>41.83</v>
      </c>
      <c r="H9">
        <v>41.8</v>
      </c>
      <c r="I9">
        <v>42</v>
      </c>
      <c r="J9">
        <v>41.89</v>
      </c>
      <c r="K9" s="327"/>
      <c r="M9" s="504"/>
      <c r="N9" s="205">
        <v>42.26</v>
      </c>
      <c r="O9" s="205">
        <v>42.04</v>
      </c>
      <c r="P9" s="205">
        <v>42.209999999999994</v>
      </c>
      <c r="Q9" s="205">
        <v>42.15</v>
      </c>
      <c r="R9" s="205">
        <v>42.510000000000005</v>
      </c>
      <c r="S9" s="205">
        <v>42.349999999999994</v>
      </c>
      <c r="T9" s="205">
        <v>42.169999999999995</v>
      </c>
      <c r="U9" s="205">
        <v>42.49</v>
      </c>
      <c r="V9" s="205">
        <v>42.38</v>
      </c>
      <c r="W9" s="213">
        <v>35.799999999999997</v>
      </c>
      <c r="Z9" s="23" t="str">
        <v>20/02/2024  21:55</v>
      </c>
      <c r="AA9" s="327">
        <v>40.5</v>
      </c>
      <c r="AB9" s="327">
        <v>40.6</v>
      </c>
      <c r="AC9" s="327">
        <v>41.3</v>
      </c>
    </row>
    <row r="10" spans="1:31" ht="14.45" customHeight="1" x14ac:dyDescent="0.25">
      <c r="A10" t="str">
        <v>20/02/2024  21:56</v>
      </c>
      <c r="B10">
        <v>42</v>
      </c>
      <c r="C10">
        <v>41.87</v>
      </c>
      <c r="D10">
        <v>41.83</v>
      </c>
      <c r="E10">
        <v>41.95</v>
      </c>
      <c r="F10">
        <v>41.95</v>
      </c>
      <c r="G10">
        <v>41.92</v>
      </c>
      <c r="H10">
        <v>41.97</v>
      </c>
      <c r="I10">
        <v>42.14</v>
      </c>
      <c r="J10">
        <v>42.03</v>
      </c>
      <c r="K10" s="327"/>
      <c r="M10" s="504"/>
      <c r="N10" s="205">
        <v>42.48</v>
      </c>
      <c r="O10" s="205">
        <v>42.16</v>
      </c>
      <c r="P10" s="205">
        <v>42.349999999999994</v>
      </c>
      <c r="Q10" s="205">
        <v>42.28</v>
      </c>
      <c r="R10" s="205">
        <v>42.710000000000008</v>
      </c>
      <c r="S10" s="205">
        <v>42.44</v>
      </c>
      <c r="T10" s="205">
        <v>42.339999999999996</v>
      </c>
      <c r="U10" s="205">
        <v>42.63</v>
      </c>
      <c r="V10" s="205">
        <v>42.52</v>
      </c>
      <c r="W10" s="213">
        <v>36.200000000000003</v>
      </c>
      <c r="Z10" s="23" t="str">
        <v>20/02/2024  21:56</v>
      </c>
      <c r="AA10" s="327">
        <v>40.700000000000003</v>
      </c>
      <c r="AB10" s="327">
        <v>40.799999999999997</v>
      </c>
      <c r="AC10" s="327">
        <v>41.6</v>
      </c>
    </row>
    <row r="11" spans="1:31" ht="14.45" customHeight="1" x14ac:dyDescent="0.25">
      <c r="A11" t="str">
        <v>20/02/2024  21:57</v>
      </c>
      <c r="B11">
        <v>42.2</v>
      </c>
      <c r="C11">
        <v>42.01</v>
      </c>
      <c r="D11">
        <v>42</v>
      </c>
      <c r="E11">
        <v>42.15</v>
      </c>
      <c r="F11">
        <v>42.13</v>
      </c>
      <c r="G11">
        <v>42.06</v>
      </c>
      <c r="H11">
        <v>42.13</v>
      </c>
      <c r="I11">
        <v>42.24</v>
      </c>
      <c r="J11">
        <v>42.11</v>
      </c>
      <c r="K11" s="327"/>
      <c r="M11" s="504"/>
      <c r="N11" s="205">
        <v>42.68</v>
      </c>
      <c r="O11" s="205">
        <v>42.3</v>
      </c>
      <c r="P11" s="205">
        <v>42.519999999999996</v>
      </c>
      <c r="Q11" s="205">
        <v>42.48</v>
      </c>
      <c r="R11" s="205">
        <v>42.890000000000008</v>
      </c>
      <c r="S11" s="205">
        <v>42.58</v>
      </c>
      <c r="T11" s="205">
        <v>42.5</v>
      </c>
      <c r="U11" s="205">
        <v>42.730000000000004</v>
      </c>
      <c r="V11" s="205">
        <v>42.6</v>
      </c>
      <c r="W11" s="213">
        <v>36.5</v>
      </c>
      <c r="Z11" s="23" t="str">
        <v>20/02/2024  21:57</v>
      </c>
      <c r="AA11" s="327">
        <v>40.9</v>
      </c>
      <c r="AB11" s="327">
        <v>41</v>
      </c>
      <c r="AC11" s="327">
        <v>41.8</v>
      </c>
    </row>
    <row r="12" spans="1:31" ht="14.45" customHeight="1" x14ac:dyDescent="0.25">
      <c r="A12" t="str">
        <v>20/02/2024  21:58</v>
      </c>
      <c r="B12">
        <v>42.22</v>
      </c>
      <c r="C12">
        <v>42.16</v>
      </c>
      <c r="D12">
        <v>42.06</v>
      </c>
      <c r="E12">
        <v>42.22</v>
      </c>
      <c r="F12">
        <v>42.17</v>
      </c>
      <c r="G12">
        <v>42.26</v>
      </c>
      <c r="H12">
        <v>42.3</v>
      </c>
      <c r="I12">
        <v>42.44</v>
      </c>
      <c r="J12">
        <v>42.29</v>
      </c>
      <c r="K12" s="327"/>
      <c r="M12" s="504"/>
      <c r="N12" s="205">
        <v>42.699999999999996</v>
      </c>
      <c r="O12" s="205">
        <v>42.449999999999996</v>
      </c>
      <c r="P12" s="205">
        <v>42.58</v>
      </c>
      <c r="Q12" s="205">
        <v>42.55</v>
      </c>
      <c r="R12" s="205">
        <v>42.930000000000007</v>
      </c>
      <c r="S12" s="205">
        <v>42.779999999999994</v>
      </c>
      <c r="T12" s="205">
        <v>42.669999999999995</v>
      </c>
      <c r="U12" s="205">
        <v>42.93</v>
      </c>
      <c r="V12" s="205">
        <v>42.78</v>
      </c>
      <c r="W12" s="213">
        <v>36.799999999999997</v>
      </c>
      <c r="Z12" s="23" t="str">
        <v>20/02/2024  21:58</v>
      </c>
      <c r="AA12" s="327">
        <v>41.1</v>
      </c>
      <c r="AB12" s="327">
        <v>41.1</v>
      </c>
      <c r="AC12" s="327">
        <v>41.9</v>
      </c>
    </row>
    <row r="13" spans="1:31" ht="14.45" customHeight="1" x14ac:dyDescent="0.25">
      <c r="A13" t="str">
        <v>20/02/2024  21:59</v>
      </c>
      <c r="B13">
        <v>42.4</v>
      </c>
      <c r="C13">
        <v>42.29</v>
      </c>
      <c r="D13">
        <v>42.26</v>
      </c>
      <c r="E13">
        <v>42.39</v>
      </c>
      <c r="F13">
        <v>42.35</v>
      </c>
      <c r="G13">
        <v>42.32</v>
      </c>
      <c r="H13">
        <v>42.36</v>
      </c>
      <c r="I13">
        <v>42.51</v>
      </c>
      <c r="J13">
        <v>42.39</v>
      </c>
      <c r="K13" s="327"/>
      <c r="M13" s="504"/>
      <c r="N13" s="205">
        <v>42.879999999999995</v>
      </c>
      <c r="O13" s="205">
        <v>42.58</v>
      </c>
      <c r="P13" s="205">
        <v>42.779999999999994</v>
      </c>
      <c r="Q13" s="205">
        <v>42.72</v>
      </c>
      <c r="R13" s="205">
        <v>43.110000000000007</v>
      </c>
      <c r="S13" s="205">
        <v>42.839999999999996</v>
      </c>
      <c r="T13" s="205">
        <v>42.73</v>
      </c>
      <c r="U13" s="205">
        <v>43</v>
      </c>
      <c r="V13" s="205">
        <v>42.88</v>
      </c>
      <c r="W13" s="213">
        <v>37.200000000000003</v>
      </c>
      <c r="Z13" s="23" t="str">
        <v>20/02/2024  21:59</v>
      </c>
      <c r="AA13" s="327">
        <v>41.2</v>
      </c>
      <c r="AB13" s="327">
        <v>41.3</v>
      </c>
      <c r="AC13" s="327">
        <v>42.1</v>
      </c>
    </row>
    <row r="14" spans="1:31" ht="14.45" customHeight="1" x14ac:dyDescent="0.25">
      <c r="A14" t="str">
        <v>20/02/2024  22:00</v>
      </c>
      <c r="B14">
        <v>42.53</v>
      </c>
      <c r="C14">
        <v>42.42</v>
      </c>
      <c r="D14">
        <v>42.38</v>
      </c>
      <c r="E14">
        <v>42.49</v>
      </c>
      <c r="F14">
        <v>42.47</v>
      </c>
      <c r="G14">
        <v>42.52</v>
      </c>
      <c r="H14">
        <v>42.56</v>
      </c>
      <c r="I14">
        <v>42.64</v>
      </c>
      <c r="J14">
        <v>42.55</v>
      </c>
      <c r="K14" s="327"/>
      <c r="M14" s="504"/>
      <c r="N14" s="205">
        <v>43.01</v>
      </c>
      <c r="O14" s="205">
        <v>42.71</v>
      </c>
      <c r="P14" s="205">
        <v>42.9</v>
      </c>
      <c r="Q14" s="205">
        <v>42.82</v>
      </c>
      <c r="R14" s="205">
        <v>43.230000000000004</v>
      </c>
      <c r="S14" s="205">
        <v>43.04</v>
      </c>
      <c r="T14" s="205">
        <v>42.93</v>
      </c>
      <c r="U14" s="205">
        <v>43.13</v>
      </c>
      <c r="V14" s="205">
        <v>43.04</v>
      </c>
      <c r="W14" s="213">
        <v>37.5</v>
      </c>
      <c r="Z14" s="23" t="str">
        <v>20/02/2024  22:00</v>
      </c>
      <c r="AA14" s="327">
        <v>41.3</v>
      </c>
      <c r="AB14" s="327">
        <v>41.4</v>
      </c>
      <c r="AC14" s="327">
        <v>42.3</v>
      </c>
    </row>
    <row r="15" spans="1:31" ht="14.45" customHeight="1" x14ac:dyDescent="0.25">
      <c r="A15" t="str">
        <v>20/02/2024  22:01</v>
      </c>
      <c r="B15">
        <v>42.62</v>
      </c>
      <c r="C15">
        <v>42.49</v>
      </c>
      <c r="D15">
        <v>42.46</v>
      </c>
      <c r="E15">
        <v>42.57</v>
      </c>
      <c r="F15">
        <v>42.54</v>
      </c>
      <c r="G15">
        <v>42.62</v>
      </c>
      <c r="H15">
        <v>42.64</v>
      </c>
      <c r="I15">
        <v>42.77</v>
      </c>
      <c r="J15">
        <v>42.67</v>
      </c>
      <c r="K15" s="327"/>
      <c r="M15" s="504"/>
      <c r="N15" s="205">
        <v>43.099999999999994</v>
      </c>
      <c r="O15" s="205">
        <v>42.78</v>
      </c>
      <c r="P15" s="205">
        <v>42.98</v>
      </c>
      <c r="Q15" s="205">
        <v>42.9</v>
      </c>
      <c r="R15" s="205">
        <v>43.300000000000004</v>
      </c>
      <c r="S15" s="205">
        <v>43.139999999999993</v>
      </c>
      <c r="T15" s="205">
        <v>43.01</v>
      </c>
      <c r="U15" s="205">
        <v>43.260000000000005</v>
      </c>
      <c r="V15" s="205">
        <v>43.160000000000004</v>
      </c>
      <c r="W15" s="213">
        <v>37.799999999999997</v>
      </c>
      <c r="Z15" s="23" t="str">
        <v>20/02/2024  22:01</v>
      </c>
      <c r="AA15" s="327">
        <v>41.4</v>
      </c>
      <c r="AB15" s="327">
        <v>41.5</v>
      </c>
      <c r="AC15" s="327">
        <v>42.4</v>
      </c>
    </row>
    <row r="16" spans="1:31" ht="14.45" customHeight="1" x14ac:dyDescent="0.25">
      <c r="A16" t="str">
        <v>20/02/2024  22:02</v>
      </c>
      <c r="B16">
        <v>42.82</v>
      </c>
      <c r="C16">
        <v>42.67</v>
      </c>
      <c r="D16">
        <v>42.62</v>
      </c>
      <c r="E16">
        <v>42.76</v>
      </c>
      <c r="F16">
        <v>42.69</v>
      </c>
      <c r="G16">
        <v>42.8</v>
      </c>
      <c r="H16">
        <v>42.78</v>
      </c>
      <c r="I16">
        <v>42.89</v>
      </c>
      <c r="J16">
        <v>42.79</v>
      </c>
      <c r="K16" s="327"/>
      <c r="M16" s="504"/>
      <c r="N16" s="205">
        <v>43.3</v>
      </c>
      <c r="O16" s="205">
        <v>42.96</v>
      </c>
      <c r="P16" s="205">
        <v>43.139999999999993</v>
      </c>
      <c r="Q16" s="205">
        <v>43.089999999999996</v>
      </c>
      <c r="R16" s="205">
        <v>43.45</v>
      </c>
      <c r="S16" s="205">
        <v>43.319999999999993</v>
      </c>
      <c r="T16" s="205">
        <v>43.15</v>
      </c>
      <c r="U16" s="205">
        <v>43.38</v>
      </c>
      <c r="V16" s="205">
        <v>43.28</v>
      </c>
      <c r="W16" s="213">
        <v>38.200000000000003</v>
      </c>
      <c r="Z16" s="23" t="str">
        <v>20/02/2024  22:02</v>
      </c>
      <c r="AA16" s="327">
        <v>41.6</v>
      </c>
      <c r="AB16" s="327">
        <v>41.6</v>
      </c>
      <c r="AC16" s="327">
        <v>42.5</v>
      </c>
    </row>
    <row r="17" spans="1:29" ht="14.45" customHeight="1" x14ac:dyDescent="0.25">
      <c r="A17" t="str">
        <v>20/02/2024  22:03</v>
      </c>
      <c r="B17">
        <v>42.84</v>
      </c>
      <c r="C17">
        <v>42.72</v>
      </c>
      <c r="D17">
        <v>42.71</v>
      </c>
      <c r="E17">
        <v>42.81</v>
      </c>
      <c r="F17">
        <v>42.87</v>
      </c>
      <c r="G17">
        <v>42.83</v>
      </c>
      <c r="H17">
        <v>42.88</v>
      </c>
      <c r="I17">
        <v>42.97</v>
      </c>
      <c r="J17">
        <v>42.89</v>
      </c>
      <c r="K17" s="327"/>
      <c r="M17" s="504"/>
      <c r="N17" s="205">
        <v>43.32</v>
      </c>
      <c r="O17" s="205">
        <v>43.01</v>
      </c>
      <c r="P17" s="205">
        <v>43.23</v>
      </c>
      <c r="Q17" s="205">
        <v>43.14</v>
      </c>
      <c r="R17" s="205">
        <v>43.63</v>
      </c>
      <c r="S17" s="205">
        <v>43.349999999999994</v>
      </c>
      <c r="T17" s="205">
        <v>43.25</v>
      </c>
      <c r="U17" s="205">
        <v>43.46</v>
      </c>
      <c r="V17" s="205">
        <v>43.38</v>
      </c>
      <c r="W17" s="213">
        <v>38.5</v>
      </c>
      <c r="Z17" s="23" t="str">
        <v>20/02/2024  22:03</v>
      </c>
      <c r="AA17" s="327">
        <v>41.7</v>
      </c>
      <c r="AB17" s="327">
        <v>41.8</v>
      </c>
      <c r="AC17" s="327">
        <v>42.7</v>
      </c>
    </row>
    <row r="18" spans="1:29" ht="14.45" customHeight="1" x14ac:dyDescent="0.25">
      <c r="A18" t="str">
        <v>20/02/2024  22:04</v>
      </c>
      <c r="B18">
        <v>42.93</v>
      </c>
      <c r="C18">
        <v>42.86</v>
      </c>
      <c r="D18">
        <v>42.82</v>
      </c>
      <c r="E18">
        <v>42.94</v>
      </c>
      <c r="F18">
        <v>42.96</v>
      </c>
      <c r="G18">
        <v>42.97</v>
      </c>
      <c r="H18">
        <v>42.97</v>
      </c>
      <c r="I18">
        <v>43.12</v>
      </c>
      <c r="J18">
        <v>42.96</v>
      </c>
      <c r="K18" s="327"/>
      <c r="M18" s="504"/>
      <c r="N18" s="205">
        <v>43.41</v>
      </c>
      <c r="O18" s="205">
        <v>43.15</v>
      </c>
      <c r="P18" s="205">
        <v>43.339999999999996</v>
      </c>
      <c r="Q18" s="205">
        <v>43.269999999999996</v>
      </c>
      <c r="R18" s="205">
        <v>43.720000000000006</v>
      </c>
      <c r="S18" s="205">
        <v>43.489999999999995</v>
      </c>
      <c r="T18" s="205">
        <v>43.339999999999996</v>
      </c>
      <c r="U18" s="205">
        <v>43.61</v>
      </c>
      <c r="V18" s="205">
        <v>43.45</v>
      </c>
      <c r="W18" s="213">
        <v>38.799999999999997</v>
      </c>
      <c r="Z18" s="23" t="str">
        <v>20/02/2024  22:04</v>
      </c>
      <c r="AA18" s="327">
        <v>41.9</v>
      </c>
      <c r="AB18" s="327">
        <v>41.9</v>
      </c>
      <c r="AC18" s="327">
        <v>42.8</v>
      </c>
    </row>
    <row r="19" spans="1:29" ht="14.45" customHeight="1" x14ac:dyDescent="0.25">
      <c r="A19" t="str">
        <v>20/02/2024  22:05</v>
      </c>
      <c r="B19">
        <v>43.09</v>
      </c>
      <c r="C19">
        <v>42.99</v>
      </c>
      <c r="D19">
        <v>42.93</v>
      </c>
      <c r="E19">
        <v>43.06</v>
      </c>
      <c r="F19">
        <v>43.07</v>
      </c>
      <c r="G19">
        <v>43.1</v>
      </c>
      <c r="H19">
        <v>43.1</v>
      </c>
      <c r="I19">
        <v>43.22</v>
      </c>
      <c r="J19">
        <v>43.09</v>
      </c>
      <c r="K19" s="327"/>
      <c r="M19" s="504"/>
      <c r="N19" s="205">
        <v>43.57</v>
      </c>
      <c r="O19" s="205">
        <v>43.28</v>
      </c>
      <c r="P19" s="205">
        <v>43.449999999999996</v>
      </c>
      <c r="Q19" s="205">
        <v>43.39</v>
      </c>
      <c r="R19" s="205">
        <v>43.830000000000005</v>
      </c>
      <c r="S19" s="205">
        <v>43.62</v>
      </c>
      <c r="T19" s="205">
        <v>43.47</v>
      </c>
      <c r="U19" s="205">
        <v>43.71</v>
      </c>
      <c r="V19" s="205">
        <v>43.580000000000005</v>
      </c>
      <c r="W19" s="213">
        <v>39.200000000000003</v>
      </c>
      <c r="Z19" s="23" t="str">
        <v>20/02/2024  22:05</v>
      </c>
      <c r="AA19" s="327">
        <v>42</v>
      </c>
      <c r="AB19" s="327">
        <v>42.1</v>
      </c>
      <c r="AC19" s="327">
        <v>42.9</v>
      </c>
    </row>
    <row r="20" spans="1:29" ht="14.45" customHeight="1" x14ac:dyDescent="0.25">
      <c r="A20" t="str">
        <v>20/02/2024  22:06</v>
      </c>
      <c r="B20">
        <v>43.18</v>
      </c>
      <c r="C20">
        <v>43.1</v>
      </c>
      <c r="D20">
        <v>43.05</v>
      </c>
      <c r="E20">
        <v>43.21</v>
      </c>
      <c r="F20">
        <v>43.18</v>
      </c>
      <c r="G20">
        <v>43.23</v>
      </c>
      <c r="H20">
        <v>43.26</v>
      </c>
      <c r="I20">
        <v>43.4</v>
      </c>
      <c r="J20">
        <v>43.25</v>
      </c>
      <c r="K20" s="327"/>
      <c r="M20" s="504"/>
      <c r="N20" s="205">
        <v>43.66</v>
      </c>
      <c r="O20" s="205">
        <v>43.39</v>
      </c>
      <c r="P20" s="205">
        <v>43.569999999999993</v>
      </c>
      <c r="Q20" s="205">
        <v>43.54</v>
      </c>
      <c r="R20" s="205">
        <v>43.940000000000005</v>
      </c>
      <c r="S20" s="205">
        <v>43.749999999999993</v>
      </c>
      <c r="T20" s="205">
        <v>43.629999999999995</v>
      </c>
      <c r="U20" s="205">
        <v>43.89</v>
      </c>
      <c r="V20" s="205">
        <v>43.74</v>
      </c>
      <c r="W20" s="213">
        <v>39.5</v>
      </c>
      <c r="Z20" s="23" t="str">
        <v>20/02/2024  22:06</v>
      </c>
      <c r="AA20" s="327">
        <v>42.1</v>
      </c>
      <c r="AB20" s="327">
        <v>42.2</v>
      </c>
      <c r="AC20" s="327">
        <v>43</v>
      </c>
    </row>
    <row r="21" spans="1:29" ht="14.45" customHeight="1" x14ac:dyDescent="0.25">
      <c r="A21" t="str">
        <v>20/02/2024  22:07</v>
      </c>
      <c r="B21">
        <v>43.29</v>
      </c>
      <c r="C21">
        <v>43.18</v>
      </c>
      <c r="D21">
        <v>43.16</v>
      </c>
      <c r="E21">
        <v>43.31</v>
      </c>
      <c r="F21">
        <v>43.24</v>
      </c>
      <c r="G21">
        <v>43.32</v>
      </c>
      <c r="H21">
        <v>43.34</v>
      </c>
      <c r="I21">
        <v>43.46</v>
      </c>
      <c r="J21">
        <v>43.34</v>
      </c>
      <c r="K21" s="327"/>
      <c r="M21" s="504"/>
      <c r="N21" s="205">
        <v>43.769999999999996</v>
      </c>
      <c r="O21" s="205">
        <v>43.47</v>
      </c>
      <c r="P21" s="205">
        <v>43.679999999999993</v>
      </c>
      <c r="Q21" s="205">
        <v>43.64</v>
      </c>
      <c r="R21" s="205">
        <v>44.000000000000007</v>
      </c>
      <c r="S21" s="205">
        <v>43.839999999999996</v>
      </c>
      <c r="T21" s="205">
        <v>43.71</v>
      </c>
      <c r="U21" s="205">
        <v>43.95</v>
      </c>
      <c r="V21" s="205">
        <v>43.830000000000005</v>
      </c>
      <c r="W21" s="213">
        <v>39.799999999999997</v>
      </c>
      <c r="Z21" s="23" t="str">
        <v>20/02/2024  22:07</v>
      </c>
      <c r="AA21" s="327">
        <v>42.2</v>
      </c>
      <c r="AB21" s="327">
        <v>42.3</v>
      </c>
      <c r="AC21" s="327">
        <v>43.1</v>
      </c>
    </row>
    <row r="22" spans="1:29" ht="14.45" customHeight="1" x14ac:dyDescent="0.25">
      <c r="A22" t="str">
        <v>20/02/2024  22:08</v>
      </c>
      <c r="B22">
        <v>43.45</v>
      </c>
      <c r="C22">
        <v>43.35</v>
      </c>
      <c r="D22">
        <v>43.26</v>
      </c>
      <c r="E22">
        <v>43.41</v>
      </c>
      <c r="F22">
        <v>43.37</v>
      </c>
      <c r="G22">
        <v>43.46</v>
      </c>
      <c r="H22">
        <v>43.42</v>
      </c>
      <c r="I22">
        <v>43.54</v>
      </c>
      <c r="J22">
        <v>43.4</v>
      </c>
      <c r="K22" s="327"/>
      <c r="M22" s="504"/>
      <c r="N22" s="205">
        <v>43.93</v>
      </c>
      <c r="O22" s="205">
        <v>43.64</v>
      </c>
      <c r="P22" s="205">
        <v>43.779999999999994</v>
      </c>
      <c r="Q22" s="205">
        <v>43.739999999999995</v>
      </c>
      <c r="R22" s="205">
        <v>44.13</v>
      </c>
      <c r="S22" s="205">
        <v>43.98</v>
      </c>
      <c r="T22" s="205">
        <v>43.79</v>
      </c>
      <c r="U22" s="205">
        <v>44.03</v>
      </c>
      <c r="V22" s="205">
        <v>43.89</v>
      </c>
      <c r="W22" s="213">
        <v>40.200000000000003</v>
      </c>
      <c r="Z22" s="23" t="str">
        <v>20/02/2024  22:08</v>
      </c>
      <c r="AA22" s="327">
        <v>42.3</v>
      </c>
      <c r="AB22" s="327">
        <v>42.4</v>
      </c>
      <c r="AC22" s="327">
        <v>43.2</v>
      </c>
    </row>
    <row r="23" spans="1:29" ht="14.45" customHeight="1" x14ac:dyDescent="0.25">
      <c r="A23" t="str">
        <v>20/02/2024  22:09</v>
      </c>
      <c r="B23">
        <v>43.5</v>
      </c>
      <c r="C23">
        <v>43.4</v>
      </c>
      <c r="D23">
        <v>43.35</v>
      </c>
      <c r="E23">
        <v>43.5</v>
      </c>
      <c r="F23">
        <v>43.47</v>
      </c>
      <c r="G23">
        <v>43.53</v>
      </c>
      <c r="H23">
        <v>43.52</v>
      </c>
      <c r="I23">
        <v>43.61</v>
      </c>
      <c r="J23">
        <v>43.54</v>
      </c>
      <c r="K23" s="327"/>
      <c r="M23" s="504"/>
      <c r="N23" s="205">
        <v>43.98</v>
      </c>
      <c r="O23" s="205">
        <v>43.69</v>
      </c>
      <c r="P23" s="205">
        <v>43.87</v>
      </c>
      <c r="Q23" s="205">
        <v>43.83</v>
      </c>
      <c r="R23" s="205">
        <v>44.230000000000004</v>
      </c>
      <c r="S23" s="205">
        <v>44.05</v>
      </c>
      <c r="T23" s="205">
        <v>43.89</v>
      </c>
      <c r="U23" s="205">
        <v>44.1</v>
      </c>
      <c r="V23" s="205">
        <v>44.03</v>
      </c>
      <c r="W23" s="213">
        <v>40.5</v>
      </c>
      <c r="Z23" s="23" t="str">
        <v>20/02/2024  22:09</v>
      </c>
      <c r="AA23" s="327">
        <v>42.4</v>
      </c>
      <c r="AB23" s="327">
        <v>42.5</v>
      </c>
      <c r="AC23" s="327">
        <v>43.4</v>
      </c>
    </row>
    <row r="24" spans="1:29" ht="14.45" customHeight="1" x14ac:dyDescent="0.25">
      <c r="A24" t="str">
        <v>20/02/2024  22:10</v>
      </c>
      <c r="B24">
        <v>43.6</v>
      </c>
      <c r="C24">
        <v>43.51</v>
      </c>
      <c r="D24">
        <v>43.49</v>
      </c>
      <c r="E24">
        <v>43.62</v>
      </c>
      <c r="F24">
        <v>43.54</v>
      </c>
      <c r="G24">
        <v>43.6</v>
      </c>
      <c r="H24">
        <v>43.6</v>
      </c>
      <c r="I24">
        <v>43.65</v>
      </c>
      <c r="J24">
        <v>43.62</v>
      </c>
      <c r="K24" s="327"/>
      <c r="M24" s="504"/>
      <c r="N24" s="205">
        <v>44.08</v>
      </c>
      <c r="O24" s="205">
        <v>43.8</v>
      </c>
      <c r="P24" s="205">
        <v>44.01</v>
      </c>
      <c r="Q24" s="205">
        <v>43.949999999999996</v>
      </c>
      <c r="R24" s="205">
        <v>44.300000000000004</v>
      </c>
      <c r="S24" s="205">
        <v>44.12</v>
      </c>
      <c r="T24" s="205">
        <v>43.97</v>
      </c>
      <c r="U24" s="205">
        <v>44.14</v>
      </c>
      <c r="V24" s="205">
        <v>44.11</v>
      </c>
      <c r="W24" s="213">
        <v>40.799999999999997</v>
      </c>
      <c r="Z24" s="23" t="str">
        <v>20/02/2024  22:10</v>
      </c>
      <c r="AA24" s="327">
        <v>42.5</v>
      </c>
      <c r="AB24" s="327">
        <v>42.6</v>
      </c>
      <c r="AC24" s="327">
        <v>43.5</v>
      </c>
    </row>
    <row r="25" spans="1:29" ht="14.45" customHeight="1" x14ac:dyDescent="0.25">
      <c r="A25" t="str">
        <v>20/02/2024  22:11</v>
      </c>
      <c r="B25">
        <v>43.72</v>
      </c>
      <c r="C25">
        <v>43.61</v>
      </c>
      <c r="D25">
        <v>43.57</v>
      </c>
      <c r="E25">
        <v>43.7</v>
      </c>
      <c r="F25">
        <v>43.65</v>
      </c>
      <c r="G25">
        <v>43.71</v>
      </c>
      <c r="H25">
        <v>43.74</v>
      </c>
      <c r="I25">
        <v>43.79</v>
      </c>
      <c r="J25">
        <v>43.7</v>
      </c>
      <c r="K25" s="327"/>
      <c r="M25" s="504"/>
      <c r="N25" s="205">
        <v>44.199999999999996</v>
      </c>
      <c r="O25" s="205">
        <v>43.9</v>
      </c>
      <c r="P25" s="205">
        <v>44.089999999999996</v>
      </c>
      <c r="Q25" s="205">
        <v>44.03</v>
      </c>
      <c r="R25" s="205">
        <v>44.410000000000004</v>
      </c>
      <c r="S25" s="205">
        <v>44.23</v>
      </c>
      <c r="T25" s="205">
        <v>44.11</v>
      </c>
      <c r="U25" s="205">
        <v>44.28</v>
      </c>
      <c r="V25" s="205">
        <v>44.190000000000005</v>
      </c>
      <c r="W25" s="213">
        <v>41.2</v>
      </c>
      <c r="Z25" s="23" t="str">
        <v>20/02/2024  22:11</v>
      </c>
      <c r="AA25" s="327">
        <v>42.6</v>
      </c>
      <c r="AB25" s="327">
        <v>42.8</v>
      </c>
      <c r="AC25" s="327">
        <v>43.6</v>
      </c>
    </row>
    <row r="26" spans="1:29" ht="14.45" customHeight="1" x14ac:dyDescent="0.25">
      <c r="A26" t="str">
        <v>20/02/2024  22:12</v>
      </c>
      <c r="B26">
        <v>43.81</v>
      </c>
      <c r="C26">
        <v>43.74</v>
      </c>
      <c r="D26">
        <v>43.67</v>
      </c>
      <c r="E26">
        <v>43.79</v>
      </c>
      <c r="F26">
        <v>43.7</v>
      </c>
      <c r="G26">
        <v>43.83</v>
      </c>
      <c r="H26">
        <v>43.86</v>
      </c>
      <c r="I26">
        <v>43.94</v>
      </c>
      <c r="J26">
        <v>43.84</v>
      </c>
      <c r="K26" s="327"/>
      <c r="M26" s="504"/>
      <c r="N26" s="205">
        <v>44.29</v>
      </c>
      <c r="O26" s="205">
        <v>44.03</v>
      </c>
      <c r="P26" s="205">
        <v>44.19</v>
      </c>
      <c r="Q26" s="205">
        <v>44.12</v>
      </c>
      <c r="R26" s="205">
        <v>44.460000000000008</v>
      </c>
      <c r="S26" s="205">
        <v>44.349999999999994</v>
      </c>
      <c r="T26" s="205">
        <v>44.23</v>
      </c>
      <c r="U26" s="205">
        <v>44.43</v>
      </c>
      <c r="V26" s="205">
        <v>44.330000000000005</v>
      </c>
      <c r="W26" s="213">
        <v>41.5</v>
      </c>
      <c r="Z26" s="23" t="str">
        <v>20/02/2024  22:12</v>
      </c>
      <c r="AA26" s="327">
        <v>42.7</v>
      </c>
      <c r="AB26" s="327">
        <v>42.9</v>
      </c>
      <c r="AC26" s="327">
        <v>43.7</v>
      </c>
    </row>
    <row r="27" spans="1:29" ht="14.45" customHeight="1" x14ac:dyDescent="0.25">
      <c r="A27" t="str">
        <v>20/02/2024  22:13</v>
      </c>
      <c r="B27">
        <v>43.89</v>
      </c>
      <c r="C27">
        <v>43.81</v>
      </c>
      <c r="D27">
        <v>43.78</v>
      </c>
      <c r="E27">
        <v>43.9</v>
      </c>
      <c r="F27">
        <v>43.82</v>
      </c>
      <c r="G27">
        <v>43.9</v>
      </c>
      <c r="H27">
        <v>43.93</v>
      </c>
      <c r="I27">
        <v>43.97</v>
      </c>
      <c r="J27">
        <v>43.89</v>
      </c>
      <c r="K27" s="327"/>
      <c r="M27" s="504"/>
      <c r="N27" s="205">
        <v>44.37</v>
      </c>
      <c r="O27" s="205">
        <v>44.1</v>
      </c>
      <c r="P27" s="205">
        <v>44.3</v>
      </c>
      <c r="Q27" s="205">
        <v>44.23</v>
      </c>
      <c r="R27" s="205">
        <v>44.580000000000005</v>
      </c>
      <c r="S27" s="205">
        <v>44.419999999999995</v>
      </c>
      <c r="T27" s="205">
        <v>44.3</v>
      </c>
      <c r="U27" s="205">
        <v>44.46</v>
      </c>
      <c r="V27" s="205">
        <v>44.38</v>
      </c>
      <c r="W27" s="213">
        <v>41.8</v>
      </c>
      <c r="Z27" s="23" t="str">
        <v>20/02/2024  22:13</v>
      </c>
      <c r="AA27" s="327">
        <v>42.8</v>
      </c>
      <c r="AB27" s="327">
        <v>42.9</v>
      </c>
      <c r="AC27" s="327">
        <v>43.8</v>
      </c>
    </row>
    <row r="28" spans="1:29" ht="14.45" customHeight="1" x14ac:dyDescent="0.25">
      <c r="A28" t="str">
        <v>20/02/2024  22:14</v>
      </c>
      <c r="B28">
        <v>43.97</v>
      </c>
      <c r="C28">
        <v>43.92</v>
      </c>
      <c r="D28">
        <v>43.87</v>
      </c>
      <c r="E28">
        <v>44</v>
      </c>
      <c r="F28">
        <v>43.97</v>
      </c>
      <c r="G28">
        <v>44.04</v>
      </c>
      <c r="H28">
        <v>44.07</v>
      </c>
      <c r="I28">
        <v>44.13</v>
      </c>
      <c r="J28">
        <v>44</v>
      </c>
      <c r="K28" s="327"/>
      <c r="M28" s="504"/>
      <c r="N28" s="205">
        <v>44.449999999999996</v>
      </c>
      <c r="O28" s="205">
        <v>44.21</v>
      </c>
      <c r="P28" s="205">
        <v>44.389999999999993</v>
      </c>
      <c r="Q28" s="205">
        <v>44.33</v>
      </c>
      <c r="R28" s="205">
        <v>44.730000000000004</v>
      </c>
      <c r="S28" s="205">
        <v>44.559999999999995</v>
      </c>
      <c r="T28" s="205">
        <v>44.44</v>
      </c>
      <c r="U28" s="205">
        <v>44.620000000000005</v>
      </c>
      <c r="V28" s="205">
        <v>44.49</v>
      </c>
      <c r="W28" s="213">
        <v>42.2</v>
      </c>
      <c r="Z28" s="23" t="str">
        <v>20/02/2024  22:14</v>
      </c>
      <c r="AA28" s="327">
        <v>42.9</v>
      </c>
      <c r="AB28" s="327">
        <v>43</v>
      </c>
      <c r="AC28" s="327">
        <v>43.9</v>
      </c>
    </row>
    <row r="29" spans="1:29" ht="14.45" customHeight="1" x14ac:dyDescent="0.25">
      <c r="A29" t="str">
        <v>20/02/2024  22:15</v>
      </c>
      <c r="B29">
        <v>44.12</v>
      </c>
      <c r="C29">
        <v>44</v>
      </c>
      <c r="D29">
        <v>43.93</v>
      </c>
      <c r="E29">
        <v>44.05</v>
      </c>
      <c r="F29">
        <v>44.01</v>
      </c>
      <c r="G29">
        <v>44.14</v>
      </c>
      <c r="H29">
        <v>44.13</v>
      </c>
      <c r="I29">
        <v>44.24</v>
      </c>
      <c r="J29">
        <v>44.1</v>
      </c>
      <c r="K29" s="327"/>
      <c r="M29" s="504"/>
      <c r="N29" s="205">
        <v>44.599999999999994</v>
      </c>
      <c r="O29" s="205">
        <v>44.29</v>
      </c>
      <c r="P29" s="205">
        <v>44.449999999999996</v>
      </c>
      <c r="Q29" s="205">
        <v>44.379999999999995</v>
      </c>
      <c r="R29" s="205">
        <v>44.77</v>
      </c>
      <c r="S29" s="205">
        <v>44.66</v>
      </c>
      <c r="T29" s="205">
        <v>44.5</v>
      </c>
      <c r="U29" s="205">
        <v>44.730000000000004</v>
      </c>
      <c r="V29" s="205">
        <v>44.59</v>
      </c>
      <c r="W29" s="213">
        <v>42.5</v>
      </c>
      <c r="Z29" s="23" t="str">
        <v>20/02/2024  22:15</v>
      </c>
      <c r="AA29" s="327">
        <v>43</v>
      </c>
      <c r="AB29" s="327">
        <v>43.1</v>
      </c>
      <c r="AC29" s="327">
        <v>44</v>
      </c>
    </row>
    <row r="30" spans="1:29" ht="14.45" customHeight="1" x14ac:dyDescent="0.25">
      <c r="A30" t="str">
        <v>20/02/2024  22:16</v>
      </c>
      <c r="B30">
        <v>44.14</v>
      </c>
      <c r="C30">
        <v>44.07</v>
      </c>
      <c r="D30">
        <v>44.01</v>
      </c>
      <c r="E30">
        <v>44.17</v>
      </c>
      <c r="F30">
        <v>44.14</v>
      </c>
      <c r="G30">
        <v>44.26</v>
      </c>
      <c r="H30">
        <v>44.23</v>
      </c>
      <c r="I30">
        <v>44.34</v>
      </c>
      <c r="J30">
        <v>44.22</v>
      </c>
      <c r="K30" s="327"/>
      <c r="M30" s="504"/>
      <c r="N30" s="205">
        <v>44.62</v>
      </c>
      <c r="O30" s="205">
        <v>44.36</v>
      </c>
      <c r="P30" s="205">
        <v>44.529999999999994</v>
      </c>
      <c r="Q30" s="205">
        <v>44.5</v>
      </c>
      <c r="R30" s="205">
        <v>44.900000000000006</v>
      </c>
      <c r="S30" s="205">
        <v>44.779999999999994</v>
      </c>
      <c r="T30" s="205">
        <v>44.599999999999994</v>
      </c>
      <c r="U30" s="205">
        <v>44.830000000000005</v>
      </c>
      <c r="V30" s="205">
        <v>44.71</v>
      </c>
      <c r="W30" s="213">
        <v>42.8</v>
      </c>
      <c r="Z30" s="23" t="str">
        <v>20/02/2024  22:16</v>
      </c>
      <c r="AA30" s="327">
        <v>43</v>
      </c>
      <c r="AB30" s="327">
        <v>43.2</v>
      </c>
      <c r="AC30" s="327">
        <v>44.1</v>
      </c>
    </row>
    <row r="31" spans="1:29" ht="14.45" customHeight="1" x14ac:dyDescent="0.25">
      <c r="A31" t="str">
        <v>20/02/2024  22:17</v>
      </c>
      <c r="B31">
        <v>44.23</v>
      </c>
      <c r="C31">
        <v>44.17</v>
      </c>
      <c r="D31">
        <v>44.09</v>
      </c>
      <c r="E31">
        <v>44.22</v>
      </c>
      <c r="F31">
        <v>44.19</v>
      </c>
      <c r="G31">
        <v>44.29</v>
      </c>
      <c r="H31">
        <v>44.29</v>
      </c>
      <c r="I31">
        <v>44.37</v>
      </c>
      <c r="J31">
        <v>44.25</v>
      </c>
      <c r="K31" s="327"/>
      <c r="M31" s="504"/>
      <c r="N31" s="205">
        <v>44.709999999999994</v>
      </c>
      <c r="O31" s="205">
        <v>44.46</v>
      </c>
      <c r="P31" s="205">
        <v>44.61</v>
      </c>
      <c r="Q31" s="205">
        <v>44.55</v>
      </c>
      <c r="R31" s="205">
        <v>44.95</v>
      </c>
      <c r="S31" s="205">
        <v>44.809999999999995</v>
      </c>
      <c r="T31" s="205">
        <v>44.66</v>
      </c>
      <c r="U31" s="205">
        <v>44.86</v>
      </c>
      <c r="V31" s="205">
        <v>44.74</v>
      </c>
      <c r="W31" s="213">
        <v>43.2</v>
      </c>
      <c r="Z31" s="23" t="str">
        <v>20/02/2024  22:17</v>
      </c>
      <c r="AA31" s="327">
        <v>43.1</v>
      </c>
      <c r="AB31" s="327">
        <v>43.3</v>
      </c>
      <c r="AC31" s="327">
        <v>44.2</v>
      </c>
    </row>
    <row r="32" spans="1:29" ht="14.45" customHeight="1" x14ac:dyDescent="0.25">
      <c r="A32" t="str">
        <v>20/02/2024  22:18</v>
      </c>
      <c r="B32">
        <v>44.32</v>
      </c>
      <c r="C32">
        <v>44.27</v>
      </c>
      <c r="D32">
        <v>44.2</v>
      </c>
      <c r="E32">
        <v>44.32</v>
      </c>
      <c r="F32">
        <v>44.27</v>
      </c>
      <c r="G32">
        <v>44.45</v>
      </c>
      <c r="H32">
        <v>44.4</v>
      </c>
      <c r="I32">
        <v>44.46</v>
      </c>
      <c r="J32">
        <v>44.35</v>
      </c>
      <c r="K32" s="327"/>
      <c r="M32" s="504"/>
      <c r="N32" s="205">
        <v>44.8</v>
      </c>
      <c r="O32" s="205">
        <v>44.56</v>
      </c>
      <c r="P32" s="205">
        <v>44.72</v>
      </c>
      <c r="Q32" s="205">
        <v>44.65</v>
      </c>
      <c r="R32" s="205">
        <v>45.030000000000008</v>
      </c>
      <c r="S32" s="205">
        <v>44.97</v>
      </c>
      <c r="T32" s="205">
        <v>44.769999999999996</v>
      </c>
      <c r="U32" s="205">
        <v>44.95</v>
      </c>
      <c r="V32" s="205">
        <v>44.84</v>
      </c>
      <c r="W32" s="213">
        <v>43.5</v>
      </c>
      <c r="Z32" s="23" t="str">
        <v>20/02/2024  22:18</v>
      </c>
      <c r="AA32" s="327">
        <v>43.2</v>
      </c>
      <c r="AB32" s="327">
        <v>43.4</v>
      </c>
      <c r="AC32" s="327">
        <v>44.3</v>
      </c>
    </row>
    <row r="33" spans="1:29" ht="14.45" customHeight="1" x14ac:dyDescent="0.25">
      <c r="A33" t="str">
        <v>20/02/2024  22:19</v>
      </c>
      <c r="B33">
        <v>44.48</v>
      </c>
      <c r="C33">
        <v>44.35</v>
      </c>
      <c r="D33">
        <v>44.29</v>
      </c>
      <c r="E33">
        <v>44.43</v>
      </c>
      <c r="F33">
        <v>44.43</v>
      </c>
      <c r="G33">
        <v>44.51</v>
      </c>
      <c r="H33">
        <v>44.48</v>
      </c>
      <c r="I33">
        <v>44.55</v>
      </c>
      <c r="J33">
        <v>44.48</v>
      </c>
      <c r="K33" s="327"/>
      <c r="M33" s="504"/>
      <c r="N33" s="205">
        <v>44.959999999999994</v>
      </c>
      <c r="O33" s="205">
        <v>44.64</v>
      </c>
      <c r="P33" s="205">
        <v>44.809999999999995</v>
      </c>
      <c r="Q33" s="205">
        <v>44.76</v>
      </c>
      <c r="R33" s="205">
        <v>45.190000000000005</v>
      </c>
      <c r="S33" s="205">
        <v>45.029999999999994</v>
      </c>
      <c r="T33" s="205">
        <v>44.849999999999994</v>
      </c>
      <c r="U33" s="205">
        <v>45.04</v>
      </c>
      <c r="V33" s="205">
        <v>44.97</v>
      </c>
      <c r="W33" s="213">
        <v>43.8</v>
      </c>
      <c r="Z33" s="23" t="str">
        <v>20/02/2024  22:19</v>
      </c>
      <c r="AA33" s="327">
        <v>43.3</v>
      </c>
      <c r="AB33" s="327">
        <v>43.5</v>
      </c>
      <c r="AC33" s="327">
        <v>44.4</v>
      </c>
    </row>
    <row r="34" spans="1:29" ht="14.45" customHeight="1" x14ac:dyDescent="0.25">
      <c r="A34" t="str">
        <v>20/02/2024  22:20</v>
      </c>
      <c r="B34">
        <v>44.57</v>
      </c>
      <c r="C34">
        <v>44.44</v>
      </c>
      <c r="D34">
        <v>44.39</v>
      </c>
      <c r="E34">
        <v>44.48</v>
      </c>
      <c r="F34">
        <v>44.47</v>
      </c>
      <c r="G34">
        <v>44.55</v>
      </c>
      <c r="H34">
        <v>44.57</v>
      </c>
      <c r="I34">
        <v>44.59</v>
      </c>
      <c r="J34">
        <v>44.52</v>
      </c>
      <c r="K34" s="327"/>
      <c r="M34" s="504"/>
      <c r="N34" s="205">
        <v>45.05</v>
      </c>
      <c r="O34" s="205">
        <v>44.73</v>
      </c>
      <c r="P34" s="205">
        <v>44.91</v>
      </c>
      <c r="Q34" s="205">
        <v>44.809999999999995</v>
      </c>
      <c r="R34" s="205">
        <v>45.230000000000004</v>
      </c>
      <c r="S34" s="205">
        <v>45.069999999999993</v>
      </c>
      <c r="T34" s="205">
        <v>44.94</v>
      </c>
      <c r="U34" s="205">
        <v>45.080000000000005</v>
      </c>
      <c r="V34" s="205">
        <v>45.010000000000005</v>
      </c>
      <c r="W34" s="213">
        <v>44.2</v>
      </c>
      <c r="Z34" s="23" t="str">
        <v>20/02/2024  22:20</v>
      </c>
      <c r="AA34" s="327">
        <v>43.4</v>
      </c>
      <c r="AB34" s="327">
        <v>43.6</v>
      </c>
      <c r="AC34" s="327">
        <v>44.5</v>
      </c>
    </row>
    <row r="35" spans="1:29" ht="14.45" customHeight="1" x14ac:dyDescent="0.25">
      <c r="A35" t="str">
        <v>20/02/2024  22:21</v>
      </c>
      <c r="B35">
        <v>44.63</v>
      </c>
      <c r="C35">
        <v>44.52</v>
      </c>
      <c r="D35">
        <v>44.47</v>
      </c>
      <c r="E35">
        <v>44.6</v>
      </c>
      <c r="F35">
        <v>44.56</v>
      </c>
      <c r="G35">
        <v>44.67</v>
      </c>
      <c r="H35">
        <v>44.68</v>
      </c>
      <c r="I35">
        <v>44.71</v>
      </c>
      <c r="J35">
        <v>44.63</v>
      </c>
      <c r="K35" s="327"/>
      <c r="M35" s="504"/>
      <c r="N35" s="205">
        <v>45.11</v>
      </c>
      <c r="O35" s="205">
        <v>44.81</v>
      </c>
      <c r="P35" s="205">
        <v>44.989999999999995</v>
      </c>
      <c r="Q35" s="205">
        <v>44.93</v>
      </c>
      <c r="R35" s="205">
        <v>45.320000000000007</v>
      </c>
      <c r="S35" s="205">
        <v>45.19</v>
      </c>
      <c r="T35" s="205">
        <v>45.05</v>
      </c>
      <c r="U35" s="205">
        <v>45.2</v>
      </c>
      <c r="V35" s="205">
        <v>45.120000000000005</v>
      </c>
      <c r="W35" s="213">
        <v>44.5</v>
      </c>
      <c r="Z35" s="23" t="str">
        <v>20/02/2024  22:21</v>
      </c>
      <c r="AA35" s="327">
        <v>43.5</v>
      </c>
      <c r="AB35" s="327">
        <v>43.7</v>
      </c>
      <c r="AC35" s="327">
        <v>44.6</v>
      </c>
    </row>
    <row r="36" spans="1:29" ht="14.45" customHeight="1" x14ac:dyDescent="0.25">
      <c r="A36" t="str">
        <v>20/02/2024  22:22</v>
      </c>
      <c r="B36">
        <v>44.73</v>
      </c>
      <c r="C36">
        <v>44.59</v>
      </c>
      <c r="D36">
        <v>44.52</v>
      </c>
      <c r="E36">
        <v>44.63</v>
      </c>
      <c r="F36">
        <v>44.62</v>
      </c>
      <c r="G36">
        <v>44.75</v>
      </c>
      <c r="H36">
        <v>44.75</v>
      </c>
      <c r="I36">
        <v>44.8</v>
      </c>
      <c r="J36">
        <v>44.71</v>
      </c>
      <c r="K36" s="327"/>
      <c r="M36" s="504"/>
      <c r="N36" s="205">
        <v>45.209999999999994</v>
      </c>
      <c r="O36" s="205">
        <v>44.88</v>
      </c>
      <c r="P36" s="205">
        <v>45.04</v>
      </c>
      <c r="Q36" s="205">
        <v>44.96</v>
      </c>
      <c r="R36" s="205">
        <v>45.38</v>
      </c>
      <c r="S36" s="205">
        <v>45.269999999999996</v>
      </c>
      <c r="T36" s="205">
        <v>45.12</v>
      </c>
      <c r="U36" s="205">
        <v>45.29</v>
      </c>
      <c r="V36" s="205">
        <v>45.2</v>
      </c>
      <c r="W36" s="213">
        <v>44.8</v>
      </c>
      <c r="Z36" s="23" t="str">
        <v>20/02/2024  22:22</v>
      </c>
      <c r="AA36" s="327">
        <v>43.6</v>
      </c>
      <c r="AB36" s="327">
        <v>43.8</v>
      </c>
      <c r="AC36" s="327">
        <v>44.6</v>
      </c>
    </row>
    <row r="37" spans="1:29" ht="14.45" customHeight="1" x14ac:dyDescent="0.25">
      <c r="A37" t="str">
        <v>20/02/2024  22:23</v>
      </c>
      <c r="B37">
        <v>44.76</v>
      </c>
      <c r="C37">
        <v>44.7</v>
      </c>
      <c r="D37">
        <v>44.63</v>
      </c>
      <c r="E37">
        <v>44.72</v>
      </c>
      <c r="F37">
        <v>44.73</v>
      </c>
      <c r="G37">
        <v>44.86</v>
      </c>
      <c r="H37">
        <v>44.82</v>
      </c>
      <c r="I37">
        <v>44.88</v>
      </c>
      <c r="J37">
        <v>44.79</v>
      </c>
      <c r="K37" s="327"/>
      <c r="M37" s="504"/>
      <c r="N37" s="205">
        <v>45.239999999999995</v>
      </c>
      <c r="O37" s="205">
        <v>44.99</v>
      </c>
      <c r="P37" s="205">
        <v>45.15</v>
      </c>
      <c r="Q37" s="205">
        <v>45.05</v>
      </c>
      <c r="R37" s="205">
        <v>45.49</v>
      </c>
      <c r="S37" s="205">
        <v>45.379999999999995</v>
      </c>
      <c r="T37" s="205">
        <v>45.19</v>
      </c>
      <c r="U37" s="205">
        <v>45.370000000000005</v>
      </c>
      <c r="V37" s="205">
        <v>45.28</v>
      </c>
      <c r="W37" s="213">
        <v>45.2</v>
      </c>
      <c r="Z37" s="23" t="str">
        <v>20/02/2024  22:23</v>
      </c>
      <c r="AA37" s="327">
        <v>43.6</v>
      </c>
      <c r="AB37" s="327">
        <v>43.9</v>
      </c>
      <c r="AC37" s="327">
        <v>44.7</v>
      </c>
    </row>
    <row r="38" spans="1:29" ht="14.45" customHeight="1" x14ac:dyDescent="0.25">
      <c r="A38" t="str">
        <v>20/02/2024  22:24</v>
      </c>
      <c r="B38">
        <v>44.84</v>
      </c>
      <c r="C38">
        <v>44.77</v>
      </c>
      <c r="D38">
        <v>44.67</v>
      </c>
      <c r="E38">
        <v>44.8</v>
      </c>
      <c r="F38">
        <v>44.78</v>
      </c>
      <c r="G38">
        <v>44.92</v>
      </c>
      <c r="H38">
        <v>44.91</v>
      </c>
      <c r="I38">
        <v>44.93</v>
      </c>
      <c r="J38">
        <v>44.84</v>
      </c>
      <c r="K38" s="327"/>
      <c r="M38" s="504"/>
      <c r="N38" s="205">
        <v>45.32</v>
      </c>
      <c r="O38" s="205">
        <v>45.06</v>
      </c>
      <c r="P38" s="205">
        <v>45.19</v>
      </c>
      <c r="Q38" s="205">
        <v>45.129999999999995</v>
      </c>
      <c r="R38" s="205">
        <v>45.540000000000006</v>
      </c>
      <c r="S38" s="205">
        <v>45.44</v>
      </c>
      <c r="T38" s="205">
        <v>45.279999999999994</v>
      </c>
      <c r="U38" s="205">
        <v>45.42</v>
      </c>
      <c r="V38" s="205">
        <v>45.330000000000005</v>
      </c>
      <c r="W38" s="213">
        <v>45.5</v>
      </c>
      <c r="Z38" s="23" t="str">
        <v>20/02/2024  22:24</v>
      </c>
      <c r="AA38" s="327">
        <v>43.7</v>
      </c>
      <c r="AB38" s="327">
        <v>43.9</v>
      </c>
      <c r="AC38" s="327">
        <v>44.8</v>
      </c>
    </row>
    <row r="39" spans="1:29" ht="14.45" customHeight="1" x14ac:dyDescent="0.25">
      <c r="A39" t="str">
        <v>20/02/2024  22:25</v>
      </c>
      <c r="B39">
        <v>44.93</v>
      </c>
      <c r="C39">
        <v>44.86</v>
      </c>
      <c r="D39">
        <v>44.78</v>
      </c>
      <c r="E39">
        <v>44.87</v>
      </c>
      <c r="F39">
        <v>44.79</v>
      </c>
      <c r="G39">
        <v>44.96</v>
      </c>
      <c r="H39">
        <v>44.98</v>
      </c>
      <c r="I39">
        <v>45.02</v>
      </c>
      <c r="J39">
        <v>44.95</v>
      </c>
      <c r="K39" s="327"/>
      <c r="M39" s="504"/>
      <c r="N39" s="205">
        <v>45.41</v>
      </c>
      <c r="O39" s="205">
        <v>45.15</v>
      </c>
      <c r="P39" s="205">
        <v>45.3</v>
      </c>
      <c r="Q39" s="205">
        <v>45.199999999999996</v>
      </c>
      <c r="R39" s="205">
        <v>45.550000000000004</v>
      </c>
      <c r="S39" s="205">
        <v>45.48</v>
      </c>
      <c r="T39" s="205">
        <v>45.349999999999994</v>
      </c>
      <c r="U39" s="205">
        <v>45.510000000000005</v>
      </c>
      <c r="V39" s="205">
        <v>45.440000000000005</v>
      </c>
      <c r="W39" s="213">
        <v>45.8</v>
      </c>
      <c r="Z39" s="23" t="str">
        <v>20/02/2024  22:25</v>
      </c>
      <c r="AA39" s="327">
        <v>43.8</v>
      </c>
      <c r="AB39" s="327">
        <v>44</v>
      </c>
      <c r="AC39" s="327">
        <v>44.9</v>
      </c>
    </row>
    <row r="40" spans="1:29" ht="14.45" customHeight="1" x14ac:dyDescent="0.25">
      <c r="A40" t="str">
        <v>20/02/2024  22:26</v>
      </c>
      <c r="B40">
        <v>44.97</v>
      </c>
      <c r="C40">
        <v>44.93</v>
      </c>
      <c r="D40">
        <v>44.87</v>
      </c>
      <c r="E40">
        <v>44.99</v>
      </c>
      <c r="F40">
        <v>45.05</v>
      </c>
      <c r="G40">
        <v>45.05</v>
      </c>
      <c r="H40">
        <v>45.05</v>
      </c>
      <c r="I40">
        <v>45.08</v>
      </c>
      <c r="J40">
        <v>44.99</v>
      </c>
      <c r="K40" s="327"/>
      <c r="M40" s="504"/>
      <c r="N40" s="205">
        <v>45.449999999999996</v>
      </c>
      <c r="O40" s="205">
        <v>45.22</v>
      </c>
      <c r="P40" s="205">
        <v>45.389999999999993</v>
      </c>
      <c r="Q40" s="205">
        <v>45.32</v>
      </c>
      <c r="R40" s="205">
        <v>45.81</v>
      </c>
      <c r="S40" s="205">
        <v>45.569999999999993</v>
      </c>
      <c r="T40" s="205">
        <v>45.419999999999995</v>
      </c>
      <c r="U40" s="205">
        <v>45.57</v>
      </c>
      <c r="V40" s="205">
        <v>45.480000000000004</v>
      </c>
      <c r="W40" s="213">
        <v>46.2</v>
      </c>
      <c r="Z40" s="23" t="str">
        <v>20/02/2024  22:26</v>
      </c>
      <c r="AA40" s="327">
        <v>43.9</v>
      </c>
      <c r="AB40" s="327">
        <v>44.1</v>
      </c>
      <c r="AC40" s="327">
        <v>45</v>
      </c>
    </row>
    <row r="41" spans="1:29" ht="14.45" customHeight="1" x14ac:dyDescent="0.25">
      <c r="A41" t="str">
        <v>20/02/2024  22:27</v>
      </c>
      <c r="B41">
        <v>45.07</v>
      </c>
      <c r="C41">
        <v>45.01</v>
      </c>
      <c r="D41">
        <v>44.91</v>
      </c>
      <c r="E41">
        <v>45.03</v>
      </c>
      <c r="F41">
        <v>45.04</v>
      </c>
      <c r="G41">
        <v>45.16</v>
      </c>
      <c r="H41">
        <v>45.13</v>
      </c>
      <c r="I41">
        <v>45.16</v>
      </c>
      <c r="J41">
        <v>45.1</v>
      </c>
      <c r="K41" s="327"/>
      <c r="M41" s="504"/>
      <c r="N41" s="205">
        <v>45.55</v>
      </c>
      <c r="O41" s="205">
        <v>45.3</v>
      </c>
      <c r="P41" s="205">
        <v>45.429999999999993</v>
      </c>
      <c r="Q41" s="205">
        <v>45.36</v>
      </c>
      <c r="R41" s="205">
        <v>45.800000000000004</v>
      </c>
      <c r="S41" s="205">
        <v>45.679999999999993</v>
      </c>
      <c r="T41" s="205">
        <v>45.5</v>
      </c>
      <c r="U41" s="205">
        <v>45.65</v>
      </c>
      <c r="V41" s="205">
        <v>45.59</v>
      </c>
      <c r="W41" s="213">
        <v>46.5</v>
      </c>
      <c r="Z41" s="23" t="str">
        <v>20/02/2024  22:27</v>
      </c>
      <c r="AA41" s="327">
        <v>44</v>
      </c>
      <c r="AB41" s="327">
        <v>44.2</v>
      </c>
      <c r="AC41" s="327">
        <v>45.1</v>
      </c>
    </row>
    <row r="42" spans="1:29" ht="14.45" customHeight="1" x14ac:dyDescent="0.25">
      <c r="A42" t="str">
        <v>20/02/2024  22:28</v>
      </c>
      <c r="B42">
        <v>45.14</v>
      </c>
      <c r="C42">
        <v>45.06</v>
      </c>
      <c r="D42">
        <v>45.01</v>
      </c>
      <c r="E42">
        <v>45.12</v>
      </c>
      <c r="F42">
        <v>45.1</v>
      </c>
      <c r="G42">
        <v>45.22</v>
      </c>
      <c r="H42">
        <v>45.22</v>
      </c>
      <c r="I42">
        <v>45.26</v>
      </c>
      <c r="J42">
        <v>45.13</v>
      </c>
      <c r="K42" s="327"/>
      <c r="M42" s="504"/>
      <c r="N42" s="205">
        <v>45.62</v>
      </c>
      <c r="O42" s="205">
        <v>45.35</v>
      </c>
      <c r="P42" s="205">
        <v>45.529999999999994</v>
      </c>
      <c r="Q42" s="205">
        <v>45.449999999999996</v>
      </c>
      <c r="R42" s="205">
        <v>45.860000000000007</v>
      </c>
      <c r="S42" s="205">
        <v>45.739999999999995</v>
      </c>
      <c r="T42" s="205">
        <v>45.589999999999996</v>
      </c>
      <c r="U42" s="205">
        <v>45.75</v>
      </c>
      <c r="V42" s="205">
        <v>45.620000000000005</v>
      </c>
      <c r="W42" s="213">
        <v>46.8</v>
      </c>
      <c r="Z42" s="23" t="str">
        <v>20/02/2024  22:28</v>
      </c>
      <c r="AA42" s="327">
        <v>44</v>
      </c>
      <c r="AB42" s="327">
        <v>44.3</v>
      </c>
      <c r="AC42" s="327">
        <v>45.1</v>
      </c>
    </row>
    <row r="43" spans="1:29" ht="14.45" customHeight="1" x14ac:dyDescent="0.25">
      <c r="A43" t="str">
        <v>20/02/2024  22:29</v>
      </c>
      <c r="B43">
        <v>45.21</v>
      </c>
      <c r="C43">
        <v>45.16</v>
      </c>
      <c r="D43">
        <v>45.1</v>
      </c>
      <c r="E43">
        <v>45.19</v>
      </c>
      <c r="F43">
        <v>45.17</v>
      </c>
      <c r="G43">
        <v>45.29</v>
      </c>
      <c r="H43">
        <v>45.29</v>
      </c>
      <c r="I43">
        <v>45.32</v>
      </c>
      <c r="J43">
        <v>45.18</v>
      </c>
      <c r="K43" s="327"/>
      <c r="M43" s="504"/>
      <c r="N43" s="205">
        <v>45.69</v>
      </c>
      <c r="O43" s="205">
        <v>45.449999999999996</v>
      </c>
      <c r="P43" s="205">
        <v>45.62</v>
      </c>
      <c r="Q43" s="205">
        <v>45.519999999999996</v>
      </c>
      <c r="R43" s="205">
        <v>45.930000000000007</v>
      </c>
      <c r="S43" s="205">
        <v>45.809999999999995</v>
      </c>
      <c r="T43" s="205">
        <v>45.66</v>
      </c>
      <c r="U43" s="205">
        <v>45.81</v>
      </c>
      <c r="V43" s="205">
        <v>45.67</v>
      </c>
      <c r="W43" s="213">
        <v>47.2</v>
      </c>
      <c r="Z43" s="23" t="str">
        <v>20/02/2024  22:29</v>
      </c>
      <c r="AA43" s="327">
        <v>44.1</v>
      </c>
      <c r="AB43" s="327">
        <v>44.3</v>
      </c>
      <c r="AC43" s="327">
        <v>45.2</v>
      </c>
    </row>
    <row r="44" spans="1:29" ht="14.45" customHeight="1" x14ac:dyDescent="0.25">
      <c r="A44" t="str">
        <v>20/02/2024  22:30</v>
      </c>
      <c r="B44">
        <v>45.3</v>
      </c>
      <c r="C44">
        <v>45.24</v>
      </c>
      <c r="D44">
        <v>45.16</v>
      </c>
      <c r="E44">
        <v>45.26</v>
      </c>
      <c r="F44">
        <v>45.24</v>
      </c>
      <c r="G44">
        <v>45.44</v>
      </c>
      <c r="H44">
        <v>45.35</v>
      </c>
      <c r="I44">
        <v>45.37</v>
      </c>
      <c r="J44">
        <v>45.3</v>
      </c>
      <c r="K44" s="327"/>
      <c r="M44" s="504"/>
      <c r="N44" s="205">
        <v>45.779999999999994</v>
      </c>
      <c r="O44" s="205">
        <v>45.53</v>
      </c>
      <c r="P44" s="205">
        <v>45.679999999999993</v>
      </c>
      <c r="Q44" s="205">
        <v>45.589999999999996</v>
      </c>
      <c r="R44" s="205">
        <v>46.000000000000007</v>
      </c>
      <c r="S44" s="205">
        <v>45.959999999999994</v>
      </c>
      <c r="T44" s="205">
        <v>45.72</v>
      </c>
      <c r="U44" s="205">
        <v>45.86</v>
      </c>
      <c r="V44" s="205">
        <v>45.79</v>
      </c>
      <c r="W44" s="213">
        <v>47.5</v>
      </c>
      <c r="Z44" s="23" t="str">
        <v>20/02/2024  22:30</v>
      </c>
      <c r="AA44" s="327">
        <v>44.1</v>
      </c>
      <c r="AB44" s="327">
        <v>44.4</v>
      </c>
      <c r="AC44" s="327">
        <v>45.3</v>
      </c>
    </row>
    <row r="45" spans="1:29" ht="14.45" customHeight="1" x14ac:dyDescent="0.25">
      <c r="A45" t="str">
        <v>20/02/2024  22:31</v>
      </c>
      <c r="B45">
        <v>45.33</v>
      </c>
      <c r="C45">
        <v>45.3</v>
      </c>
      <c r="D45">
        <v>45.24</v>
      </c>
      <c r="E45">
        <v>45.35</v>
      </c>
      <c r="F45">
        <v>45.27</v>
      </c>
      <c r="G45">
        <v>45.46</v>
      </c>
      <c r="H45">
        <v>45.45</v>
      </c>
      <c r="I45">
        <v>45.47</v>
      </c>
      <c r="J45">
        <v>45.39</v>
      </c>
      <c r="K45" s="327"/>
      <c r="M45" s="504"/>
      <c r="N45" s="205">
        <v>45.809999999999995</v>
      </c>
      <c r="O45" s="205">
        <v>45.589999999999996</v>
      </c>
      <c r="P45" s="205">
        <v>45.76</v>
      </c>
      <c r="Q45" s="205">
        <v>45.68</v>
      </c>
      <c r="R45" s="205">
        <v>46.030000000000008</v>
      </c>
      <c r="S45" s="205">
        <v>45.98</v>
      </c>
      <c r="T45" s="205">
        <v>45.82</v>
      </c>
      <c r="U45" s="205">
        <v>45.96</v>
      </c>
      <c r="V45" s="205">
        <v>45.88</v>
      </c>
      <c r="W45" s="213">
        <v>47.8</v>
      </c>
      <c r="Z45" s="23" t="str">
        <v>20/02/2024  22:31</v>
      </c>
      <c r="AA45" s="327">
        <v>44.3</v>
      </c>
      <c r="AB45" s="327">
        <v>44.5</v>
      </c>
      <c r="AC45" s="327">
        <v>45.4</v>
      </c>
    </row>
    <row r="46" spans="1:29" ht="14.45" customHeight="1" x14ac:dyDescent="0.25">
      <c r="A46" t="str">
        <v>20/02/2024  22:32</v>
      </c>
      <c r="B46">
        <v>45.46</v>
      </c>
      <c r="C46">
        <v>45.36</v>
      </c>
      <c r="D46">
        <v>45.29</v>
      </c>
      <c r="E46">
        <v>45.42</v>
      </c>
      <c r="F46">
        <v>45.42</v>
      </c>
      <c r="G46">
        <v>45.5</v>
      </c>
      <c r="H46">
        <v>45.48</v>
      </c>
      <c r="I46">
        <v>45.53</v>
      </c>
      <c r="J46">
        <v>45.44</v>
      </c>
      <c r="K46" s="327"/>
      <c r="M46" s="504"/>
      <c r="N46" s="205">
        <v>45.94</v>
      </c>
      <c r="O46" s="205">
        <v>45.65</v>
      </c>
      <c r="P46" s="205">
        <v>45.809999999999995</v>
      </c>
      <c r="Q46" s="205">
        <v>45.75</v>
      </c>
      <c r="R46" s="205">
        <v>46.180000000000007</v>
      </c>
      <c r="S46" s="205">
        <v>46.019999999999996</v>
      </c>
      <c r="T46" s="205">
        <v>45.849999999999994</v>
      </c>
      <c r="U46" s="205">
        <v>46.02</v>
      </c>
      <c r="V46" s="205">
        <v>45.93</v>
      </c>
      <c r="W46" s="213">
        <v>48.2</v>
      </c>
      <c r="Z46" s="23" t="str">
        <v>20/02/2024  22:32</v>
      </c>
      <c r="AA46" s="327">
        <v>44.3</v>
      </c>
      <c r="AB46" s="327">
        <v>44.6</v>
      </c>
      <c r="AC46" s="327">
        <v>45.5</v>
      </c>
    </row>
    <row r="47" spans="1:29" ht="14.45" customHeight="1" x14ac:dyDescent="0.25">
      <c r="A47" t="str">
        <v>20/02/2024  22:33</v>
      </c>
      <c r="B47">
        <v>45.53</v>
      </c>
      <c r="C47">
        <v>45.46</v>
      </c>
      <c r="D47">
        <v>45.37</v>
      </c>
      <c r="E47">
        <v>45.46</v>
      </c>
      <c r="F47">
        <v>45.44</v>
      </c>
      <c r="G47">
        <v>45.57</v>
      </c>
      <c r="H47">
        <v>45.55</v>
      </c>
      <c r="I47">
        <v>45.59</v>
      </c>
      <c r="J47">
        <v>45.49</v>
      </c>
      <c r="K47" s="327"/>
      <c r="M47" s="504"/>
      <c r="N47" s="205">
        <v>46.01</v>
      </c>
      <c r="O47" s="205">
        <v>45.75</v>
      </c>
      <c r="P47" s="205">
        <v>45.889999999999993</v>
      </c>
      <c r="Q47" s="205">
        <v>45.79</v>
      </c>
      <c r="R47" s="205">
        <v>46.2</v>
      </c>
      <c r="S47" s="205">
        <v>46.089999999999996</v>
      </c>
      <c r="T47" s="205">
        <v>45.919999999999995</v>
      </c>
      <c r="U47" s="205">
        <v>46.080000000000005</v>
      </c>
      <c r="V47" s="205">
        <v>45.980000000000004</v>
      </c>
      <c r="W47" s="213">
        <v>48.5</v>
      </c>
      <c r="Z47" s="23" t="str">
        <v>20/02/2024  22:33</v>
      </c>
      <c r="AA47" s="327">
        <v>44.4</v>
      </c>
      <c r="AB47" s="327">
        <v>44.6</v>
      </c>
      <c r="AC47" s="327">
        <v>45.5</v>
      </c>
    </row>
    <row r="48" spans="1:29" ht="14.45" customHeight="1" x14ac:dyDescent="0.25">
      <c r="A48" t="str">
        <v>20/02/2024  22:34</v>
      </c>
      <c r="B48">
        <v>45.62</v>
      </c>
      <c r="C48">
        <v>45.52</v>
      </c>
      <c r="D48">
        <v>45.47</v>
      </c>
      <c r="E48">
        <v>45.57</v>
      </c>
      <c r="F48">
        <v>45.52</v>
      </c>
      <c r="G48">
        <v>45.68</v>
      </c>
      <c r="H48">
        <v>45.66</v>
      </c>
      <c r="I48">
        <v>45.68</v>
      </c>
      <c r="J48">
        <v>45.6</v>
      </c>
      <c r="K48" s="327"/>
      <c r="M48" s="504"/>
      <c r="N48" s="205">
        <v>46.099999999999994</v>
      </c>
      <c r="O48" s="205">
        <v>45.81</v>
      </c>
      <c r="P48" s="205">
        <v>45.989999999999995</v>
      </c>
      <c r="Q48" s="205">
        <v>45.9</v>
      </c>
      <c r="R48" s="205">
        <v>46.280000000000008</v>
      </c>
      <c r="S48" s="205">
        <v>46.199999999999996</v>
      </c>
      <c r="T48" s="205">
        <v>46.029999999999994</v>
      </c>
      <c r="U48" s="205">
        <v>46.17</v>
      </c>
      <c r="V48" s="205">
        <v>46.09</v>
      </c>
      <c r="W48" s="213">
        <v>48.8</v>
      </c>
      <c r="Z48" s="23" t="str">
        <v>20/02/2024  22:34</v>
      </c>
      <c r="AA48" s="327">
        <v>44.5</v>
      </c>
      <c r="AB48" s="327">
        <v>44.7</v>
      </c>
      <c r="AC48" s="327">
        <v>45.6</v>
      </c>
    </row>
    <row r="49" spans="1:29" ht="14.45" customHeight="1" x14ac:dyDescent="0.25">
      <c r="A49" t="str">
        <v>20/02/2024  22:35</v>
      </c>
      <c r="B49">
        <v>45.65</v>
      </c>
      <c r="C49">
        <v>45.59</v>
      </c>
      <c r="D49">
        <v>45.54</v>
      </c>
      <c r="E49">
        <v>45.61</v>
      </c>
      <c r="F49">
        <v>45.6</v>
      </c>
      <c r="G49">
        <v>45.77</v>
      </c>
      <c r="H49">
        <v>45.69</v>
      </c>
      <c r="I49">
        <v>45.78</v>
      </c>
      <c r="J49">
        <v>45.69</v>
      </c>
      <c r="K49" s="327"/>
      <c r="M49" s="504"/>
      <c r="N49" s="205">
        <v>46.129999999999995</v>
      </c>
      <c r="O49" s="205">
        <v>45.88</v>
      </c>
      <c r="P49" s="205">
        <v>46.059999999999995</v>
      </c>
      <c r="Q49" s="205">
        <v>45.94</v>
      </c>
      <c r="R49" s="205">
        <v>46.360000000000007</v>
      </c>
      <c r="S49" s="205">
        <v>46.29</v>
      </c>
      <c r="T49" s="205">
        <v>46.059999999999995</v>
      </c>
      <c r="U49" s="205">
        <v>46.27</v>
      </c>
      <c r="V49" s="205">
        <v>46.18</v>
      </c>
      <c r="W49" s="213">
        <v>49.2</v>
      </c>
      <c r="Z49" s="23" t="str">
        <v>20/02/2024  22:35</v>
      </c>
      <c r="AA49" s="327">
        <v>44.5</v>
      </c>
      <c r="AB49" s="327">
        <v>44.8</v>
      </c>
      <c r="AC49" s="327">
        <v>45.7</v>
      </c>
    </row>
    <row r="50" spans="1:29" ht="14.45" customHeight="1" x14ac:dyDescent="0.25">
      <c r="A50" t="str">
        <v>20/02/2024  22:36</v>
      </c>
      <c r="B50">
        <v>45.78</v>
      </c>
      <c r="C50">
        <v>45.66</v>
      </c>
      <c r="D50">
        <v>45.61</v>
      </c>
      <c r="E50">
        <v>45.72</v>
      </c>
      <c r="F50">
        <v>45.61</v>
      </c>
      <c r="G50">
        <v>45.79</v>
      </c>
      <c r="H50">
        <v>45.8</v>
      </c>
      <c r="I50">
        <v>45.82</v>
      </c>
      <c r="J50">
        <v>45.71</v>
      </c>
      <c r="K50" s="327"/>
      <c r="M50" s="504"/>
      <c r="N50" s="205">
        <v>46.26</v>
      </c>
      <c r="O50" s="205">
        <v>45.949999999999996</v>
      </c>
      <c r="P50" s="205">
        <v>46.129999999999995</v>
      </c>
      <c r="Q50" s="205">
        <v>46.05</v>
      </c>
      <c r="R50" s="205">
        <v>46.370000000000005</v>
      </c>
      <c r="S50" s="205">
        <v>46.309999999999995</v>
      </c>
      <c r="T50" s="205">
        <v>46.169999999999995</v>
      </c>
      <c r="U50" s="205">
        <v>46.31</v>
      </c>
      <c r="V50" s="205">
        <v>46.2</v>
      </c>
      <c r="W50" s="213">
        <v>49.5</v>
      </c>
      <c r="Z50" s="23" t="str">
        <v>20/02/2024  22:36</v>
      </c>
      <c r="AA50" s="327">
        <v>44.6</v>
      </c>
      <c r="AB50" s="327">
        <v>44.8</v>
      </c>
      <c r="AC50" s="327">
        <v>45.8</v>
      </c>
    </row>
    <row r="51" spans="1:29" ht="14.45" customHeight="1" x14ac:dyDescent="0.25">
      <c r="A51" t="str">
        <v>20/02/2024  22:37</v>
      </c>
      <c r="B51">
        <v>45.76</v>
      </c>
      <c r="C51">
        <v>45.7</v>
      </c>
      <c r="D51">
        <v>45.67</v>
      </c>
      <c r="E51">
        <v>45.74</v>
      </c>
      <c r="F51">
        <v>45.69</v>
      </c>
      <c r="G51">
        <v>45.87</v>
      </c>
      <c r="H51">
        <v>45.87</v>
      </c>
      <c r="I51">
        <v>45.89</v>
      </c>
      <c r="J51">
        <v>45.79</v>
      </c>
      <c r="K51" s="327"/>
      <c r="M51" s="504"/>
      <c r="N51" s="205">
        <v>46.239999999999995</v>
      </c>
      <c r="O51" s="205">
        <v>45.99</v>
      </c>
      <c r="P51" s="205">
        <v>46.19</v>
      </c>
      <c r="Q51" s="205">
        <v>46.07</v>
      </c>
      <c r="R51" s="205">
        <v>46.45</v>
      </c>
      <c r="S51" s="205">
        <v>46.389999999999993</v>
      </c>
      <c r="T51" s="205">
        <v>46.239999999999995</v>
      </c>
      <c r="U51" s="205">
        <v>46.38</v>
      </c>
      <c r="V51" s="205">
        <v>46.28</v>
      </c>
      <c r="W51" s="213">
        <v>49.8</v>
      </c>
      <c r="Z51" s="23" t="str">
        <v>20/02/2024  22:37</v>
      </c>
      <c r="AA51" s="327">
        <v>44.7</v>
      </c>
      <c r="AB51" s="327">
        <v>44.9</v>
      </c>
      <c r="AC51" s="327">
        <v>45.8</v>
      </c>
    </row>
    <row r="52" spans="1:29" ht="14.45" customHeight="1" x14ac:dyDescent="0.25">
      <c r="A52" t="str">
        <v>20/02/2024  22:38</v>
      </c>
      <c r="B52">
        <v>45.91</v>
      </c>
      <c r="C52">
        <v>45.77</v>
      </c>
      <c r="D52">
        <v>45.74</v>
      </c>
      <c r="E52">
        <v>45.81</v>
      </c>
      <c r="F52">
        <v>45.69</v>
      </c>
      <c r="G52">
        <v>45.94</v>
      </c>
      <c r="H52">
        <v>45.9</v>
      </c>
      <c r="I52">
        <v>45.91</v>
      </c>
      <c r="J52">
        <v>45.82</v>
      </c>
      <c r="K52" s="327"/>
      <c r="M52" s="504"/>
      <c r="N52" s="205">
        <v>46.389999999999993</v>
      </c>
      <c r="O52" s="205">
        <v>46.06</v>
      </c>
      <c r="P52" s="205">
        <v>46.26</v>
      </c>
      <c r="Q52" s="205">
        <v>46.14</v>
      </c>
      <c r="R52" s="205">
        <v>46.45</v>
      </c>
      <c r="S52" s="205">
        <v>46.459999999999994</v>
      </c>
      <c r="T52" s="205">
        <v>46.269999999999996</v>
      </c>
      <c r="U52" s="205">
        <v>46.4</v>
      </c>
      <c r="V52" s="205">
        <v>46.31</v>
      </c>
      <c r="W52" s="213">
        <v>50.2</v>
      </c>
      <c r="Z52" s="23" t="str">
        <v>20/02/2024  22:38</v>
      </c>
      <c r="AA52" s="327">
        <v>44.8</v>
      </c>
      <c r="AB52" s="327">
        <v>45</v>
      </c>
      <c r="AC52" s="327">
        <v>45.9</v>
      </c>
    </row>
    <row r="53" spans="1:29" ht="14.45" customHeight="1" x14ac:dyDescent="0.25">
      <c r="A53" t="str">
        <v>20/02/2024  22:39</v>
      </c>
      <c r="B53">
        <v>45.86</v>
      </c>
      <c r="C53">
        <v>45.85</v>
      </c>
      <c r="D53">
        <v>45.76</v>
      </c>
      <c r="E53">
        <v>45.86</v>
      </c>
      <c r="F53">
        <v>45.82</v>
      </c>
      <c r="G53">
        <v>45.98</v>
      </c>
      <c r="H53">
        <v>45.98</v>
      </c>
      <c r="I53">
        <v>46.02</v>
      </c>
      <c r="J53">
        <v>45.92</v>
      </c>
      <c r="K53" s="327"/>
      <c r="M53" s="504"/>
      <c r="N53" s="205">
        <v>46.339999999999996</v>
      </c>
      <c r="O53" s="205">
        <v>46.14</v>
      </c>
      <c r="P53" s="205">
        <v>46.279999999999994</v>
      </c>
      <c r="Q53" s="205">
        <v>46.19</v>
      </c>
      <c r="R53" s="205">
        <v>46.580000000000005</v>
      </c>
      <c r="S53" s="205">
        <v>46.499999999999993</v>
      </c>
      <c r="T53" s="205">
        <v>46.349999999999994</v>
      </c>
      <c r="U53" s="205">
        <v>46.510000000000005</v>
      </c>
      <c r="V53" s="205">
        <v>46.410000000000004</v>
      </c>
      <c r="W53" s="213">
        <v>50.5</v>
      </c>
      <c r="Z53" s="23" t="str">
        <v>20/02/2024  22:39</v>
      </c>
      <c r="AA53" s="327">
        <v>44.8</v>
      </c>
      <c r="AB53" s="327">
        <v>45</v>
      </c>
      <c r="AC53" s="327">
        <v>46</v>
      </c>
    </row>
    <row r="54" spans="1:29" ht="14.45" customHeight="1" x14ac:dyDescent="0.25">
      <c r="A54" t="str">
        <v>20/02/2024  22:40</v>
      </c>
      <c r="B54">
        <v>46.01</v>
      </c>
      <c r="C54">
        <v>45.91</v>
      </c>
      <c r="D54">
        <v>45.84</v>
      </c>
      <c r="E54">
        <v>45.95</v>
      </c>
      <c r="F54">
        <v>45.8</v>
      </c>
      <c r="G54">
        <v>46.1</v>
      </c>
      <c r="H54">
        <v>46.09</v>
      </c>
      <c r="I54">
        <v>46.1</v>
      </c>
      <c r="J54">
        <v>46.02</v>
      </c>
      <c r="K54" s="327"/>
      <c r="M54" s="504"/>
      <c r="N54" s="205">
        <v>46.489999999999995</v>
      </c>
      <c r="O54" s="205">
        <v>46.199999999999996</v>
      </c>
      <c r="P54" s="205">
        <v>46.36</v>
      </c>
      <c r="Q54" s="205">
        <v>46.28</v>
      </c>
      <c r="R54" s="205">
        <v>46.56</v>
      </c>
      <c r="S54" s="205">
        <v>46.62</v>
      </c>
      <c r="T54" s="205">
        <v>46.46</v>
      </c>
      <c r="U54" s="205">
        <v>46.59</v>
      </c>
      <c r="V54" s="205">
        <v>46.510000000000005</v>
      </c>
      <c r="W54" s="213">
        <v>50.8</v>
      </c>
      <c r="Z54" s="23" t="str">
        <v>20/02/2024  22:40</v>
      </c>
      <c r="AA54" s="327">
        <v>44.9</v>
      </c>
      <c r="AB54" s="327">
        <v>45.1</v>
      </c>
      <c r="AC54" s="327">
        <v>46</v>
      </c>
    </row>
    <row r="55" spans="1:29" ht="14.45" customHeight="1" x14ac:dyDescent="0.25">
      <c r="A55" t="str">
        <v>20/02/2024  22:41</v>
      </c>
      <c r="B55">
        <v>46.03</v>
      </c>
      <c r="C55">
        <v>45.96</v>
      </c>
      <c r="D55">
        <v>45.93</v>
      </c>
      <c r="E55">
        <v>45.97</v>
      </c>
      <c r="F55">
        <v>45.95</v>
      </c>
      <c r="G55">
        <v>46.16</v>
      </c>
      <c r="H55">
        <v>46.12</v>
      </c>
      <c r="I55">
        <v>46.16</v>
      </c>
      <c r="J55">
        <v>46.06</v>
      </c>
      <c r="K55" s="327"/>
      <c r="M55" s="504"/>
      <c r="N55" s="205">
        <v>46.51</v>
      </c>
      <c r="O55" s="205">
        <v>46.25</v>
      </c>
      <c r="P55" s="205">
        <v>46.449999999999996</v>
      </c>
      <c r="Q55" s="205">
        <v>46.3</v>
      </c>
      <c r="R55" s="205">
        <v>46.710000000000008</v>
      </c>
      <c r="S55" s="205">
        <v>46.679999999999993</v>
      </c>
      <c r="T55" s="205">
        <v>46.489999999999995</v>
      </c>
      <c r="U55" s="205">
        <v>46.65</v>
      </c>
      <c r="V55" s="205">
        <v>46.550000000000004</v>
      </c>
      <c r="W55" s="213">
        <v>51.2</v>
      </c>
      <c r="Z55" s="23" t="str">
        <v>20/02/2024  22:41</v>
      </c>
      <c r="AA55" s="327">
        <v>44.9</v>
      </c>
      <c r="AB55" s="327">
        <v>45.2</v>
      </c>
      <c r="AC55" s="327">
        <v>46.1</v>
      </c>
    </row>
    <row r="56" spans="1:29" ht="14.45" customHeight="1" x14ac:dyDescent="0.25">
      <c r="A56" t="str">
        <v>20/02/2024  22:42</v>
      </c>
      <c r="B56">
        <v>46.1</v>
      </c>
      <c r="C56">
        <v>46.04</v>
      </c>
      <c r="D56">
        <v>45.98</v>
      </c>
      <c r="E56">
        <v>46.08</v>
      </c>
      <c r="F56">
        <v>45.93</v>
      </c>
      <c r="G56">
        <v>46.2</v>
      </c>
      <c r="H56">
        <v>46.17</v>
      </c>
      <c r="I56">
        <v>46.23</v>
      </c>
      <c r="J56">
        <v>46.12</v>
      </c>
      <c r="K56" s="327"/>
      <c r="M56" s="504"/>
      <c r="N56" s="205">
        <v>46.58</v>
      </c>
      <c r="O56" s="205">
        <v>46.33</v>
      </c>
      <c r="P56" s="205">
        <v>46.499999999999993</v>
      </c>
      <c r="Q56" s="205">
        <v>46.41</v>
      </c>
      <c r="R56" s="205">
        <v>46.690000000000005</v>
      </c>
      <c r="S56" s="205">
        <v>46.72</v>
      </c>
      <c r="T56" s="205">
        <v>46.54</v>
      </c>
      <c r="U56" s="205">
        <v>46.72</v>
      </c>
      <c r="V56" s="205">
        <v>46.61</v>
      </c>
      <c r="W56" s="213">
        <v>51.5</v>
      </c>
      <c r="Z56" s="23" t="str">
        <v>20/02/2024  22:42</v>
      </c>
      <c r="AA56" s="327">
        <v>45</v>
      </c>
      <c r="AB56" s="327">
        <v>45.3</v>
      </c>
      <c r="AC56" s="327">
        <v>46.2</v>
      </c>
    </row>
    <row r="57" spans="1:29" ht="14.45" customHeight="1" x14ac:dyDescent="0.25">
      <c r="A57" t="str">
        <v>20/02/2024  22:43</v>
      </c>
      <c r="B57">
        <v>46.24</v>
      </c>
      <c r="C57">
        <v>46.13</v>
      </c>
      <c r="D57">
        <v>46.06</v>
      </c>
      <c r="E57">
        <v>46.15</v>
      </c>
      <c r="F57">
        <v>45.99</v>
      </c>
      <c r="G57">
        <v>46.28</v>
      </c>
      <c r="H57">
        <v>46.2</v>
      </c>
      <c r="I57">
        <v>46.25</v>
      </c>
      <c r="J57">
        <v>46.11</v>
      </c>
      <c r="K57" s="327"/>
      <c r="M57" s="504"/>
      <c r="N57" s="205">
        <v>46.72</v>
      </c>
      <c r="O57" s="205">
        <v>46.42</v>
      </c>
      <c r="P57" s="205">
        <v>46.58</v>
      </c>
      <c r="Q57" s="205">
        <v>46.48</v>
      </c>
      <c r="R57" s="205">
        <v>46.750000000000007</v>
      </c>
      <c r="S57" s="205">
        <v>46.8</v>
      </c>
      <c r="T57" s="205">
        <v>46.57</v>
      </c>
      <c r="U57" s="205">
        <v>46.74</v>
      </c>
      <c r="V57" s="205">
        <v>46.6</v>
      </c>
      <c r="W57" s="213">
        <v>51.8</v>
      </c>
      <c r="Z57" s="23" t="str">
        <v>20/02/2024  22:43</v>
      </c>
      <c r="AA57" s="327">
        <v>45</v>
      </c>
      <c r="AB57" s="327">
        <v>45.3</v>
      </c>
      <c r="AC57" s="327">
        <v>46.2</v>
      </c>
    </row>
    <row r="58" spans="1:29" ht="14.45" customHeight="1" x14ac:dyDescent="0.25">
      <c r="A58" t="str">
        <v>20/02/2024  22:44</v>
      </c>
      <c r="B58">
        <v>46.24</v>
      </c>
      <c r="C58">
        <v>46.15</v>
      </c>
      <c r="D58">
        <v>46.08</v>
      </c>
      <c r="E58">
        <v>46.2</v>
      </c>
      <c r="F58">
        <v>46.09</v>
      </c>
      <c r="G58">
        <v>46.33</v>
      </c>
      <c r="H58">
        <v>46.31</v>
      </c>
      <c r="I58">
        <v>46.3</v>
      </c>
      <c r="J58">
        <v>46.23</v>
      </c>
      <c r="K58" s="327"/>
      <c r="M58" s="504"/>
      <c r="N58" s="205">
        <v>46.72</v>
      </c>
      <c r="O58" s="205">
        <v>46.44</v>
      </c>
      <c r="P58" s="205">
        <v>46.599999999999994</v>
      </c>
      <c r="Q58" s="205">
        <v>46.53</v>
      </c>
      <c r="R58" s="205">
        <v>46.850000000000009</v>
      </c>
      <c r="S58" s="205">
        <v>46.849999999999994</v>
      </c>
      <c r="T58" s="205">
        <v>46.68</v>
      </c>
      <c r="U58" s="205">
        <v>46.79</v>
      </c>
      <c r="V58" s="205">
        <v>46.72</v>
      </c>
      <c r="W58" s="213">
        <v>52.2</v>
      </c>
      <c r="Z58" s="23" t="str">
        <v>20/02/2024  22:44</v>
      </c>
      <c r="AA58" s="327">
        <v>45.1</v>
      </c>
      <c r="AB58" s="327">
        <v>45.4</v>
      </c>
      <c r="AC58" s="327">
        <v>46.3</v>
      </c>
    </row>
    <row r="59" spans="1:29" ht="14.45" customHeight="1" x14ac:dyDescent="0.25">
      <c r="A59" t="str">
        <v>20/02/2024  22:45</v>
      </c>
      <c r="B59">
        <v>46.55</v>
      </c>
      <c r="C59">
        <v>46.39</v>
      </c>
      <c r="D59">
        <v>46.36</v>
      </c>
      <c r="E59">
        <v>46.5</v>
      </c>
      <c r="F59">
        <v>46.48</v>
      </c>
      <c r="G59">
        <v>46.67</v>
      </c>
      <c r="H59">
        <v>46.58</v>
      </c>
      <c r="I59">
        <v>46.7</v>
      </c>
      <c r="J59">
        <v>46.45</v>
      </c>
      <c r="K59" s="327"/>
      <c r="M59" s="504"/>
      <c r="N59" s="205">
        <v>47.029999999999994</v>
      </c>
      <c r="O59" s="205">
        <v>46.68</v>
      </c>
      <c r="P59" s="205">
        <v>46.879999999999995</v>
      </c>
      <c r="Q59" s="205">
        <v>46.83</v>
      </c>
      <c r="R59" s="205">
        <v>47.24</v>
      </c>
      <c r="S59" s="205">
        <v>47.19</v>
      </c>
      <c r="T59" s="205">
        <v>46.949999999999996</v>
      </c>
      <c r="U59" s="205">
        <v>47.190000000000005</v>
      </c>
      <c r="V59" s="205">
        <v>46.940000000000005</v>
      </c>
      <c r="W59" s="213">
        <v>52.5</v>
      </c>
      <c r="Z59" s="23" t="str">
        <v>20/02/2024  22:45</v>
      </c>
      <c r="AA59" s="327">
        <v>45.2</v>
      </c>
      <c r="AB59" s="327">
        <v>45.4</v>
      </c>
      <c r="AC59" s="327">
        <v>46.4</v>
      </c>
    </row>
    <row r="60" spans="1:29" ht="14.45" customHeight="1" x14ac:dyDescent="0.25">
      <c r="A60" t="str">
        <v>20/02/2024  22:46</v>
      </c>
      <c r="B60">
        <v>47.33</v>
      </c>
      <c r="C60">
        <v>47.11</v>
      </c>
      <c r="D60">
        <v>47.11</v>
      </c>
      <c r="E60">
        <v>47.33</v>
      </c>
      <c r="F60">
        <v>47.51</v>
      </c>
      <c r="G60">
        <v>47.67</v>
      </c>
      <c r="H60">
        <v>47.4</v>
      </c>
      <c r="I60">
        <v>47.68</v>
      </c>
      <c r="J60">
        <v>47.36</v>
      </c>
      <c r="K60" s="327"/>
      <c r="M60" s="504"/>
      <c r="N60" s="205">
        <v>47.809999999999995</v>
      </c>
      <c r="O60" s="205">
        <v>47.4</v>
      </c>
      <c r="P60" s="205">
        <v>47.629999999999995</v>
      </c>
      <c r="Q60" s="205">
        <v>47.66</v>
      </c>
      <c r="R60" s="205">
        <v>48.27</v>
      </c>
      <c r="S60" s="205">
        <v>48.19</v>
      </c>
      <c r="T60" s="205">
        <v>47.769999999999996</v>
      </c>
      <c r="U60" s="205">
        <v>48.17</v>
      </c>
      <c r="V60" s="205">
        <v>47.85</v>
      </c>
      <c r="W60" s="213">
        <v>52.8</v>
      </c>
      <c r="Z60" s="23" t="str">
        <v>20/02/2024  22:46</v>
      </c>
      <c r="AA60" s="327">
        <v>45.5</v>
      </c>
      <c r="AB60" s="327">
        <v>45.7</v>
      </c>
      <c r="AC60" s="327">
        <v>46.8</v>
      </c>
    </row>
    <row r="61" spans="1:29" ht="14.45" customHeight="1" x14ac:dyDescent="0.25">
      <c r="A61" t="str">
        <v>20/02/2024  22:47</v>
      </c>
      <c r="B61">
        <v>48.52</v>
      </c>
      <c r="C61">
        <v>48.24</v>
      </c>
      <c r="D61">
        <v>48.24</v>
      </c>
      <c r="E61">
        <v>48.63</v>
      </c>
      <c r="F61">
        <v>48.96</v>
      </c>
      <c r="G61">
        <v>48.98</v>
      </c>
      <c r="H61">
        <v>48.65</v>
      </c>
      <c r="I61">
        <v>49.14</v>
      </c>
      <c r="J61">
        <v>48.69</v>
      </c>
      <c r="K61" s="327"/>
      <c r="M61" s="504"/>
      <c r="N61" s="205">
        <v>49</v>
      </c>
      <c r="O61" s="205">
        <v>48.53</v>
      </c>
      <c r="P61" s="205">
        <v>48.76</v>
      </c>
      <c r="Q61" s="205">
        <v>48.96</v>
      </c>
      <c r="R61" s="205">
        <v>49.720000000000006</v>
      </c>
      <c r="S61" s="205">
        <v>49.499999999999993</v>
      </c>
      <c r="T61" s="205">
        <v>49.019999999999996</v>
      </c>
      <c r="U61" s="205">
        <v>49.63</v>
      </c>
      <c r="V61" s="205">
        <v>49.18</v>
      </c>
      <c r="W61" s="213">
        <v>53.2</v>
      </c>
      <c r="Z61" s="23" t="str">
        <v>20/02/2024  22:47</v>
      </c>
      <c r="AA61" s="327">
        <v>46.4</v>
      </c>
      <c r="AB61" s="327">
        <v>46.3</v>
      </c>
      <c r="AC61" s="327">
        <v>47.6</v>
      </c>
    </row>
    <row r="62" spans="1:29" ht="14.45" customHeight="1" x14ac:dyDescent="0.25">
      <c r="A62" t="str">
        <v>20/02/2024  22:48</v>
      </c>
      <c r="B62">
        <v>49.88</v>
      </c>
      <c r="C62">
        <v>49.53</v>
      </c>
      <c r="D62">
        <v>49.61</v>
      </c>
      <c r="E62">
        <v>50.03</v>
      </c>
      <c r="F62">
        <v>50.6</v>
      </c>
      <c r="G62">
        <v>50.49</v>
      </c>
      <c r="H62">
        <v>50.11</v>
      </c>
      <c r="I62">
        <v>50.66</v>
      </c>
      <c r="J62">
        <v>50.21</v>
      </c>
      <c r="K62" s="327"/>
      <c r="M62" s="504"/>
      <c r="N62" s="205">
        <v>50.36</v>
      </c>
      <c r="O62" s="205">
        <v>49.82</v>
      </c>
      <c r="P62" s="205">
        <v>50.129999999999995</v>
      </c>
      <c r="Q62" s="205">
        <v>50.36</v>
      </c>
      <c r="R62" s="205">
        <v>51.360000000000007</v>
      </c>
      <c r="S62" s="205">
        <v>51.01</v>
      </c>
      <c r="T62" s="205">
        <v>50.48</v>
      </c>
      <c r="U62" s="205">
        <v>51.15</v>
      </c>
      <c r="V62" s="205">
        <v>50.7</v>
      </c>
      <c r="W62" s="213">
        <v>53.5</v>
      </c>
      <c r="Z62" s="23" t="str">
        <v>20/02/2024  22:48</v>
      </c>
      <c r="AA62" s="327">
        <v>47.5</v>
      </c>
      <c r="AB62" s="327">
        <v>47.1</v>
      </c>
      <c r="AC62" s="327">
        <v>48.8</v>
      </c>
    </row>
    <row r="63" spans="1:29" ht="14.45" customHeight="1" x14ac:dyDescent="0.25">
      <c r="A63" t="str">
        <v>20/02/2024  22:49</v>
      </c>
      <c r="B63">
        <v>51.08</v>
      </c>
      <c r="C63">
        <v>50.78</v>
      </c>
      <c r="D63">
        <v>50.84</v>
      </c>
      <c r="E63">
        <v>51.45</v>
      </c>
      <c r="F63">
        <v>52.16</v>
      </c>
      <c r="G63">
        <v>51.9</v>
      </c>
      <c r="H63">
        <v>51.55</v>
      </c>
      <c r="I63">
        <v>52.25</v>
      </c>
      <c r="J63">
        <v>51.68</v>
      </c>
      <c r="K63" s="327"/>
      <c r="M63" s="504"/>
      <c r="N63" s="205">
        <v>51.559999999999995</v>
      </c>
      <c r="O63" s="205">
        <v>51.07</v>
      </c>
      <c r="P63" s="205">
        <v>51.36</v>
      </c>
      <c r="Q63" s="205">
        <v>51.78</v>
      </c>
      <c r="R63" s="205">
        <v>52.92</v>
      </c>
      <c r="S63" s="205">
        <v>52.419999999999995</v>
      </c>
      <c r="T63" s="205">
        <v>51.919999999999995</v>
      </c>
      <c r="U63" s="205">
        <v>52.74</v>
      </c>
      <c r="V63" s="205">
        <v>52.17</v>
      </c>
      <c r="W63" s="213">
        <v>53.8</v>
      </c>
      <c r="Z63" s="23" t="str">
        <v>20/02/2024  22:49</v>
      </c>
      <c r="AA63" s="327">
        <v>49</v>
      </c>
      <c r="AB63" s="327">
        <v>48.2</v>
      </c>
      <c r="AC63" s="327">
        <v>50.1</v>
      </c>
    </row>
    <row r="64" spans="1:29" ht="14.45" customHeight="1" x14ac:dyDescent="0.25">
      <c r="A64" t="str">
        <v>20/02/2024  22:50</v>
      </c>
      <c r="B64">
        <v>52.45</v>
      </c>
      <c r="C64">
        <v>52.05</v>
      </c>
      <c r="D64">
        <v>52.06</v>
      </c>
      <c r="E64">
        <v>52.76</v>
      </c>
      <c r="F64">
        <v>53.46</v>
      </c>
      <c r="G64">
        <v>53.08</v>
      </c>
      <c r="H64">
        <v>52.87</v>
      </c>
      <c r="I64">
        <v>53.63</v>
      </c>
      <c r="J64">
        <v>53.05</v>
      </c>
      <c r="K64" s="327"/>
      <c r="M64" s="504"/>
      <c r="N64" s="205">
        <v>52.93</v>
      </c>
      <c r="O64" s="205">
        <v>52.339999999999996</v>
      </c>
      <c r="P64" s="205">
        <v>52.58</v>
      </c>
      <c r="Q64" s="205">
        <v>53.089999999999996</v>
      </c>
      <c r="R64" s="205">
        <v>54.220000000000006</v>
      </c>
      <c r="S64" s="205">
        <v>53.599999999999994</v>
      </c>
      <c r="T64" s="205">
        <v>53.239999999999995</v>
      </c>
      <c r="U64" s="205">
        <v>54.120000000000005</v>
      </c>
      <c r="V64" s="205">
        <v>53.54</v>
      </c>
      <c r="W64" s="213">
        <v>54.2</v>
      </c>
      <c r="Z64" s="23" t="str">
        <v>20/02/2024  22:50</v>
      </c>
      <c r="AA64" s="327">
        <v>50.5</v>
      </c>
      <c r="AB64" s="327">
        <v>49.3</v>
      </c>
      <c r="AC64" s="327">
        <v>51.5</v>
      </c>
    </row>
    <row r="65" spans="1:29" ht="14.45" customHeight="1" x14ac:dyDescent="0.25">
      <c r="A65" t="str">
        <v>20/02/2024  22:51</v>
      </c>
      <c r="B65">
        <v>53.53</v>
      </c>
      <c r="C65">
        <v>53.14</v>
      </c>
      <c r="D65">
        <v>53.13</v>
      </c>
      <c r="E65">
        <v>54.01</v>
      </c>
      <c r="F65">
        <v>54.72</v>
      </c>
      <c r="G65">
        <v>54.19</v>
      </c>
      <c r="H65">
        <v>54.01</v>
      </c>
      <c r="I65">
        <v>54.8</v>
      </c>
      <c r="J65">
        <v>54.2</v>
      </c>
      <c r="K65" s="327"/>
      <c r="M65" s="504"/>
      <c r="N65" s="205">
        <v>54.01</v>
      </c>
      <c r="O65" s="205">
        <v>53.43</v>
      </c>
      <c r="P65" s="205">
        <v>53.65</v>
      </c>
      <c r="Q65" s="205">
        <v>54.339999999999996</v>
      </c>
      <c r="R65" s="205">
        <v>55.480000000000004</v>
      </c>
      <c r="S65" s="205">
        <v>54.709999999999994</v>
      </c>
      <c r="T65" s="205">
        <v>54.379999999999995</v>
      </c>
      <c r="U65" s="205">
        <v>55.29</v>
      </c>
      <c r="V65" s="205">
        <v>54.690000000000005</v>
      </c>
      <c r="W65" s="213">
        <v>54.5</v>
      </c>
      <c r="Z65" s="23" t="str">
        <v>20/02/2024  22:51</v>
      </c>
      <c r="AA65" s="327">
        <v>51.9</v>
      </c>
      <c r="AB65" s="327">
        <v>50.5</v>
      </c>
      <c r="AC65" s="327">
        <v>52.9</v>
      </c>
    </row>
    <row r="66" spans="1:29" ht="14.45" customHeight="1" x14ac:dyDescent="0.25">
      <c r="A66" t="str">
        <v>20/02/2024  22:52</v>
      </c>
      <c r="B66">
        <v>54.5</v>
      </c>
      <c r="C66">
        <v>54.19</v>
      </c>
      <c r="D66">
        <v>54.11</v>
      </c>
      <c r="E66">
        <v>54.99</v>
      </c>
      <c r="F66">
        <v>55.85</v>
      </c>
      <c r="G66">
        <v>55.29</v>
      </c>
      <c r="H66">
        <v>55.03</v>
      </c>
      <c r="I66">
        <v>55.81</v>
      </c>
      <c r="J66">
        <v>55.33</v>
      </c>
      <c r="K66" s="327"/>
      <c r="M66" s="504"/>
      <c r="N66" s="205">
        <v>54.98</v>
      </c>
      <c r="O66" s="205">
        <v>54.48</v>
      </c>
      <c r="P66" s="205">
        <v>54.629999999999995</v>
      </c>
      <c r="Q66" s="205">
        <v>55.32</v>
      </c>
      <c r="R66" s="205">
        <v>56.610000000000007</v>
      </c>
      <c r="S66" s="205">
        <v>55.809999999999995</v>
      </c>
      <c r="T66" s="205">
        <v>55.4</v>
      </c>
      <c r="U66" s="205">
        <v>56.300000000000004</v>
      </c>
      <c r="V66" s="205">
        <v>55.82</v>
      </c>
      <c r="W66" s="213">
        <v>54.8</v>
      </c>
      <c r="Z66" s="23" t="str">
        <v>20/02/2024  22:52</v>
      </c>
      <c r="AA66" s="327">
        <v>53.3</v>
      </c>
      <c r="AB66" s="327">
        <v>51.6</v>
      </c>
      <c r="AC66" s="327">
        <v>54.1</v>
      </c>
    </row>
    <row r="67" spans="1:29" ht="14.45" customHeight="1" x14ac:dyDescent="0.25">
      <c r="A67" t="str">
        <v>20/02/2024  22:53</v>
      </c>
      <c r="B67">
        <v>55.37</v>
      </c>
      <c r="C67">
        <v>55</v>
      </c>
      <c r="D67">
        <v>54.95</v>
      </c>
      <c r="E67">
        <v>55.79</v>
      </c>
      <c r="F67">
        <v>56.63</v>
      </c>
      <c r="G67">
        <v>56.14</v>
      </c>
      <c r="H67">
        <v>55.87</v>
      </c>
      <c r="I67">
        <v>56.76</v>
      </c>
      <c r="J67">
        <v>56.18</v>
      </c>
      <c r="K67" s="327"/>
      <c r="M67" s="504"/>
      <c r="N67" s="205">
        <v>55.849999999999994</v>
      </c>
      <c r="O67" s="205">
        <v>55.29</v>
      </c>
      <c r="P67" s="205">
        <v>55.47</v>
      </c>
      <c r="Q67" s="205">
        <v>56.12</v>
      </c>
      <c r="R67" s="205">
        <v>57.390000000000008</v>
      </c>
      <c r="S67" s="205">
        <v>56.66</v>
      </c>
      <c r="T67" s="205">
        <v>56.239999999999995</v>
      </c>
      <c r="U67" s="205">
        <v>57.25</v>
      </c>
      <c r="V67" s="205">
        <v>56.67</v>
      </c>
      <c r="W67" s="213">
        <v>55.2</v>
      </c>
      <c r="Z67" s="23" t="str">
        <v>20/02/2024  22:53</v>
      </c>
      <c r="AA67" s="327">
        <v>54.5</v>
      </c>
      <c r="AB67" s="327">
        <v>52.6</v>
      </c>
      <c r="AC67" s="327">
        <v>55.1</v>
      </c>
    </row>
    <row r="68" spans="1:29" ht="14.45" customHeight="1" x14ac:dyDescent="0.25">
      <c r="A68" t="str">
        <v>20/02/2024  22:54</v>
      </c>
      <c r="B68">
        <v>56.02</v>
      </c>
      <c r="C68">
        <v>55.64</v>
      </c>
      <c r="D68">
        <v>55.66</v>
      </c>
      <c r="E68">
        <v>56.51</v>
      </c>
      <c r="F68">
        <v>57.38</v>
      </c>
      <c r="G68">
        <v>56.88</v>
      </c>
      <c r="H68">
        <v>56.55</v>
      </c>
      <c r="I68">
        <v>57.45</v>
      </c>
      <c r="J68">
        <v>56.94</v>
      </c>
      <c r="K68" s="327"/>
      <c r="M68" s="504"/>
      <c r="N68" s="205">
        <v>56.5</v>
      </c>
      <c r="O68" s="205">
        <v>55.93</v>
      </c>
      <c r="P68" s="205">
        <v>56.179999999999993</v>
      </c>
      <c r="Q68" s="205">
        <v>56.839999999999996</v>
      </c>
      <c r="R68" s="205">
        <v>58.140000000000008</v>
      </c>
      <c r="S68" s="205">
        <v>57.4</v>
      </c>
      <c r="T68" s="205">
        <v>56.919999999999995</v>
      </c>
      <c r="U68" s="205">
        <v>57.940000000000005</v>
      </c>
      <c r="V68" s="205">
        <v>57.43</v>
      </c>
      <c r="W68" s="213">
        <v>55.5</v>
      </c>
      <c r="Z68" s="23" t="str">
        <v>20/02/2024  22:54</v>
      </c>
      <c r="AA68" s="327">
        <v>55.5</v>
      </c>
      <c r="AB68" s="327">
        <v>53.5</v>
      </c>
      <c r="AC68" s="327">
        <v>56.1</v>
      </c>
    </row>
    <row r="69" spans="1:29" ht="14.45" customHeight="1" x14ac:dyDescent="0.25">
      <c r="A69" t="str">
        <v>20/02/2024  22:55</v>
      </c>
      <c r="B69">
        <v>56.6</v>
      </c>
      <c r="C69">
        <v>56.29</v>
      </c>
      <c r="D69">
        <v>56.28</v>
      </c>
      <c r="E69">
        <v>57.12</v>
      </c>
      <c r="F69">
        <v>57.99</v>
      </c>
      <c r="G69">
        <v>57.41</v>
      </c>
      <c r="H69">
        <v>57.24</v>
      </c>
      <c r="I69">
        <v>58.04</v>
      </c>
      <c r="J69">
        <v>57.47</v>
      </c>
      <c r="K69" s="327"/>
      <c r="M69" s="504"/>
      <c r="N69" s="205">
        <v>57.08</v>
      </c>
      <c r="O69" s="205">
        <v>56.58</v>
      </c>
      <c r="P69" s="205">
        <v>56.8</v>
      </c>
      <c r="Q69" s="205">
        <v>57.449999999999996</v>
      </c>
      <c r="R69" s="205">
        <v>58.750000000000007</v>
      </c>
      <c r="S69" s="205">
        <v>57.929999999999993</v>
      </c>
      <c r="T69" s="205">
        <v>57.61</v>
      </c>
      <c r="U69" s="205">
        <v>58.53</v>
      </c>
      <c r="V69" s="205">
        <v>57.96</v>
      </c>
      <c r="W69" s="213">
        <v>55.8</v>
      </c>
      <c r="Z69" s="23" t="str">
        <v>20/02/2024  22:55</v>
      </c>
      <c r="AA69" s="327">
        <v>56.4</v>
      </c>
      <c r="AB69" s="327">
        <v>54.3</v>
      </c>
      <c r="AC69" s="327">
        <v>56.9</v>
      </c>
    </row>
    <row r="70" spans="1:29" ht="14.45" customHeight="1" x14ac:dyDescent="0.25">
      <c r="A70" t="str">
        <v>20/02/2024  22:56</v>
      </c>
      <c r="B70">
        <v>57.19</v>
      </c>
      <c r="C70">
        <v>56.83</v>
      </c>
      <c r="D70">
        <v>56.82</v>
      </c>
      <c r="E70">
        <v>57.6</v>
      </c>
      <c r="F70">
        <v>58.4</v>
      </c>
      <c r="G70">
        <v>57.97</v>
      </c>
      <c r="H70">
        <v>57.81</v>
      </c>
      <c r="I70">
        <v>58.56</v>
      </c>
      <c r="J70">
        <v>58.07</v>
      </c>
      <c r="K70" s="327"/>
      <c r="M70" s="504"/>
      <c r="N70" s="205">
        <v>57.669999999999995</v>
      </c>
      <c r="O70" s="205">
        <v>57.12</v>
      </c>
      <c r="P70" s="205">
        <v>57.339999999999996</v>
      </c>
      <c r="Q70" s="205">
        <v>57.93</v>
      </c>
      <c r="R70" s="205">
        <v>59.160000000000004</v>
      </c>
      <c r="S70" s="205">
        <v>58.489999999999995</v>
      </c>
      <c r="T70" s="205">
        <v>58.18</v>
      </c>
      <c r="U70" s="205">
        <v>59.050000000000004</v>
      </c>
      <c r="V70" s="205">
        <v>58.56</v>
      </c>
      <c r="W70" s="213">
        <v>56.2</v>
      </c>
      <c r="Z70" s="23" t="str">
        <v>20/02/2024  22:56</v>
      </c>
      <c r="AA70" s="327">
        <v>57</v>
      </c>
      <c r="AB70" s="327">
        <v>55</v>
      </c>
      <c r="AC70" s="327">
        <v>57.5</v>
      </c>
    </row>
    <row r="71" spans="1:29" ht="14.45" customHeight="1" x14ac:dyDescent="0.25">
      <c r="A71" t="str">
        <v>20/02/2024  22:57</v>
      </c>
      <c r="B71">
        <v>57.67</v>
      </c>
      <c r="C71">
        <v>57.39</v>
      </c>
      <c r="D71">
        <v>57.27</v>
      </c>
      <c r="E71">
        <v>58.09</v>
      </c>
      <c r="F71">
        <v>58.76</v>
      </c>
      <c r="G71">
        <v>58.36</v>
      </c>
      <c r="H71">
        <v>58.33</v>
      </c>
      <c r="I71">
        <v>59.01</v>
      </c>
      <c r="J71">
        <v>58.44</v>
      </c>
      <c r="K71" s="327"/>
      <c r="M71" s="504"/>
      <c r="N71" s="205">
        <v>58.15</v>
      </c>
      <c r="O71" s="205">
        <v>57.68</v>
      </c>
      <c r="P71" s="205">
        <v>57.79</v>
      </c>
      <c r="Q71" s="205">
        <v>58.42</v>
      </c>
      <c r="R71" s="205">
        <v>59.52</v>
      </c>
      <c r="S71" s="205">
        <v>58.879999999999995</v>
      </c>
      <c r="T71" s="205">
        <v>58.699999999999996</v>
      </c>
      <c r="U71" s="205">
        <v>59.5</v>
      </c>
      <c r="V71" s="205">
        <v>58.93</v>
      </c>
      <c r="W71" s="213">
        <v>56.5</v>
      </c>
      <c r="Z71" s="23" t="str">
        <v>20/02/2024  22:57</v>
      </c>
      <c r="AA71" s="327">
        <v>57.7</v>
      </c>
      <c r="AB71" s="327">
        <v>55.7</v>
      </c>
      <c r="AC71" s="327">
        <v>58</v>
      </c>
    </row>
    <row r="72" spans="1:29" ht="14.45" customHeight="1" x14ac:dyDescent="0.25">
      <c r="A72" t="str">
        <v>20/02/2024  22:58</v>
      </c>
      <c r="B72">
        <v>58.11</v>
      </c>
      <c r="C72">
        <v>57.8</v>
      </c>
      <c r="D72">
        <v>57.78</v>
      </c>
      <c r="E72">
        <v>58.48</v>
      </c>
      <c r="F72">
        <v>59.13</v>
      </c>
      <c r="G72">
        <v>58.71</v>
      </c>
      <c r="H72">
        <v>58.65</v>
      </c>
      <c r="I72">
        <v>59.32</v>
      </c>
      <c r="J72">
        <v>58.76</v>
      </c>
      <c r="K72" s="327"/>
      <c r="M72" s="504"/>
      <c r="N72" s="205">
        <v>58.589999999999996</v>
      </c>
      <c r="O72" s="205">
        <v>58.089999999999996</v>
      </c>
      <c r="P72" s="205">
        <v>58.3</v>
      </c>
      <c r="Q72" s="205">
        <v>58.809999999999995</v>
      </c>
      <c r="R72" s="205">
        <v>59.890000000000008</v>
      </c>
      <c r="S72" s="205">
        <v>59.23</v>
      </c>
      <c r="T72" s="205">
        <v>59.019999999999996</v>
      </c>
      <c r="U72" s="205">
        <v>59.81</v>
      </c>
      <c r="V72" s="205">
        <v>59.25</v>
      </c>
      <c r="W72" s="213">
        <v>56.8</v>
      </c>
      <c r="Z72" s="23" t="str">
        <v>20/02/2024  22:58</v>
      </c>
      <c r="AA72" s="327">
        <v>58.2</v>
      </c>
      <c r="AB72" s="327">
        <v>56.2</v>
      </c>
      <c r="AC72" s="327">
        <v>58.5</v>
      </c>
    </row>
    <row r="73" spans="1:29" ht="14.45" customHeight="1" x14ac:dyDescent="0.25">
      <c r="A73" t="str">
        <v>20/02/2024  22:59</v>
      </c>
      <c r="B73">
        <v>58.49</v>
      </c>
      <c r="C73">
        <v>58.12</v>
      </c>
      <c r="D73">
        <v>58.11</v>
      </c>
      <c r="E73">
        <v>58.85</v>
      </c>
      <c r="F73">
        <v>59.45</v>
      </c>
      <c r="G73">
        <v>59.18</v>
      </c>
      <c r="H73">
        <v>59.05</v>
      </c>
      <c r="I73">
        <v>59.75</v>
      </c>
      <c r="J73">
        <v>59.17</v>
      </c>
      <c r="K73" s="327"/>
      <c r="M73" s="504"/>
      <c r="N73" s="205">
        <v>58.97</v>
      </c>
      <c r="O73" s="205">
        <v>58.41</v>
      </c>
      <c r="P73" s="205">
        <v>58.629999999999995</v>
      </c>
      <c r="Q73" s="205">
        <v>59.18</v>
      </c>
      <c r="R73" s="205">
        <v>60.210000000000008</v>
      </c>
      <c r="S73" s="205">
        <v>59.699999999999996</v>
      </c>
      <c r="T73" s="205">
        <v>59.419999999999995</v>
      </c>
      <c r="U73" s="205">
        <v>60.24</v>
      </c>
      <c r="V73" s="205">
        <v>59.660000000000004</v>
      </c>
      <c r="W73" s="213">
        <v>57.2</v>
      </c>
      <c r="Z73" s="23" t="str">
        <v>20/02/2024  22:59</v>
      </c>
      <c r="AA73" s="327">
        <v>58.6</v>
      </c>
      <c r="AB73" s="327">
        <v>56.7</v>
      </c>
      <c r="AC73" s="327">
        <v>59</v>
      </c>
    </row>
    <row r="74" spans="1:29" ht="14.45" customHeight="1" x14ac:dyDescent="0.25">
      <c r="A74" t="str">
        <v>20/02/2024  23:00</v>
      </c>
      <c r="B74">
        <v>58.83</v>
      </c>
      <c r="C74">
        <v>58.51</v>
      </c>
      <c r="D74">
        <v>58.46</v>
      </c>
      <c r="E74">
        <v>59.25</v>
      </c>
      <c r="F74">
        <v>59.75</v>
      </c>
      <c r="G74">
        <v>59.47</v>
      </c>
      <c r="H74">
        <v>59.29</v>
      </c>
      <c r="I74">
        <v>59.97</v>
      </c>
      <c r="J74">
        <v>59.51</v>
      </c>
      <c r="K74" s="327"/>
      <c r="M74" s="504"/>
      <c r="N74" s="205">
        <v>59.309999999999995</v>
      </c>
      <c r="O74" s="205">
        <v>58.8</v>
      </c>
      <c r="P74" s="205">
        <v>58.98</v>
      </c>
      <c r="Q74" s="205">
        <v>59.58</v>
      </c>
      <c r="R74" s="205">
        <v>60.510000000000005</v>
      </c>
      <c r="S74" s="205">
        <v>59.989999999999995</v>
      </c>
      <c r="T74" s="205">
        <v>59.66</v>
      </c>
      <c r="U74" s="205">
        <v>60.46</v>
      </c>
      <c r="V74" s="205">
        <v>60</v>
      </c>
      <c r="W74" s="213">
        <v>57.5</v>
      </c>
      <c r="Z74" s="23" t="str">
        <v>20/02/2024  23:00</v>
      </c>
      <c r="AA74" s="327">
        <v>59</v>
      </c>
      <c r="AB74" s="327">
        <v>57.2</v>
      </c>
      <c r="AC74" s="327">
        <v>59.3</v>
      </c>
    </row>
    <row r="75" spans="1:29" ht="14.45" customHeight="1" x14ac:dyDescent="0.25">
      <c r="A75" t="str">
        <v>20/02/2024  23:01</v>
      </c>
      <c r="B75">
        <v>59.31</v>
      </c>
      <c r="C75">
        <v>58.88</v>
      </c>
      <c r="D75">
        <v>58.83</v>
      </c>
      <c r="E75">
        <v>59.58</v>
      </c>
      <c r="F75">
        <v>60</v>
      </c>
      <c r="G75">
        <v>59.84</v>
      </c>
      <c r="H75">
        <v>59.69</v>
      </c>
      <c r="I75">
        <v>60.29</v>
      </c>
      <c r="J75">
        <v>59.76</v>
      </c>
      <c r="K75" s="327"/>
      <c r="M75" s="504"/>
      <c r="N75" s="205">
        <v>59.79</v>
      </c>
      <c r="O75" s="205">
        <v>59.17</v>
      </c>
      <c r="P75" s="205">
        <v>59.349999999999994</v>
      </c>
      <c r="Q75" s="205">
        <v>59.91</v>
      </c>
      <c r="R75" s="205">
        <v>60.760000000000005</v>
      </c>
      <c r="S75" s="205">
        <v>60.36</v>
      </c>
      <c r="T75" s="205">
        <v>60.059999999999995</v>
      </c>
      <c r="U75" s="205">
        <v>60.78</v>
      </c>
      <c r="V75" s="205">
        <v>60.25</v>
      </c>
      <c r="W75" s="213">
        <v>57.8</v>
      </c>
      <c r="Z75" s="23" t="str">
        <v>20/02/2024  23:01</v>
      </c>
      <c r="AA75" s="327">
        <v>59.3</v>
      </c>
      <c r="AB75" s="327">
        <v>57.6</v>
      </c>
      <c r="AC75" s="327">
        <v>59.7</v>
      </c>
    </row>
    <row r="76" spans="1:29" ht="14.45" customHeight="1" x14ac:dyDescent="0.25">
      <c r="A76" t="str">
        <v>20/02/2024  23:02</v>
      </c>
      <c r="B76">
        <v>59.47</v>
      </c>
      <c r="C76">
        <v>59.23</v>
      </c>
      <c r="D76">
        <v>59.19</v>
      </c>
      <c r="E76">
        <v>59.83</v>
      </c>
      <c r="F76">
        <v>60.24</v>
      </c>
      <c r="G76">
        <v>60.16</v>
      </c>
      <c r="H76">
        <v>60.06</v>
      </c>
      <c r="I76">
        <v>60.67</v>
      </c>
      <c r="J76">
        <v>60.1</v>
      </c>
      <c r="K76" s="327"/>
      <c r="M76" s="504"/>
      <c r="N76" s="205">
        <v>59.949999999999996</v>
      </c>
      <c r="O76" s="205">
        <v>59.519999999999996</v>
      </c>
      <c r="P76" s="205">
        <v>59.709999999999994</v>
      </c>
      <c r="Q76" s="205">
        <v>60.16</v>
      </c>
      <c r="R76" s="205">
        <v>61.000000000000007</v>
      </c>
      <c r="S76" s="205">
        <v>60.679999999999993</v>
      </c>
      <c r="T76" s="205">
        <v>60.43</v>
      </c>
      <c r="U76" s="205">
        <v>61.160000000000004</v>
      </c>
      <c r="V76" s="205">
        <v>60.59</v>
      </c>
      <c r="W76" s="213">
        <v>58.2</v>
      </c>
      <c r="Z76" s="23" t="str">
        <v>20/02/2024  23:02</v>
      </c>
      <c r="AA76" s="327">
        <v>59.6</v>
      </c>
      <c r="AB76" s="327">
        <v>58</v>
      </c>
      <c r="AC76" s="327">
        <v>60</v>
      </c>
    </row>
    <row r="77" spans="1:29" ht="14.45" customHeight="1" x14ac:dyDescent="0.25">
      <c r="A77" t="str">
        <v>20/02/2024  23:03</v>
      </c>
      <c r="B77">
        <v>59.74</v>
      </c>
      <c r="C77">
        <v>59.57</v>
      </c>
      <c r="D77">
        <v>59.48</v>
      </c>
      <c r="E77">
        <v>60.07</v>
      </c>
      <c r="F77">
        <v>60.58</v>
      </c>
      <c r="G77">
        <v>60.38</v>
      </c>
      <c r="H77">
        <v>60.34</v>
      </c>
      <c r="I77">
        <v>60.87</v>
      </c>
      <c r="J77">
        <v>60.35</v>
      </c>
      <c r="K77" s="327"/>
      <c r="M77" s="504"/>
      <c r="N77" s="205">
        <v>60.22</v>
      </c>
      <c r="O77" s="205">
        <v>59.86</v>
      </c>
      <c r="P77" s="205">
        <v>59.999999999999993</v>
      </c>
      <c r="Q77" s="205">
        <v>60.4</v>
      </c>
      <c r="R77" s="205">
        <v>61.34</v>
      </c>
      <c r="S77" s="205">
        <v>60.9</v>
      </c>
      <c r="T77" s="205">
        <v>60.71</v>
      </c>
      <c r="U77" s="205">
        <v>61.36</v>
      </c>
      <c r="V77" s="205">
        <v>60.84</v>
      </c>
      <c r="W77" s="213">
        <v>58.5</v>
      </c>
      <c r="Z77" s="23" t="str">
        <v>20/02/2024  23:03</v>
      </c>
      <c r="AA77" s="327">
        <v>59.9</v>
      </c>
      <c r="AB77" s="327">
        <v>58.4</v>
      </c>
      <c r="AC77" s="327">
        <v>60.3</v>
      </c>
    </row>
    <row r="78" spans="1:29" ht="14.45" customHeight="1" x14ac:dyDescent="0.25">
      <c r="A78" t="str">
        <v>20/02/2024  23:04</v>
      </c>
      <c r="B78">
        <v>60.07</v>
      </c>
      <c r="C78">
        <v>59.82</v>
      </c>
      <c r="D78">
        <v>59.75</v>
      </c>
      <c r="E78">
        <v>60.37</v>
      </c>
      <c r="F78">
        <v>60.83</v>
      </c>
      <c r="G78">
        <v>60.7</v>
      </c>
      <c r="H78">
        <v>60.64</v>
      </c>
      <c r="I78">
        <v>61.16</v>
      </c>
      <c r="J78">
        <v>60.6</v>
      </c>
      <c r="K78" s="327"/>
      <c r="M78" s="504"/>
      <c r="N78" s="205">
        <v>60.55</v>
      </c>
      <c r="O78" s="205">
        <v>60.11</v>
      </c>
      <c r="P78" s="205">
        <v>60.269999999999996</v>
      </c>
      <c r="Q78" s="205">
        <v>60.699999999999996</v>
      </c>
      <c r="R78" s="205">
        <v>61.59</v>
      </c>
      <c r="S78" s="205">
        <v>61.22</v>
      </c>
      <c r="T78" s="205">
        <v>61.01</v>
      </c>
      <c r="U78" s="205">
        <v>61.65</v>
      </c>
      <c r="V78" s="205">
        <v>61.09</v>
      </c>
      <c r="W78" s="213">
        <v>58.8</v>
      </c>
      <c r="Z78" s="23" t="str">
        <v>20/02/2024  23:04</v>
      </c>
      <c r="AA78" s="327">
        <v>60.2</v>
      </c>
      <c r="AB78" s="327">
        <v>58.7</v>
      </c>
      <c r="AC78" s="327">
        <v>60.6</v>
      </c>
    </row>
    <row r="79" spans="1:29" ht="14.45" customHeight="1" x14ac:dyDescent="0.25">
      <c r="A79" t="str">
        <v>20/02/2024  23:05</v>
      </c>
      <c r="B79">
        <v>60.35</v>
      </c>
      <c r="C79">
        <v>60.12</v>
      </c>
      <c r="D79">
        <v>60.08</v>
      </c>
      <c r="E79">
        <v>60.66</v>
      </c>
      <c r="F79">
        <v>60.97</v>
      </c>
      <c r="G79">
        <v>60.99</v>
      </c>
      <c r="H79">
        <v>60.91</v>
      </c>
      <c r="I79">
        <v>61.4</v>
      </c>
      <c r="J79">
        <v>60.92</v>
      </c>
      <c r="K79" s="327"/>
      <c r="M79" s="504"/>
      <c r="N79" s="205">
        <v>60.83</v>
      </c>
      <c r="O79" s="205">
        <v>60.41</v>
      </c>
      <c r="P79" s="205">
        <v>60.599999999999994</v>
      </c>
      <c r="Q79" s="205">
        <v>60.989999999999995</v>
      </c>
      <c r="R79" s="205">
        <v>61.730000000000004</v>
      </c>
      <c r="S79" s="205">
        <v>61.51</v>
      </c>
      <c r="T79" s="205">
        <v>61.279999999999994</v>
      </c>
      <c r="U79" s="205">
        <v>61.89</v>
      </c>
      <c r="V79" s="205">
        <v>61.410000000000004</v>
      </c>
      <c r="W79" s="213">
        <v>59.2</v>
      </c>
      <c r="Z79" s="23" t="str">
        <v>20/02/2024  23:05</v>
      </c>
      <c r="AA79" s="327">
        <v>60.4</v>
      </c>
      <c r="AB79" s="327">
        <v>59.1</v>
      </c>
      <c r="AC79" s="327">
        <v>60.9</v>
      </c>
    </row>
    <row r="80" spans="1:29" ht="14.45" customHeight="1" x14ac:dyDescent="0.25">
      <c r="A80" t="str">
        <v>20/02/2024  23:06</v>
      </c>
      <c r="B80">
        <v>60.73</v>
      </c>
      <c r="C80">
        <v>60.45</v>
      </c>
      <c r="D80">
        <v>60.37</v>
      </c>
      <c r="E80">
        <v>60.96</v>
      </c>
      <c r="F80">
        <v>61.35</v>
      </c>
      <c r="G80">
        <v>61.34</v>
      </c>
      <c r="H80">
        <v>61.2</v>
      </c>
      <c r="I80">
        <v>61.65</v>
      </c>
      <c r="J80">
        <v>61.2</v>
      </c>
      <c r="K80" s="327"/>
      <c r="M80" s="504"/>
      <c r="N80" s="205">
        <v>61.209999999999994</v>
      </c>
      <c r="O80" s="205">
        <v>60.74</v>
      </c>
      <c r="P80" s="205">
        <v>60.889999999999993</v>
      </c>
      <c r="Q80" s="205">
        <v>61.29</v>
      </c>
      <c r="R80" s="205">
        <v>62.110000000000007</v>
      </c>
      <c r="S80" s="205">
        <v>61.86</v>
      </c>
      <c r="T80" s="205">
        <v>61.57</v>
      </c>
      <c r="U80" s="205">
        <v>62.14</v>
      </c>
      <c r="V80" s="205">
        <v>61.690000000000005</v>
      </c>
      <c r="W80" s="213">
        <v>59.5</v>
      </c>
      <c r="Z80" s="23" t="str">
        <v>20/02/2024  23:06</v>
      </c>
      <c r="AA80" s="327">
        <v>60.6</v>
      </c>
      <c r="AB80" s="327">
        <v>59.4</v>
      </c>
      <c r="AC80" s="327">
        <v>61.2</v>
      </c>
    </row>
    <row r="81" spans="1:29" ht="14.45" customHeight="1" x14ac:dyDescent="0.25">
      <c r="A81" t="str">
        <v>20/02/2024  23:07</v>
      </c>
      <c r="B81">
        <v>61</v>
      </c>
      <c r="C81">
        <v>60.78</v>
      </c>
      <c r="D81">
        <v>60.72</v>
      </c>
      <c r="E81">
        <v>61.27</v>
      </c>
      <c r="F81">
        <v>61.65</v>
      </c>
      <c r="G81">
        <v>61.58</v>
      </c>
      <c r="H81">
        <v>61.49</v>
      </c>
      <c r="I81">
        <v>61.97</v>
      </c>
      <c r="J81">
        <v>61.48</v>
      </c>
      <c r="K81" s="327"/>
      <c r="M81" s="504"/>
      <c r="N81" s="205">
        <v>61.48</v>
      </c>
      <c r="O81" s="205">
        <v>61.07</v>
      </c>
      <c r="P81" s="205">
        <v>61.239999999999995</v>
      </c>
      <c r="Q81" s="205">
        <v>61.6</v>
      </c>
      <c r="R81" s="205">
        <v>62.410000000000004</v>
      </c>
      <c r="S81" s="205">
        <v>62.099999999999994</v>
      </c>
      <c r="T81" s="205">
        <v>61.86</v>
      </c>
      <c r="U81" s="205">
        <v>62.46</v>
      </c>
      <c r="V81" s="205">
        <v>61.97</v>
      </c>
      <c r="W81" s="213">
        <v>59.8</v>
      </c>
      <c r="Z81" s="23" t="str">
        <v>20/02/2024  23:07</v>
      </c>
      <c r="AA81" s="327">
        <v>60.9</v>
      </c>
      <c r="AB81" s="327">
        <v>59.6</v>
      </c>
      <c r="AC81" s="327">
        <v>61.5</v>
      </c>
    </row>
    <row r="82" spans="1:29" ht="14.45" customHeight="1" x14ac:dyDescent="0.25">
      <c r="A82" t="str">
        <v>20/02/2024  23:08</v>
      </c>
      <c r="B82">
        <v>61.32</v>
      </c>
      <c r="C82">
        <v>61.05</v>
      </c>
      <c r="D82">
        <v>60.97</v>
      </c>
      <c r="E82">
        <v>61.5</v>
      </c>
      <c r="F82">
        <v>61.85</v>
      </c>
      <c r="G82">
        <v>61.89</v>
      </c>
      <c r="H82">
        <v>61.77</v>
      </c>
      <c r="I82">
        <v>62.23</v>
      </c>
      <c r="J82">
        <v>61.75</v>
      </c>
      <c r="K82" s="327"/>
      <c r="M82" s="504"/>
      <c r="N82" s="205">
        <v>61.8</v>
      </c>
      <c r="O82" s="205">
        <v>61.339999999999996</v>
      </c>
      <c r="P82" s="205">
        <v>61.489999999999995</v>
      </c>
      <c r="Q82" s="205">
        <v>61.83</v>
      </c>
      <c r="R82" s="205">
        <v>62.610000000000007</v>
      </c>
      <c r="S82" s="205">
        <v>62.41</v>
      </c>
      <c r="T82" s="205">
        <v>62.14</v>
      </c>
      <c r="U82" s="205">
        <v>62.72</v>
      </c>
      <c r="V82" s="205">
        <v>62.24</v>
      </c>
      <c r="W82" s="213">
        <v>60.2</v>
      </c>
      <c r="Z82" s="23" t="str">
        <v>20/02/2024  23:08</v>
      </c>
      <c r="AA82" s="327">
        <v>61.2</v>
      </c>
      <c r="AB82" s="327">
        <v>60</v>
      </c>
      <c r="AC82" s="327">
        <v>61.8</v>
      </c>
    </row>
    <row r="83" spans="1:29" ht="14.45" customHeight="1" x14ac:dyDescent="0.25">
      <c r="A83" t="str">
        <v>20/02/2024  23:09</v>
      </c>
      <c r="B83">
        <v>61.68</v>
      </c>
      <c r="C83">
        <v>61.32</v>
      </c>
      <c r="D83">
        <v>61.28</v>
      </c>
      <c r="E83">
        <v>61.84</v>
      </c>
      <c r="F83">
        <v>62.13</v>
      </c>
      <c r="G83">
        <v>62.26</v>
      </c>
      <c r="H83">
        <v>62.08</v>
      </c>
      <c r="I83">
        <v>62.49</v>
      </c>
      <c r="J83">
        <v>62.08</v>
      </c>
      <c r="K83" s="327"/>
      <c r="M83" s="504"/>
      <c r="N83" s="205">
        <v>62.16</v>
      </c>
      <c r="O83" s="205">
        <v>61.61</v>
      </c>
      <c r="P83" s="205">
        <v>61.8</v>
      </c>
      <c r="Q83" s="205">
        <v>62.17</v>
      </c>
      <c r="R83" s="205">
        <v>62.890000000000008</v>
      </c>
      <c r="S83" s="205">
        <v>62.779999999999994</v>
      </c>
      <c r="T83" s="205">
        <v>62.449999999999996</v>
      </c>
      <c r="U83" s="205">
        <v>62.980000000000004</v>
      </c>
      <c r="V83" s="205">
        <v>62.57</v>
      </c>
      <c r="W83" s="213">
        <v>60.5</v>
      </c>
      <c r="Z83" s="23" t="str">
        <v>20/02/2024  23:09</v>
      </c>
      <c r="AA83" s="327">
        <v>61.5</v>
      </c>
      <c r="AB83" s="327">
        <v>60.3</v>
      </c>
      <c r="AC83" s="327">
        <v>62</v>
      </c>
    </row>
    <row r="84" spans="1:29" ht="14.45" customHeight="1" x14ac:dyDescent="0.25">
      <c r="A84" t="str">
        <v>20/02/2024  23:10</v>
      </c>
      <c r="B84">
        <v>62.03</v>
      </c>
      <c r="C84">
        <v>61.71</v>
      </c>
      <c r="D84">
        <v>61.67</v>
      </c>
      <c r="E84">
        <v>62.18</v>
      </c>
      <c r="F84">
        <v>62.45</v>
      </c>
      <c r="G84">
        <v>62.58</v>
      </c>
      <c r="H84">
        <v>62.39</v>
      </c>
      <c r="I84">
        <v>62.84</v>
      </c>
      <c r="J84">
        <v>62.39</v>
      </c>
      <c r="K84" s="327"/>
      <c r="M84" s="504"/>
      <c r="N84" s="205">
        <v>62.51</v>
      </c>
      <c r="O84" s="205">
        <v>62</v>
      </c>
      <c r="P84" s="205">
        <v>62.19</v>
      </c>
      <c r="Q84" s="205">
        <v>62.51</v>
      </c>
      <c r="R84" s="205">
        <v>63.210000000000008</v>
      </c>
      <c r="S84" s="205">
        <v>63.099999999999994</v>
      </c>
      <c r="T84" s="205">
        <v>62.76</v>
      </c>
      <c r="U84" s="205">
        <v>63.330000000000005</v>
      </c>
      <c r="V84" s="205">
        <v>62.88</v>
      </c>
      <c r="W84" s="213">
        <v>60.8</v>
      </c>
      <c r="Z84" s="23" t="str">
        <v>20/02/2024  23:10</v>
      </c>
      <c r="AA84" s="327">
        <v>61.7</v>
      </c>
      <c r="AB84" s="327">
        <v>60.6</v>
      </c>
      <c r="AC84" s="327">
        <v>62.3</v>
      </c>
    </row>
    <row r="85" spans="1:29" ht="14.45" customHeight="1" x14ac:dyDescent="0.25">
      <c r="A85" t="str">
        <v>20/02/2024  23:11</v>
      </c>
      <c r="B85">
        <v>62.34</v>
      </c>
      <c r="C85">
        <v>62.02</v>
      </c>
      <c r="D85">
        <v>61.96</v>
      </c>
      <c r="E85">
        <v>62.5</v>
      </c>
      <c r="F85">
        <v>62.72</v>
      </c>
      <c r="G85">
        <v>62.87</v>
      </c>
      <c r="H85">
        <v>62.7</v>
      </c>
      <c r="I85">
        <v>63.14</v>
      </c>
      <c r="J85">
        <v>62.65</v>
      </c>
      <c r="K85" s="327"/>
      <c r="M85" s="504"/>
      <c r="N85" s="205">
        <v>62.82</v>
      </c>
      <c r="O85" s="205">
        <v>62.31</v>
      </c>
      <c r="P85" s="205">
        <v>62.48</v>
      </c>
      <c r="Q85" s="205">
        <v>62.83</v>
      </c>
      <c r="R85" s="205">
        <v>63.480000000000004</v>
      </c>
      <c r="S85" s="205">
        <v>63.389999999999993</v>
      </c>
      <c r="T85" s="205">
        <v>63.07</v>
      </c>
      <c r="U85" s="205">
        <v>63.63</v>
      </c>
      <c r="V85" s="205">
        <v>63.14</v>
      </c>
      <c r="W85" s="213">
        <v>61.2</v>
      </c>
      <c r="Z85" s="23" t="str">
        <v>20/02/2024  23:11</v>
      </c>
      <c r="AA85" s="327">
        <v>62</v>
      </c>
      <c r="AB85" s="327">
        <v>60.9</v>
      </c>
      <c r="AC85" s="327">
        <v>62.6</v>
      </c>
    </row>
    <row r="86" spans="1:29" ht="14.45" customHeight="1" x14ac:dyDescent="0.25">
      <c r="A86" t="str">
        <v>20/02/2024  23:12</v>
      </c>
      <c r="B86">
        <v>62.6</v>
      </c>
      <c r="C86">
        <v>62.33</v>
      </c>
      <c r="D86">
        <v>62.32</v>
      </c>
      <c r="E86">
        <v>62.79</v>
      </c>
      <c r="F86">
        <v>63.01</v>
      </c>
      <c r="G86">
        <v>63.16</v>
      </c>
      <c r="H86">
        <v>63.11</v>
      </c>
      <c r="I86">
        <v>63.48</v>
      </c>
      <c r="J86">
        <v>63.04</v>
      </c>
      <c r="K86" s="327"/>
      <c r="M86" s="504"/>
      <c r="N86" s="205">
        <v>63.08</v>
      </c>
      <c r="O86" s="205">
        <v>62.62</v>
      </c>
      <c r="P86" s="205">
        <v>62.839999999999996</v>
      </c>
      <c r="Q86" s="205">
        <v>63.12</v>
      </c>
      <c r="R86" s="205">
        <v>63.77</v>
      </c>
      <c r="S86" s="205">
        <v>63.679999999999993</v>
      </c>
      <c r="T86" s="205">
        <v>63.48</v>
      </c>
      <c r="U86" s="205">
        <v>63.97</v>
      </c>
      <c r="V86" s="205">
        <v>63.53</v>
      </c>
      <c r="W86" s="213">
        <v>61.5</v>
      </c>
      <c r="Z86" s="23" t="str">
        <v>20/02/2024  23:12</v>
      </c>
      <c r="AA86" s="327">
        <v>62.3</v>
      </c>
      <c r="AB86" s="327">
        <v>61.2</v>
      </c>
      <c r="AC86" s="327">
        <v>63</v>
      </c>
    </row>
    <row r="87" spans="1:29" ht="14.45" customHeight="1" x14ac:dyDescent="0.25">
      <c r="A87" t="str">
        <v>20/02/2024  23:13</v>
      </c>
      <c r="B87">
        <v>62.89</v>
      </c>
      <c r="C87">
        <v>62.72</v>
      </c>
      <c r="D87">
        <v>62.62</v>
      </c>
      <c r="E87">
        <v>63.13</v>
      </c>
      <c r="F87">
        <v>63.34</v>
      </c>
      <c r="G87">
        <v>63.52</v>
      </c>
      <c r="H87">
        <v>63.33</v>
      </c>
      <c r="I87">
        <v>63.82</v>
      </c>
      <c r="J87">
        <v>63.31</v>
      </c>
      <c r="K87" s="327"/>
      <c r="M87" s="504"/>
      <c r="N87" s="205">
        <v>63.37</v>
      </c>
      <c r="O87" s="205">
        <v>63.01</v>
      </c>
      <c r="P87" s="205">
        <v>63.139999999999993</v>
      </c>
      <c r="Q87" s="205">
        <v>63.46</v>
      </c>
      <c r="R87" s="205">
        <v>64.100000000000009</v>
      </c>
      <c r="S87" s="205">
        <v>64.040000000000006</v>
      </c>
      <c r="T87" s="205">
        <v>63.699999999999996</v>
      </c>
      <c r="U87" s="205">
        <v>64.31</v>
      </c>
      <c r="V87" s="205">
        <v>63.800000000000004</v>
      </c>
      <c r="W87" s="213">
        <v>61.8</v>
      </c>
      <c r="Z87" s="23" t="str">
        <v>20/02/2024  23:13</v>
      </c>
      <c r="AA87" s="327">
        <v>62.6</v>
      </c>
      <c r="AB87" s="327">
        <v>61.5</v>
      </c>
      <c r="AC87" s="327">
        <v>63.3</v>
      </c>
    </row>
    <row r="88" spans="1:29" ht="14.45" customHeight="1" x14ac:dyDescent="0.25">
      <c r="A88" t="str">
        <v>20/02/2024  23:14</v>
      </c>
      <c r="B88">
        <v>63.33</v>
      </c>
      <c r="C88">
        <v>63.01</v>
      </c>
      <c r="D88">
        <v>62.96</v>
      </c>
      <c r="E88">
        <v>63.44</v>
      </c>
      <c r="F88">
        <v>63.66</v>
      </c>
      <c r="G88">
        <v>63.85</v>
      </c>
      <c r="H88">
        <v>63.64</v>
      </c>
      <c r="I88">
        <v>64.040000000000006</v>
      </c>
      <c r="J88">
        <v>63.6</v>
      </c>
      <c r="K88" s="327"/>
      <c r="M88" s="504"/>
      <c r="N88" s="205">
        <v>63.809999999999995</v>
      </c>
      <c r="O88" s="205">
        <v>63.3</v>
      </c>
      <c r="P88" s="205">
        <v>63.48</v>
      </c>
      <c r="Q88" s="205">
        <v>63.769999999999996</v>
      </c>
      <c r="R88" s="205">
        <v>64.42</v>
      </c>
      <c r="S88" s="205">
        <v>64.37</v>
      </c>
      <c r="T88" s="205">
        <v>64.010000000000005</v>
      </c>
      <c r="U88" s="205">
        <v>64.53</v>
      </c>
      <c r="V88" s="205">
        <v>64.09</v>
      </c>
      <c r="W88" s="213">
        <v>62.2</v>
      </c>
      <c r="Z88" s="23" t="str">
        <v>20/02/2024  23:14</v>
      </c>
      <c r="AA88" s="327">
        <v>62.9</v>
      </c>
      <c r="AB88" s="327">
        <v>61.9</v>
      </c>
      <c r="AC88" s="327">
        <v>63.6</v>
      </c>
    </row>
    <row r="89" spans="1:29" ht="14.45" customHeight="1" x14ac:dyDescent="0.25">
      <c r="A89" t="str">
        <v>20/02/2024  23:15</v>
      </c>
      <c r="B89">
        <v>63.57</v>
      </c>
      <c r="C89">
        <v>63.26</v>
      </c>
      <c r="D89">
        <v>63.23</v>
      </c>
      <c r="E89">
        <v>63.75</v>
      </c>
      <c r="F89">
        <v>63.91</v>
      </c>
      <c r="G89">
        <v>64.099999999999994</v>
      </c>
      <c r="H89">
        <v>63.97</v>
      </c>
      <c r="I89">
        <v>64.37</v>
      </c>
      <c r="J89">
        <v>63.89</v>
      </c>
      <c r="K89" s="327"/>
      <c r="M89" s="504"/>
      <c r="N89" s="205">
        <v>64.05</v>
      </c>
      <c r="O89" s="205">
        <v>63.55</v>
      </c>
      <c r="P89" s="205">
        <v>63.749999999999993</v>
      </c>
      <c r="Q89" s="205">
        <v>64.08</v>
      </c>
      <c r="R89" s="205">
        <v>64.67</v>
      </c>
      <c r="S89" s="205">
        <v>64.61999999999999</v>
      </c>
      <c r="T89" s="205">
        <v>64.34</v>
      </c>
      <c r="U89" s="205">
        <v>64.86</v>
      </c>
      <c r="V89" s="205">
        <v>64.38</v>
      </c>
      <c r="W89" s="213">
        <v>62.5</v>
      </c>
      <c r="Z89" s="23" t="str">
        <v>20/02/2024  23:15</v>
      </c>
      <c r="AA89" s="327">
        <v>63.2</v>
      </c>
      <c r="AB89" s="327">
        <v>62.2</v>
      </c>
      <c r="AC89" s="327">
        <v>63.9</v>
      </c>
    </row>
    <row r="90" spans="1:29" ht="14.45" customHeight="1" x14ac:dyDescent="0.25">
      <c r="A90" t="str">
        <v>20/02/2024  23:16</v>
      </c>
      <c r="B90">
        <v>63.92</v>
      </c>
      <c r="C90">
        <v>63.6</v>
      </c>
      <c r="D90">
        <v>63.56</v>
      </c>
      <c r="E90">
        <v>64.03</v>
      </c>
      <c r="F90">
        <v>64.31</v>
      </c>
      <c r="G90">
        <v>64.42</v>
      </c>
      <c r="H90">
        <v>64.25</v>
      </c>
      <c r="I90">
        <v>64.680000000000007</v>
      </c>
      <c r="J90">
        <v>64.19</v>
      </c>
      <c r="K90" s="327"/>
      <c r="M90" s="504"/>
      <c r="N90" s="205">
        <v>64.400000000000006</v>
      </c>
      <c r="O90" s="205">
        <v>63.89</v>
      </c>
      <c r="P90" s="205">
        <v>64.08</v>
      </c>
      <c r="Q90" s="205">
        <v>64.36</v>
      </c>
      <c r="R90" s="205">
        <v>65.070000000000007</v>
      </c>
      <c r="S90" s="205">
        <v>64.94</v>
      </c>
      <c r="T90" s="205">
        <v>64.62</v>
      </c>
      <c r="U90" s="205">
        <v>65.17</v>
      </c>
      <c r="V90" s="205">
        <v>64.679999999999993</v>
      </c>
      <c r="W90" s="213">
        <v>62.8</v>
      </c>
      <c r="Z90" s="23" t="str">
        <v>20/02/2024  23:16</v>
      </c>
      <c r="AA90" s="327">
        <v>63.5</v>
      </c>
      <c r="AB90" s="327">
        <v>62.5</v>
      </c>
      <c r="AC90" s="327">
        <v>64.3</v>
      </c>
    </row>
    <row r="91" spans="1:29" ht="14.45" customHeight="1" x14ac:dyDescent="0.25">
      <c r="A91" t="str">
        <v>20/02/2024  23:17</v>
      </c>
      <c r="B91">
        <v>64.23</v>
      </c>
      <c r="C91">
        <v>63.97</v>
      </c>
      <c r="D91">
        <v>63.89</v>
      </c>
      <c r="E91">
        <v>64.349999999999994</v>
      </c>
      <c r="F91">
        <v>64.56</v>
      </c>
      <c r="G91">
        <v>64.709999999999994</v>
      </c>
      <c r="H91">
        <v>64.510000000000005</v>
      </c>
      <c r="I91">
        <v>64.989999999999995</v>
      </c>
      <c r="J91">
        <v>64.56</v>
      </c>
      <c r="K91" s="327"/>
      <c r="M91" s="504"/>
      <c r="N91" s="205">
        <v>64.710000000000008</v>
      </c>
      <c r="O91" s="205">
        <v>64.259999999999991</v>
      </c>
      <c r="P91" s="205">
        <v>64.41</v>
      </c>
      <c r="Q91" s="205">
        <v>64.679999999999993</v>
      </c>
      <c r="R91" s="205">
        <v>65.320000000000007</v>
      </c>
      <c r="S91" s="205">
        <v>65.22999999999999</v>
      </c>
      <c r="T91" s="205">
        <v>64.88000000000001</v>
      </c>
      <c r="U91" s="205">
        <v>65.47999999999999</v>
      </c>
      <c r="V91" s="205">
        <v>65.05</v>
      </c>
      <c r="W91" s="213">
        <v>63.2</v>
      </c>
      <c r="Z91" s="23" t="str">
        <v>20/02/2024  23:17</v>
      </c>
      <c r="AA91" s="327">
        <v>63.8</v>
      </c>
      <c r="AB91" s="327">
        <v>62.9</v>
      </c>
      <c r="AC91" s="327">
        <v>64.599999999999994</v>
      </c>
    </row>
    <row r="92" spans="1:29" ht="14.45" customHeight="1" x14ac:dyDescent="0.25">
      <c r="A92" t="str">
        <v>20/02/2024  23:18</v>
      </c>
      <c r="B92">
        <v>64.48</v>
      </c>
      <c r="C92">
        <v>64.23</v>
      </c>
      <c r="D92">
        <v>64.25</v>
      </c>
      <c r="E92">
        <v>64.680000000000007</v>
      </c>
      <c r="F92">
        <v>64.900000000000006</v>
      </c>
      <c r="G92">
        <v>65.099999999999994</v>
      </c>
      <c r="H92">
        <v>64.91</v>
      </c>
      <c r="I92">
        <v>65.33</v>
      </c>
      <c r="J92">
        <v>64.88</v>
      </c>
      <c r="K92" s="327"/>
      <c r="M92" s="504"/>
      <c r="N92" s="205">
        <v>64.960000000000008</v>
      </c>
      <c r="O92" s="205">
        <v>64.52</v>
      </c>
      <c r="P92" s="205">
        <v>64.77</v>
      </c>
      <c r="Q92" s="205">
        <v>65.010000000000005</v>
      </c>
      <c r="R92" s="205">
        <v>65.660000000000011</v>
      </c>
      <c r="S92" s="205">
        <v>65.61999999999999</v>
      </c>
      <c r="T92" s="205">
        <v>65.28</v>
      </c>
      <c r="U92" s="205">
        <v>65.819999999999993</v>
      </c>
      <c r="V92" s="205">
        <v>65.36999999999999</v>
      </c>
      <c r="W92" s="213">
        <v>63.5</v>
      </c>
      <c r="Z92" s="23" t="str">
        <v>20/02/2024  23:18</v>
      </c>
      <c r="AA92" s="327">
        <v>64.099999999999994</v>
      </c>
      <c r="AB92" s="327">
        <v>63.2</v>
      </c>
      <c r="AC92" s="327">
        <v>64.900000000000006</v>
      </c>
    </row>
    <row r="93" spans="1:29" ht="14.45" customHeight="1" x14ac:dyDescent="0.25">
      <c r="A93" t="str">
        <v>20/02/2024  23:19</v>
      </c>
      <c r="B93">
        <v>64.819999999999993</v>
      </c>
      <c r="C93">
        <v>64.569999999999993</v>
      </c>
      <c r="D93">
        <v>64.52</v>
      </c>
      <c r="E93">
        <v>64.989999999999995</v>
      </c>
      <c r="F93">
        <v>65.239999999999995</v>
      </c>
      <c r="G93">
        <v>65.430000000000007</v>
      </c>
      <c r="H93">
        <v>65.260000000000005</v>
      </c>
      <c r="I93">
        <v>65.69</v>
      </c>
      <c r="J93">
        <v>65.180000000000007</v>
      </c>
      <c r="K93" s="327"/>
      <c r="M93" s="504"/>
      <c r="N93" s="205">
        <v>65.3</v>
      </c>
      <c r="O93" s="205">
        <v>64.859999999999985</v>
      </c>
      <c r="P93" s="205">
        <v>65.039999999999992</v>
      </c>
      <c r="Q93" s="205">
        <v>65.319999999999993</v>
      </c>
      <c r="R93" s="205">
        <v>66</v>
      </c>
      <c r="S93" s="205">
        <v>65.95</v>
      </c>
      <c r="T93" s="205">
        <v>65.63000000000001</v>
      </c>
      <c r="U93" s="205">
        <v>66.179999999999993</v>
      </c>
      <c r="V93" s="205">
        <v>65.67</v>
      </c>
      <c r="W93" s="213">
        <v>63.8</v>
      </c>
      <c r="Z93" s="23" t="str">
        <v>20/02/2024  23:19</v>
      </c>
      <c r="AA93" s="327">
        <v>64.400000000000006</v>
      </c>
      <c r="AB93" s="327">
        <v>63.5</v>
      </c>
      <c r="AC93" s="327">
        <v>65.2</v>
      </c>
    </row>
    <row r="94" spans="1:29" ht="14.45" customHeight="1" x14ac:dyDescent="0.25">
      <c r="A94" t="str">
        <v>20/02/2024  23:20</v>
      </c>
      <c r="B94">
        <v>65.09</v>
      </c>
      <c r="C94">
        <v>64.900000000000006</v>
      </c>
      <c r="D94">
        <v>64.86</v>
      </c>
      <c r="E94">
        <v>65.349999999999994</v>
      </c>
      <c r="F94">
        <v>65.58</v>
      </c>
      <c r="G94">
        <v>65.73</v>
      </c>
      <c r="H94">
        <v>65.55</v>
      </c>
      <c r="I94">
        <v>65.98</v>
      </c>
      <c r="J94">
        <v>65.52</v>
      </c>
      <c r="K94" s="327"/>
      <c r="M94" s="504"/>
      <c r="N94" s="205">
        <v>65.570000000000007</v>
      </c>
      <c r="O94" s="205">
        <v>65.19</v>
      </c>
      <c r="P94" s="205">
        <v>65.38</v>
      </c>
      <c r="Q94" s="205">
        <v>65.679999999999993</v>
      </c>
      <c r="R94" s="205">
        <v>66.34</v>
      </c>
      <c r="S94" s="205">
        <v>66.25</v>
      </c>
      <c r="T94" s="205">
        <v>65.92</v>
      </c>
      <c r="U94" s="205">
        <v>66.47</v>
      </c>
      <c r="V94" s="205">
        <v>66.009999999999991</v>
      </c>
      <c r="W94" s="213">
        <v>64.2</v>
      </c>
      <c r="Z94" s="23" t="str">
        <v>20/02/2024  23:20</v>
      </c>
      <c r="AA94" s="327">
        <v>64.7</v>
      </c>
      <c r="AB94" s="327">
        <v>63.8</v>
      </c>
      <c r="AC94" s="327">
        <v>65.599999999999994</v>
      </c>
    </row>
    <row r="95" spans="1:29" ht="14.45" customHeight="1" x14ac:dyDescent="0.25">
      <c r="A95" t="str">
        <v>20/02/2024  23:21</v>
      </c>
      <c r="B95">
        <v>65.5</v>
      </c>
      <c r="C95">
        <v>65.27</v>
      </c>
      <c r="D95">
        <v>65.19</v>
      </c>
      <c r="E95">
        <v>65.66</v>
      </c>
      <c r="F95">
        <v>65.88</v>
      </c>
      <c r="G95">
        <v>66.12</v>
      </c>
      <c r="H95">
        <v>65.89</v>
      </c>
      <c r="I95">
        <v>66.3</v>
      </c>
      <c r="J95">
        <v>65.819999999999993</v>
      </c>
      <c r="K95" s="327"/>
      <c r="M95" s="504"/>
      <c r="N95" s="205">
        <v>65.98</v>
      </c>
      <c r="O95" s="205">
        <v>65.559999999999988</v>
      </c>
      <c r="P95" s="205">
        <v>65.709999999999994</v>
      </c>
      <c r="Q95" s="205">
        <v>65.989999999999995</v>
      </c>
      <c r="R95" s="205">
        <v>66.64</v>
      </c>
      <c r="S95" s="205">
        <v>66.64</v>
      </c>
      <c r="T95" s="205">
        <v>66.260000000000005</v>
      </c>
      <c r="U95" s="205">
        <v>66.789999999999992</v>
      </c>
      <c r="V95" s="205">
        <v>66.309999999999988</v>
      </c>
      <c r="W95" s="213">
        <v>64.5</v>
      </c>
      <c r="Z95" s="23" t="str">
        <v>20/02/2024  23:21</v>
      </c>
      <c r="AA95" s="327">
        <v>65.099999999999994</v>
      </c>
      <c r="AB95" s="327">
        <v>64.2</v>
      </c>
      <c r="AC95" s="327">
        <v>65.900000000000006</v>
      </c>
    </row>
    <row r="96" spans="1:29" ht="14.45" customHeight="1" x14ac:dyDescent="0.25">
      <c r="A96" t="str">
        <v>20/02/2024  23:22</v>
      </c>
      <c r="B96">
        <v>65.8</v>
      </c>
      <c r="C96">
        <v>65.58</v>
      </c>
      <c r="D96">
        <v>65.52</v>
      </c>
      <c r="E96">
        <v>65.959999999999994</v>
      </c>
      <c r="F96">
        <v>66.180000000000007</v>
      </c>
      <c r="G96">
        <v>66.38</v>
      </c>
      <c r="H96">
        <v>66.19</v>
      </c>
      <c r="I96">
        <v>66.599999999999994</v>
      </c>
      <c r="J96">
        <v>66.180000000000007</v>
      </c>
      <c r="K96" s="327"/>
      <c r="M96" s="504"/>
      <c r="N96" s="205">
        <v>66.28</v>
      </c>
      <c r="O96" s="205">
        <v>65.86999999999999</v>
      </c>
      <c r="P96" s="205">
        <v>66.039999999999992</v>
      </c>
      <c r="Q96" s="205">
        <v>66.289999999999992</v>
      </c>
      <c r="R96" s="205">
        <v>66.940000000000012</v>
      </c>
      <c r="S96" s="205">
        <v>66.899999999999991</v>
      </c>
      <c r="T96" s="205">
        <v>66.56</v>
      </c>
      <c r="U96" s="205">
        <v>67.089999999999989</v>
      </c>
      <c r="V96" s="205">
        <v>66.67</v>
      </c>
      <c r="W96" s="213">
        <v>64.8</v>
      </c>
      <c r="Z96" s="23" t="str">
        <v>20/02/2024  23:22</v>
      </c>
      <c r="AA96" s="327">
        <v>65.400000000000006</v>
      </c>
      <c r="AB96" s="327">
        <v>64.5</v>
      </c>
      <c r="AC96" s="327">
        <v>66.2</v>
      </c>
    </row>
    <row r="97" spans="1:29" ht="14.45" customHeight="1" x14ac:dyDescent="0.25">
      <c r="A97" t="str">
        <v>20/02/2024  23:23</v>
      </c>
      <c r="B97">
        <v>66.150000000000006</v>
      </c>
      <c r="C97">
        <v>65.849999999999994</v>
      </c>
      <c r="D97">
        <v>65.87</v>
      </c>
      <c r="E97">
        <v>66.31</v>
      </c>
      <c r="F97">
        <v>66.5</v>
      </c>
      <c r="G97">
        <v>66.709999999999994</v>
      </c>
      <c r="H97">
        <v>66.540000000000006</v>
      </c>
      <c r="I97">
        <v>66.930000000000007</v>
      </c>
      <c r="J97">
        <v>66.489999999999995</v>
      </c>
      <c r="K97" s="327"/>
      <c r="M97" s="504"/>
      <c r="N97" s="205">
        <v>66.63000000000001</v>
      </c>
      <c r="O97" s="205">
        <v>66.139999999999986</v>
      </c>
      <c r="P97" s="205">
        <v>66.39</v>
      </c>
      <c r="Q97" s="205">
        <v>66.64</v>
      </c>
      <c r="R97" s="205">
        <v>67.260000000000005</v>
      </c>
      <c r="S97" s="205">
        <v>67.22999999999999</v>
      </c>
      <c r="T97" s="205">
        <v>66.910000000000011</v>
      </c>
      <c r="U97" s="205">
        <v>67.42</v>
      </c>
      <c r="V97" s="205">
        <v>66.97999999999999</v>
      </c>
      <c r="W97" s="213">
        <v>65.2</v>
      </c>
      <c r="Z97" s="23" t="str">
        <v>20/02/2024  23:23</v>
      </c>
      <c r="AA97" s="327">
        <v>65.8</v>
      </c>
      <c r="AB97" s="327">
        <v>64.8</v>
      </c>
      <c r="AC97" s="327">
        <v>66.5</v>
      </c>
    </row>
    <row r="98" spans="1:29" ht="14.45" customHeight="1" x14ac:dyDescent="0.25">
      <c r="A98" t="str">
        <v>20/02/2024  23:24</v>
      </c>
      <c r="B98">
        <v>66.42</v>
      </c>
      <c r="C98">
        <v>66.2</v>
      </c>
      <c r="D98">
        <v>66.17</v>
      </c>
      <c r="E98">
        <v>66.66</v>
      </c>
      <c r="F98">
        <v>66.75</v>
      </c>
      <c r="G98">
        <v>67.09</v>
      </c>
      <c r="H98">
        <v>66.89</v>
      </c>
      <c r="I98">
        <v>67.31</v>
      </c>
      <c r="J98">
        <v>66.84</v>
      </c>
      <c r="K98" s="327"/>
      <c r="M98" s="504"/>
      <c r="N98" s="205">
        <v>66.900000000000006</v>
      </c>
      <c r="O98" s="205">
        <v>66.489999999999995</v>
      </c>
      <c r="P98" s="205">
        <v>66.69</v>
      </c>
      <c r="Q98" s="205">
        <v>66.989999999999995</v>
      </c>
      <c r="R98" s="205">
        <v>67.510000000000005</v>
      </c>
      <c r="S98" s="205">
        <v>67.61</v>
      </c>
      <c r="T98" s="205">
        <v>67.260000000000005</v>
      </c>
      <c r="U98" s="205">
        <v>67.8</v>
      </c>
      <c r="V98" s="205">
        <v>67.33</v>
      </c>
      <c r="W98" s="213">
        <v>65.5</v>
      </c>
      <c r="Z98" s="23" t="str">
        <v>20/02/2024  23:24</v>
      </c>
      <c r="AA98" s="327">
        <v>66.099999999999994</v>
      </c>
      <c r="AB98" s="327">
        <v>65.099999999999994</v>
      </c>
      <c r="AC98" s="327">
        <v>66.900000000000006</v>
      </c>
    </row>
    <row r="99" spans="1:29" ht="14.45" customHeight="1" x14ac:dyDescent="0.25">
      <c r="A99" t="str">
        <v>20/02/2024  23:25</v>
      </c>
      <c r="B99">
        <v>66.87</v>
      </c>
      <c r="C99">
        <v>66.59</v>
      </c>
      <c r="D99">
        <v>66.56</v>
      </c>
      <c r="E99">
        <v>66.989999999999995</v>
      </c>
      <c r="F99">
        <v>67.2</v>
      </c>
      <c r="G99">
        <v>67.44</v>
      </c>
      <c r="H99">
        <v>67.22</v>
      </c>
      <c r="I99">
        <v>67.650000000000006</v>
      </c>
      <c r="J99">
        <v>67.13</v>
      </c>
      <c r="K99" s="327"/>
      <c r="M99" s="504"/>
      <c r="N99" s="205">
        <v>67.350000000000009</v>
      </c>
      <c r="O99" s="205">
        <v>66.88</v>
      </c>
      <c r="P99" s="205">
        <v>67.08</v>
      </c>
      <c r="Q99" s="205">
        <v>67.319999999999993</v>
      </c>
      <c r="R99" s="205">
        <v>67.960000000000008</v>
      </c>
      <c r="S99" s="205">
        <v>67.959999999999994</v>
      </c>
      <c r="T99" s="205">
        <v>67.59</v>
      </c>
      <c r="U99" s="205">
        <v>68.14</v>
      </c>
      <c r="V99" s="205">
        <v>67.61999999999999</v>
      </c>
      <c r="W99" s="213">
        <v>65.8</v>
      </c>
      <c r="Z99" s="23" t="str">
        <v>20/02/2024  23:25</v>
      </c>
      <c r="AA99" s="327">
        <v>66.400000000000006</v>
      </c>
      <c r="AB99" s="327">
        <v>65.5</v>
      </c>
      <c r="AC99" s="327">
        <v>67.2</v>
      </c>
    </row>
    <row r="100" spans="1:29" ht="14.45" customHeight="1" x14ac:dyDescent="0.25">
      <c r="A100" t="str">
        <v>20/02/2024  23:26</v>
      </c>
      <c r="B100">
        <v>67.11</v>
      </c>
      <c r="C100">
        <v>66.87</v>
      </c>
      <c r="D100">
        <v>66.84</v>
      </c>
      <c r="E100">
        <v>67.260000000000005</v>
      </c>
      <c r="F100">
        <v>67.44</v>
      </c>
      <c r="G100">
        <v>67.739999999999995</v>
      </c>
      <c r="H100">
        <v>67.55</v>
      </c>
      <c r="I100">
        <v>68</v>
      </c>
      <c r="J100">
        <v>67.42</v>
      </c>
      <c r="K100" s="327"/>
      <c r="M100" s="504"/>
      <c r="N100" s="205">
        <v>67.59</v>
      </c>
      <c r="O100" s="205">
        <v>67.16</v>
      </c>
      <c r="P100" s="205">
        <v>67.36</v>
      </c>
      <c r="Q100" s="205">
        <v>67.59</v>
      </c>
      <c r="R100" s="205">
        <v>68.2</v>
      </c>
      <c r="S100" s="205">
        <v>68.259999999999991</v>
      </c>
      <c r="T100" s="205">
        <v>67.92</v>
      </c>
      <c r="U100" s="205">
        <v>68.489999999999995</v>
      </c>
      <c r="V100" s="205">
        <v>67.91</v>
      </c>
      <c r="W100" s="213">
        <v>66.2</v>
      </c>
      <c r="Z100" s="23" t="str">
        <v>20/02/2024  23:26</v>
      </c>
      <c r="AA100" s="327">
        <v>66.7</v>
      </c>
      <c r="AB100" s="327">
        <v>65.8</v>
      </c>
      <c r="AC100" s="327">
        <v>67.599999999999994</v>
      </c>
    </row>
    <row r="101" spans="1:29" ht="14.45" customHeight="1" x14ac:dyDescent="0.25">
      <c r="A101" t="str">
        <v>20/02/2024  23:27</v>
      </c>
      <c r="B101">
        <v>67.5</v>
      </c>
      <c r="C101">
        <v>67.239999999999995</v>
      </c>
      <c r="D101">
        <v>67.25</v>
      </c>
      <c r="E101">
        <v>67.67</v>
      </c>
      <c r="F101">
        <v>67.87</v>
      </c>
      <c r="G101">
        <v>68.08</v>
      </c>
      <c r="H101">
        <v>67.92</v>
      </c>
      <c r="I101">
        <v>68.33</v>
      </c>
      <c r="J101">
        <v>67.819999999999993</v>
      </c>
      <c r="K101" s="327"/>
      <c r="M101" s="504"/>
      <c r="N101" s="205">
        <v>67.98</v>
      </c>
      <c r="O101" s="205">
        <v>67.529999999999987</v>
      </c>
      <c r="P101" s="205">
        <v>67.77</v>
      </c>
      <c r="Q101" s="205">
        <v>68</v>
      </c>
      <c r="R101" s="205">
        <v>68.63000000000001</v>
      </c>
      <c r="S101" s="205">
        <v>68.599999999999994</v>
      </c>
      <c r="T101" s="205">
        <v>68.290000000000006</v>
      </c>
      <c r="U101" s="205">
        <v>68.819999999999993</v>
      </c>
      <c r="V101" s="205">
        <v>68.309999999999988</v>
      </c>
      <c r="W101" s="213">
        <v>66.5</v>
      </c>
      <c r="Z101" s="23" t="str">
        <v>20/02/2024  23:27</v>
      </c>
      <c r="AA101" s="327">
        <v>67.099999999999994</v>
      </c>
      <c r="AB101" s="327">
        <v>66.099999999999994</v>
      </c>
      <c r="AC101" s="327">
        <v>67.900000000000006</v>
      </c>
    </row>
    <row r="102" spans="1:29" ht="14.45" customHeight="1" x14ac:dyDescent="0.25">
      <c r="A102" t="str">
        <v>20/02/2024  23:28</v>
      </c>
      <c r="B102">
        <v>67.760000000000005</v>
      </c>
      <c r="C102">
        <v>67.59</v>
      </c>
      <c r="D102">
        <v>67.53</v>
      </c>
      <c r="E102">
        <v>67.959999999999994</v>
      </c>
      <c r="F102">
        <v>68.180000000000007</v>
      </c>
      <c r="G102">
        <v>68.48</v>
      </c>
      <c r="H102">
        <v>68.23</v>
      </c>
      <c r="I102">
        <v>68.650000000000006</v>
      </c>
      <c r="J102">
        <v>68.14</v>
      </c>
      <c r="K102" s="327"/>
      <c r="M102" s="504"/>
      <c r="N102" s="205">
        <v>68.240000000000009</v>
      </c>
      <c r="O102" s="205">
        <v>67.88</v>
      </c>
      <c r="P102" s="205">
        <v>68.05</v>
      </c>
      <c r="Q102" s="205">
        <v>68.289999999999992</v>
      </c>
      <c r="R102" s="205">
        <v>68.940000000000012</v>
      </c>
      <c r="S102" s="205">
        <v>69</v>
      </c>
      <c r="T102" s="205">
        <v>68.600000000000009</v>
      </c>
      <c r="U102" s="205">
        <v>69.14</v>
      </c>
      <c r="V102" s="205">
        <v>68.63</v>
      </c>
      <c r="W102" s="213">
        <v>66.8</v>
      </c>
      <c r="Z102" s="23" t="str">
        <v>20/02/2024  23:28</v>
      </c>
      <c r="AA102" s="327">
        <v>67.400000000000006</v>
      </c>
      <c r="AB102" s="327">
        <v>66.5</v>
      </c>
      <c r="AC102" s="327">
        <v>68.3</v>
      </c>
    </row>
    <row r="103" spans="1:29" ht="14.45" customHeight="1" x14ac:dyDescent="0.25">
      <c r="A103" t="str">
        <v>20/02/2024  23:29</v>
      </c>
      <c r="B103">
        <v>68.099999999999994</v>
      </c>
      <c r="C103">
        <v>67.87</v>
      </c>
      <c r="D103">
        <v>67.81</v>
      </c>
      <c r="E103">
        <v>68.3</v>
      </c>
      <c r="F103">
        <v>68.540000000000006</v>
      </c>
      <c r="G103">
        <v>68.78</v>
      </c>
      <c r="H103">
        <v>68.55</v>
      </c>
      <c r="I103">
        <v>69.010000000000005</v>
      </c>
      <c r="J103">
        <v>68.52</v>
      </c>
      <c r="K103" s="327"/>
      <c r="M103" s="504"/>
      <c r="N103" s="205">
        <v>68.58</v>
      </c>
      <c r="O103" s="205">
        <v>68.16</v>
      </c>
      <c r="P103" s="205">
        <v>68.33</v>
      </c>
      <c r="Q103" s="205">
        <v>68.63</v>
      </c>
      <c r="R103" s="205">
        <v>69.300000000000011</v>
      </c>
      <c r="S103" s="205">
        <v>69.3</v>
      </c>
      <c r="T103" s="205">
        <v>68.92</v>
      </c>
      <c r="U103" s="205">
        <v>69.5</v>
      </c>
      <c r="V103" s="205">
        <v>69.009999999999991</v>
      </c>
      <c r="W103" s="213">
        <v>67.2</v>
      </c>
      <c r="Z103" s="23" t="str">
        <v>20/02/2024  23:29</v>
      </c>
      <c r="AA103" s="327">
        <v>67.8</v>
      </c>
      <c r="AB103" s="327">
        <v>66.8</v>
      </c>
      <c r="AC103" s="327">
        <v>68.599999999999994</v>
      </c>
    </row>
    <row r="104" spans="1:29" ht="14.45" customHeight="1" x14ac:dyDescent="0.25">
      <c r="A104" t="str">
        <v>20/02/2024  23:30</v>
      </c>
      <c r="B104">
        <v>68.45</v>
      </c>
      <c r="C104">
        <v>68.19</v>
      </c>
      <c r="D104">
        <v>68.150000000000006</v>
      </c>
      <c r="E104">
        <v>68.64</v>
      </c>
      <c r="F104">
        <v>68.849999999999994</v>
      </c>
      <c r="G104">
        <v>69.14</v>
      </c>
      <c r="H104">
        <v>68.89</v>
      </c>
      <c r="I104">
        <v>69.33</v>
      </c>
      <c r="J104">
        <v>68.819999999999993</v>
      </c>
      <c r="K104" s="327"/>
      <c r="M104" s="504"/>
      <c r="N104" s="205">
        <v>68.930000000000007</v>
      </c>
      <c r="O104" s="205">
        <v>68.47999999999999</v>
      </c>
      <c r="P104" s="205">
        <v>68.67</v>
      </c>
      <c r="Q104" s="205">
        <v>68.97</v>
      </c>
      <c r="R104" s="205">
        <v>69.61</v>
      </c>
      <c r="S104" s="205">
        <v>69.66</v>
      </c>
      <c r="T104" s="205">
        <v>69.260000000000005</v>
      </c>
      <c r="U104" s="205">
        <v>69.819999999999993</v>
      </c>
      <c r="V104" s="205">
        <v>69.309999999999988</v>
      </c>
      <c r="W104" s="213">
        <v>67.5</v>
      </c>
      <c r="Z104" s="23" t="str">
        <v>20/02/2024  23:30</v>
      </c>
      <c r="AA104" s="327">
        <v>68</v>
      </c>
      <c r="AB104" s="327">
        <v>67.099999999999994</v>
      </c>
      <c r="AC104" s="327">
        <v>69</v>
      </c>
    </row>
    <row r="105" spans="1:29" ht="14.45" customHeight="1" x14ac:dyDescent="0.25">
      <c r="A105" t="str">
        <v>20/02/2024  23:31</v>
      </c>
      <c r="B105">
        <v>68.77</v>
      </c>
      <c r="C105">
        <v>68.52</v>
      </c>
      <c r="D105">
        <v>68.489999999999995</v>
      </c>
      <c r="E105">
        <v>68.94</v>
      </c>
      <c r="F105">
        <v>69.239999999999995</v>
      </c>
      <c r="G105">
        <v>69.45</v>
      </c>
      <c r="H105">
        <v>69.22</v>
      </c>
      <c r="I105">
        <v>69.67</v>
      </c>
      <c r="J105">
        <v>69.17</v>
      </c>
      <c r="K105" s="327"/>
      <c r="M105" s="504"/>
      <c r="N105" s="205">
        <v>69.25</v>
      </c>
      <c r="O105" s="205">
        <v>68.809999999999988</v>
      </c>
      <c r="P105" s="205">
        <v>69.009999999999991</v>
      </c>
      <c r="Q105" s="205">
        <v>69.27</v>
      </c>
      <c r="R105" s="205">
        <v>70</v>
      </c>
      <c r="S105" s="205">
        <v>69.97</v>
      </c>
      <c r="T105" s="205">
        <v>69.59</v>
      </c>
      <c r="U105" s="205">
        <v>70.16</v>
      </c>
      <c r="V105" s="205">
        <v>69.66</v>
      </c>
      <c r="W105" s="213">
        <v>67.8</v>
      </c>
      <c r="Z105" s="23" t="str">
        <v>20/02/2024  23:31</v>
      </c>
      <c r="AA105" s="327">
        <v>68.400000000000006</v>
      </c>
      <c r="AB105" s="327">
        <v>67.400000000000006</v>
      </c>
      <c r="AC105" s="327">
        <v>69.3</v>
      </c>
    </row>
    <row r="106" spans="1:29" ht="14.45" customHeight="1" x14ac:dyDescent="0.25">
      <c r="A106" t="str">
        <v>20/02/2024  23:32</v>
      </c>
      <c r="B106">
        <v>69.22</v>
      </c>
      <c r="C106">
        <v>68.92</v>
      </c>
      <c r="D106">
        <v>68.88</v>
      </c>
      <c r="E106">
        <v>69.34</v>
      </c>
      <c r="F106">
        <v>69.489999999999995</v>
      </c>
      <c r="G106">
        <v>69.78</v>
      </c>
      <c r="H106">
        <v>69.599999999999994</v>
      </c>
      <c r="I106">
        <v>70</v>
      </c>
      <c r="J106">
        <v>69.489999999999995</v>
      </c>
      <c r="K106" s="327"/>
      <c r="M106" s="504"/>
      <c r="N106" s="205">
        <v>69.7</v>
      </c>
      <c r="O106" s="205">
        <v>69.209999999999994</v>
      </c>
      <c r="P106" s="205">
        <v>69.399999999999991</v>
      </c>
      <c r="Q106" s="205">
        <v>69.67</v>
      </c>
      <c r="R106" s="205">
        <v>70.25</v>
      </c>
      <c r="S106" s="205">
        <v>70.3</v>
      </c>
      <c r="T106" s="205">
        <v>69.97</v>
      </c>
      <c r="U106" s="205">
        <v>70.489999999999995</v>
      </c>
      <c r="V106" s="205">
        <v>69.97999999999999</v>
      </c>
      <c r="W106" s="213">
        <v>68.2</v>
      </c>
      <c r="Z106" s="23" t="str">
        <v>20/02/2024  23:32</v>
      </c>
      <c r="AA106" s="327">
        <v>68.7</v>
      </c>
      <c r="AB106" s="327">
        <v>67.8</v>
      </c>
      <c r="AC106" s="327">
        <v>69.599999999999994</v>
      </c>
    </row>
    <row r="107" spans="1:29" ht="14.45" customHeight="1" x14ac:dyDescent="0.25">
      <c r="A107" t="str">
        <v>20/02/2024  23:33</v>
      </c>
      <c r="B107">
        <v>69.45</v>
      </c>
      <c r="C107">
        <v>69.23</v>
      </c>
      <c r="D107">
        <v>69.17</v>
      </c>
      <c r="E107">
        <v>69.63</v>
      </c>
      <c r="F107">
        <v>69.739999999999995</v>
      </c>
      <c r="G107">
        <v>70.08</v>
      </c>
      <c r="H107">
        <v>69.88</v>
      </c>
      <c r="I107">
        <v>70.290000000000006</v>
      </c>
      <c r="J107">
        <v>69.760000000000005</v>
      </c>
      <c r="K107" s="327"/>
      <c r="M107" s="504"/>
      <c r="N107" s="205">
        <v>69.930000000000007</v>
      </c>
      <c r="O107" s="205">
        <v>69.52</v>
      </c>
      <c r="P107" s="205">
        <v>69.69</v>
      </c>
      <c r="Q107" s="205">
        <v>69.959999999999994</v>
      </c>
      <c r="R107" s="205">
        <v>70.5</v>
      </c>
      <c r="S107" s="205">
        <v>70.599999999999994</v>
      </c>
      <c r="T107" s="205">
        <v>70.25</v>
      </c>
      <c r="U107" s="205">
        <v>70.78</v>
      </c>
      <c r="V107" s="205">
        <v>70.25</v>
      </c>
      <c r="W107" s="213">
        <v>68.5</v>
      </c>
      <c r="Z107" s="23" t="str">
        <v>20/02/2024  23:33</v>
      </c>
      <c r="AA107" s="327">
        <v>69.099999999999994</v>
      </c>
      <c r="AB107" s="327">
        <v>68.099999999999994</v>
      </c>
      <c r="AC107" s="327">
        <v>70</v>
      </c>
    </row>
    <row r="108" spans="1:29" ht="14.45" customHeight="1" x14ac:dyDescent="0.25">
      <c r="A108" t="str">
        <v>20/02/2024  23:34</v>
      </c>
      <c r="B108">
        <v>69.75</v>
      </c>
      <c r="C108">
        <v>69.52</v>
      </c>
      <c r="D108">
        <v>69.48</v>
      </c>
      <c r="E108">
        <v>69.92</v>
      </c>
      <c r="F108">
        <v>70.040000000000006</v>
      </c>
      <c r="G108">
        <v>70.39</v>
      </c>
      <c r="H108">
        <v>70.180000000000007</v>
      </c>
      <c r="I108">
        <v>70.599999999999994</v>
      </c>
      <c r="J108">
        <v>70.05</v>
      </c>
      <c r="K108" s="327"/>
      <c r="M108" s="504"/>
      <c r="N108" s="205">
        <v>70.23</v>
      </c>
      <c r="O108" s="205">
        <v>69.809999999999988</v>
      </c>
      <c r="P108" s="205">
        <v>70</v>
      </c>
      <c r="Q108" s="205">
        <v>70.25</v>
      </c>
      <c r="R108" s="205">
        <v>70.800000000000011</v>
      </c>
      <c r="S108" s="205">
        <v>70.91</v>
      </c>
      <c r="T108" s="205">
        <v>70.550000000000011</v>
      </c>
      <c r="U108" s="205">
        <v>71.089999999999989</v>
      </c>
      <c r="V108" s="205">
        <v>70.539999999999992</v>
      </c>
      <c r="W108" s="213">
        <v>68.8</v>
      </c>
      <c r="Z108" s="23" t="str">
        <v>20/02/2024  23:34</v>
      </c>
      <c r="AA108" s="327">
        <v>69.400000000000006</v>
      </c>
      <c r="AB108" s="327">
        <v>68.400000000000006</v>
      </c>
      <c r="AC108" s="327">
        <v>70.3</v>
      </c>
    </row>
    <row r="109" spans="1:29" ht="14.45" customHeight="1" x14ac:dyDescent="0.25">
      <c r="A109" t="str">
        <v>20/02/2024  23:35</v>
      </c>
      <c r="B109">
        <v>70.14</v>
      </c>
      <c r="C109">
        <v>69.86</v>
      </c>
      <c r="D109">
        <v>69.83</v>
      </c>
      <c r="E109">
        <v>70.31</v>
      </c>
      <c r="F109">
        <v>70.38</v>
      </c>
      <c r="G109">
        <v>70.73</v>
      </c>
      <c r="H109">
        <v>70.52</v>
      </c>
      <c r="I109">
        <v>70.959999999999994</v>
      </c>
      <c r="J109">
        <v>70.47</v>
      </c>
      <c r="K109" s="327"/>
      <c r="M109" s="504"/>
      <c r="N109" s="205">
        <v>70.62</v>
      </c>
      <c r="O109" s="205">
        <v>70.149999999999991</v>
      </c>
      <c r="P109" s="205">
        <v>70.349999999999994</v>
      </c>
      <c r="Q109" s="205">
        <v>70.64</v>
      </c>
      <c r="R109" s="205">
        <v>71.14</v>
      </c>
      <c r="S109" s="205">
        <v>71.25</v>
      </c>
      <c r="T109" s="205">
        <v>70.89</v>
      </c>
      <c r="U109" s="205">
        <v>71.449999999999989</v>
      </c>
      <c r="V109" s="205">
        <v>70.959999999999994</v>
      </c>
      <c r="W109" s="213">
        <v>69.2</v>
      </c>
      <c r="Z109" s="23" t="str">
        <v>20/02/2024  23:35</v>
      </c>
      <c r="AA109" s="327">
        <v>69.7</v>
      </c>
      <c r="AB109" s="327">
        <v>68.8</v>
      </c>
      <c r="AC109" s="327">
        <v>70.599999999999994</v>
      </c>
    </row>
    <row r="110" spans="1:29" ht="14.45" customHeight="1" x14ac:dyDescent="0.25">
      <c r="A110" t="str">
        <v>20/02/2024  23:36</v>
      </c>
      <c r="B110">
        <v>70.400000000000006</v>
      </c>
      <c r="C110">
        <v>70.16</v>
      </c>
      <c r="D110">
        <v>70.09</v>
      </c>
      <c r="E110">
        <v>70.55</v>
      </c>
      <c r="F110">
        <v>70.680000000000007</v>
      </c>
      <c r="G110">
        <v>71.06</v>
      </c>
      <c r="H110">
        <v>70.86</v>
      </c>
      <c r="I110">
        <v>71.28</v>
      </c>
      <c r="J110">
        <v>70.77</v>
      </c>
      <c r="K110" s="327"/>
      <c r="M110" s="504"/>
      <c r="N110" s="205">
        <v>70.88000000000001</v>
      </c>
      <c r="O110" s="205">
        <v>70.449999999999989</v>
      </c>
      <c r="P110" s="205">
        <v>70.61</v>
      </c>
      <c r="Q110" s="205">
        <v>70.88</v>
      </c>
      <c r="R110" s="205">
        <v>71.440000000000012</v>
      </c>
      <c r="S110" s="205">
        <v>71.58</v>
      </c>
      <c r="T110" s="205">
        <v>71.23</v>
      </c>
      <c r="U110" s="205">
        <v>71.77</v>
      </c>
      <c r="V110" s="205">
        <v>71.259999999999991</v>
      </c>
      <c r="W110" s="213">
        <v>69.5</v>
      </c>
      <c r="Z110" s="23" t="str">
        <v>20/02/2024  23:36</v>
      </c>
      <c r="AA110" s="327">
        <v>70</v>
      </c>
      <c r="AB110" s="327">
        <v>69.099999999999994</v>
      </c>
      <c r="AC110" s="327">
        <v>70.900000000000006</v>
      </c>
    </row>
    <row r="111" spans="1:29" ht="14.45" customHeight="1" x14ac:dyDescent="0.25">
      <c r="A111" t="str">
        <v>20/02/2024  23:37</v>
      </c>
      <c r="B111">
        <v>70.73</v>
      </c>
      <c r="C111">
        <v>70.540000000000006</v>
      </c>
      <c r="D111">
        <v>70.5</v>
      </c>
      <c r="E111">
        <v>70.92</v>
      </c>
      <c r="F111">
        <v>71.13</v>
      </c>
      <c r="G111">
        <v>71.47</v>
      </c>
      <c r="H111">
        <v>71.22</v>
      </c>
      <c r="I111">
        <v>71.69</v>
      </c>
      <c r="J111">
        <v>71.13</v>
      </c>
      <c r="K111" s="327"/>
      <c r="M111" s="504"/>
      <c r="N111" s="205">
        <v>71.210000000000008</v>
      </c>
      <c r="O111" s="205">
        <v>70.83</v>
      </c>
      <c r="P111" s="205">
        <v>71.02</v>
      </c>
      <c r="Q111" s="205">
        <v>71.25</v>
      </c>
      <c r="R111" s="205">
        <v>71.89</v>
      </c>
      <c r="S111" s="205">
        <v>71.989999999999995</v>
      </c>
      <c r="T111" s="205">
        <v>71.59</v>
      </c>
      <c r="U111" s="205">
        <v>72.179999999999993</v>
      </c>
      <c r="V111" s="205">
        <v>71.61999999999999</v>
      </c>
      <c r="W111" s="213">
        <v>69.8</v>
      </c>
      <c r="Z111" s="23" t="str">
        <v>20/02/2024  23:37</v>
      </c>
      <c r="AA111" s="327">
        <v>70.400000000000006</v>
      </c>
      <c r="AB111" s="327">
        <v>69.5</v>
      </c>
      <c r="AC111" s="327">
        <v>71.3</v>
      </c>
    </row>
    <row r="112" spans="1:29" ht="14.45" customHeight="1" x14ac:dyDescent="0.25">
      <c r="A112" t="str">
        <v>20/02/2024  23:38</v>
      </c>
      <c r="B112">
        <v>71.08</v>
      </c>
      <c r="C112">
        <v>70.86</v>
      </c>
      <c r="D112">
        <v>70.84</v>
      </c>
      <c r="E112">
        <v>71.23</v>
      </c>
      <c r="F112">
        <v>71.430000000000007</v>
      </c>
      <c r="G112">
        <v>71.83</v>
      </c>
      <c r="H112">
        <v>71.55</v>
      </c>
      <c r="I112">
        <v>71.989999999999995</v>
      </c>
      <c r="J112">
        <v>71.44</v>
      </c>
      <c r="K112" s="327"/>
      <c r="M112" s="504"/>
      <c r="N112" s="205">
        <v>71.56</v>
      </c>
      <c r="O112" s="205">
        <v>71.149999999999991</v>
      </c>
      <c r="P112" s="205">
        <v>71.36</v>
      </c>
      <c r="Q112" s="205">
        <v>71.56</v>
      </c>
      <c r="R112" s="205">
        <v>72.190000000000012</v>
      </c>
      <c r="S112" s="205">
        <v>72.349999999999994</v>
      </c>
      <c r="T112" s="205">
        <v>71.92</v>
      </c>
      <c r="U112" s="205">
        <v>72.47999999999999</v>
      </c>
      <c r="V112" s="205">
        <v>71.929999999999993</v>
      </c>
      <c r="W112" s="213">
        <v>70.2</v>
      </c>
      <c r="Z112" s="23" t="str">
        <v>20/02/2024  23:38</v>
      </c>
      <c r="AA112" s="327">
        <v>70.7</v>
      </c>
      <c r="AB112" s="327">
        <v>69.8</v>
      </c>
      <c r="AC112" s="327">
        <v>71.599999999999994</v>
      </c>
    </row>
    <row r="113" spans="1:29" ht="14.45" customHeight="1" x14ac:dyDescent="0.25">
      <c r="A113" t="str">
        <v>20/02/2024  23:39</v>
      </c>
      <c r="B113">
        <v>71.430000000000007</v>
      </c>
      <c r="C113">
        <v>71.23</v>
      </c>
      <c r="D113">
        <v>71.180000000000007</v>
      </c>
      <c r="E113">
        <v>71.64</v>
      </c>
      <c r="F113">
        <v>71.73</v>
      </c>
      <c r="G113">
        <v>72.16</v>
      </c>
      <c r="H113">
        <v>71.91</v>
      </c>
      <c r="I113">
        <v>72.34</v>
      </c>
      <c r="J113">
        <v>71.77</v>
      </c>
      <c r="K113" s="327"/>
      <c r="M113" s="504"/>
      <c r="N113" s="205">
        <v>71.910000000000011</v>
      </c>
      <c r="O113" s="205">
        <v>71.52</v>
      </c>
      <c r="P113" s="205">
        <v>71.7</v>
      </c>
      <c r="Q113" s="205">
        <v>71.97</v>
      </c>
      <c r="R113" s="205">
        <v>72.490000000000009</v>
      </c>
      <c r="S113" s="205">
        <v>72.679999999999993</v>
      </c>
      <c r="T113" s="205">
        <v>72.28</v>
      </c>
      <c r="U113" s="205">
        <v>72.83</v>
      </c>
      <c r="V113" s="205">
        <v>72.259999999999991</v>
      </c>
      <c r="W113" s="213">
        <v>70.5</v>
      </c>
      <c r="Z113" s="23" t="str">
        <v>20/02/2024  23:39</v>
      </c>
      <c r="AA113" s="327">
        <v>71.099999999999994</v>
      </c>
      <c r="AB113" s="327">
        <v>70.099999999999994</v>
      </c>
      <c r="AC113" s="327">
        <v>72</v>
      </c>
    </row>
    <row r="114" spans="1:29" ht="14.45" customHeight="1" x14ac:dyDescent="0.25">
      <c r="A114" t="str">
        <v>20/02/2024  23:40</v>
      </c>
      <c r="B114">
        <v>71.7</v>
      </c>
      <c r="C114">
        <v>71.540000000000006</v>
      </c>
      <c r="D114">
        <v>71.510000000000005</v>
      </c>
      <c r="E114">
        <v>71.930000000000007</v>
      </c>
      <c r="F114">
        <v>72.13</v>
      </c>
      <c r="G114">
        <v>72.44</v>
      </c>
      <c r="H114">
        <v>72.27</v>
      </c>
      <c r="I114">
        <v>72.7</v>
      </c>
      <c r="J114">
        <v>72.19</v>
      </c>
      <c r="K114" s="327"/>
      <c r="M114" s="504"/>
      <c r="N114" s="205">
        <v>72.180000000000007</v>
      </c>
      <c r="O114" s="205">
        <v>71.83</v>
      </c>
      <c r="P114" s="205">
        <v>72.03</v>
      </c>
      <c r="Q114" s="205">
        <v>72.260000000000005</v>
      </c>
      <c r="R114" s="205">
        <v>72.89</v>
      </c>
      <c r="S114" s="205">
        <v>72.959999999999994</v>
      </c>
      <c r="T114" s="205">
        <v>72.64</v>
      </c>
      <c r="U114" s="205">
        <v>73.19</v>
      </c>
      <c r="V114" s="205">
        <v>72.679999999999993</v>
      </c>
      <c r="W114" s="213">
        <v>70.8</v>
      </c>
      <c r="Z114" s="23" t="str">
        <v>20/02/2024  23:40</v>
      </c>
      <c r="AA114" s="327">
        <v>71.5</v>
      </c>
      <c r="AB114" s="327">
        <v>70.5</v>
      </c>
      <c r="AC114" s="327">
        <v>72.3</v>
      </c>
    </row>
    <row r="115" spans="1:29" ht="14.45" customHeight="1" x14ac:dyDescent="0.25">
      <c r="A115" t="str">
        <v>20/02/2024  23:41</v>
      </c>
      <c r="B115">
        <v>72.209999999999994</v>
      </c>
      <c r="C115">
        <v>71.89</v>
      </c>
      <c r="D115">
        <v>71.84</v>
      </c>
      <c r="E115">
        <v>72.319999999999993</v>
      </c>
      <c r="F115">
        <v>72.459999999999994</v>
      </c>
      <c r="G115">
        <v>72.86</v>
      </c>
      <c r="H115">
        <v>72.540000000000006</v>
      </c>
      <c r="I115">
        <v>73.03</v>
      </c>
      <c r="J115">
        <v>72.489999999999995</v>
      </c>
      <c r="K115" s="327"/>
      <c r="M115" s="504"/>
      <c r="N115" s="205">
        <v>72.69</v>
      </c>
      <c r="O115" s="205">
        <v>72.179999999999993</v>
      </c>
      <c r="P115" s="205">
        <v>72.36</v>
      </c>
      <c r="Q115" s="205">
        <v>72.649999999999991</v>
      </c>
      <c r="R115" s="205">
        <v>73.22</v>
      </c>
      <c r="S115" s="205">
        <v>73.38</v>
      </c>
      <c r="T115" s="205">
        <v>72.910000000000011</v>
      </c>
      <c r="U115" s="205">
        <v>73.52</v>
      </c>
      <c r="V115" s="205">
        <v>72.97999999999999</v>
      </c>
      <c r="W115" s="213">
        <v>71.2</v>
      </c>
      <c r="Z115" s="23" t="str">
        <v>20/02/2024  23:41</v>
      </c>
      <c r="AA115" s="327">
        <v>71.8</v>
      </c>
      <c r="AB115" s="327">
        <v>70.8</v>
      </c>
      <c r="AC115" s="327">
        <v>72.599999999999994</v>
      </c>
    </row>
    <row r="116" spans="1:29" ht="14.45" customHeight="1" x14ac:dyDescent="0.25">
      <c r="A116" t="str">
        <v>20/02/2024  23:42</v>
      </c>
      <c r="B116">
        <v>72.47</v>
      </c>
      <c r="C116">
        <v>72.2</v>
      </c>
      <c r="D116">
        <v>72.2</v>
      </c>
      <c r="E116">
        <v>72.680000000000007</v>
      </c>
      <c r="F116">
        <v>72.81</v>
      </c>
      <c r="G116">
        <v>73.13</v>
      </c>
      <c r="H116">
        <v>72.94</v>
      </c>
      <c r="I116">
        <v>73.42</v>
      </c>
      <c r="J116">
        <v>72.86</v>
      </c>
      <c r="K116" s="327"/>
      <c r="M116" s="504"/>
      <c r="N116" s="205">
        <v>72.95</v>
      </c>
      <c r="O116" s="205">
        <v>72.489999999999995</v>
      </c>
      <c r="P116" s="205">
        <v>72.72</v>
      </c>
      <c r="Q116" s="205">
        <v>73.010000000000005</v>
      </c>
      <c r="R116" s="205">
        <v>73.570000000000007</v>
      </c>
      <c r="S116" s="205">
        <v>73.649999999999991</v>
      </c>
      <c r="T116" s="205">
        <v>73.31</v>
      </c>
      <c r="U116" s="205">
        <v>73.91</v>
      </c>
      <c r="V116" s="205">
        <v>73.349999999999994</v>
      </c>
      <c r="W116" s="213">
        <v>71.5</v>
      </c>
      <c r="Z116" s="23" t="str">
        <v>20/02/2024  23:42</v>
      </c>
      <c r="AA116" s="327">
        <v>72.099999999999994</v>
      </c>
      <c r="AB116" s="327">
        <v>71.099999999999994</v>
      </c>
      <c r="AC116" s="327">
        <v>73</v>
      </c>
    </row>
    <row r="117" spans="1:29" ht="14.45" customHeight="1" x14ac:dyDescent="0.25">
      <c r="A117" t="str">
        <v>20/02/2024  23:43</v>
      </c>
      <c r="B117">
        <v>72.81</v>
      </c>
      <c r="C117">
        <v>72.569999999999993</v>
      </c>
      <c r="D117">
        <v>72.53</v>
      </c>
      <c r="E117">
        <v>73.010000000000005</v>
      </c>
      <c r="F117">
        <v>73.08</v>
      </c>
      <c r="G117">
        <v>73.52</v>
      </c>
      <c r="H117">
        <v>73.27</v>
      </c>
      <c r="I117">
        <v>73.739999999999995</v>
      </c>
      <c r="J117">
        <v>73.19</v>
      </c>
      <c r="K117" s="327"/>
      <c r="M117" s="504"/>
      <c r="N117" s="205">
        <v>73.290000000000006</v>
      </c>
      <c r="O117" s="205">
        <v>72.859999999999985</v>
      </c>
      <c r="P117" s="205">
        <v>73.05</v>
      </c>
      <c r="Q117" s="205">
        <v>73.34</v>
      </c>
      <c r="R117" s="205">
        <v>73.84</v>
      </c>
      <c r="S117" s="205">
        <v>74.039999999999992</v>
      </c>
      <c r="T117" s="205">
        <v>73.64</v>
      </c>
      <c r="U117" s="205">
        <v>74.22999999999999</v>
      </c>
      <c r="V117" s="205">
        <v>73.679999999999993</v>
      </c>
      <c r="W117" s="213">
        <v>71.8</v>
      </c>
      <c r="Z117" s="23" t="str">
        <v>20/02/2024  23:43</v>
      </c>
      <c r="AA117" s="327">
        <v>72.5</v>
      </c>
      <c r="AB117" s="327">
        <v>71.5</v>
      </c>
      <c r="AC117" s="327">
        <v>73.3</v>
      </c>
    </row>
    <row r="118" spans="1:29" ht="14.45" customHeight="1" x14ac:dyDescent="0.25">
      <c r="A118" t="str">
        <v>20/02/2024  23:44</v>
      </c>
      <c r="B118">
        <v>73.16</v>
      </c>
      <c r="C118">
        <v>72.900000000000006</v>
      </c>
      <c r="D118">
        <v>72.84</v>
      </c>
      <c r="E118">
        <v>73.34</v>
      </c>
      <c r="F118">
        <v>73.400000000000006</v>
      </c>
      <c r="G118">
        <v>73.849999999999994</v>
      </c>
      <c r="H118">
        <v>73.61</v>
      </c>
      <c r="I118">
        <v>74.08</v>
      </c>
      <c r="J118">
        <v>73.5</v>
      </c>
      <c r="K118" s="327"/>
      <c r="M118" s="504"/>
      <c r="N118" s="205">
        <v>73.64</v>
      </c>
      <c r="O118" s="205">
        <v>73.19</v>
      </c>
      <c r="P118" s="205">
        <v>73.36</v>
      </c>
      <c r="Q118" s="205">
        <v>73.67</v>
      </c>
      <c r="R118" s="205">
        <v>74.160000000000011</v>
      </c>
      <c r="S118" s="205">
        <v>74.36999999999999</v>
      </c>
      <c r="T118" s="205">
        <v>73.98</v>
      </c>
      <c r="U118" s="205">
        <v>74.569999999999993</v>
      </c>
      <c r="V118" s="205">
        <v>73.989999999999995</v>
      </c>
      <c r="W118" s="213">
        <v>72.2</v>
      </c>
      <c r="Z118" s="23" t="str">
        <v>20/02/2024  23:44</v>
      </c>
      <c r="AA118" s="327">
        <v>72.900000000000006</v>
      </c>
      <c r="AB118" s="327">
        <v>71.8</v>
      </c>
      <c r="AC118" s="327">
        <v>73.7</v>
      </c>
    </row>
    <row r="119" spans="1:29" ht="14.45" customHeight="1" x14ac:dyDescent="0.25">
      <c r="A119" t="str">
        <v>20/02/2024  23:45</v>
      </c>
      <c r="B119">
        <v>73.52</v>
      </c>
      <c r="C119">
        <v>73.239999999999995</v>
      </c>
      <c r="D119">
        <v>73.2</v>
      </c>
      <c r="E119">
        <v>73.680000000000007</v>
      </c>
      <c r="F119">
        <v>73.760000000000005</v>
      </c>
      <c r="G119">
        <v>74.040000000000006</v>
      </c>
      <c r="H119">
        <v>73.900000000000006</v>
      </c>
      <c r="I119">
        <v>74.34</v>
      </c>
      <c r="J119">
        <v>73.77</v>
      </c>
      <c r="K119" s="327"/>
      <c r="M119" s="504"/>
      <c r="N119" s="205">
        <v>74</v>
      </c>
      <c r="O119" s="205">
        <v>73.529999999999987</v>
      </c>
      <c r="P119" s="205">
        <v>73.72</v>
      </c>
      <c r="Q119" s="205">
        <v>74.010000000000005</v>
      </c>
      <c r="R119" s="205">
        <v>74.52000000000001</v>
      </c>
      <c r="S119" s="205">
        <v>74.56</v>
      </c>
      <c r="T119" s="205">
        <v>74.27000000000001</v>
      </c>
      <c r="U119" s="205">
        <v>74.83</v>
      </c>
      <c r="V119" s="205">
        <v>74.259999999999991</v>
      </c>
      <c r="W119" s="213">
        <v>72.5</v>
      </c>
      <c r="Z119" s="23" t="str">
        <v>20/02/2024  23:45</v>
      </c>
      <c r="AA119" s="327">
        <v>73.2</v>
      </c>
      <c r="AB119" s="327">
        <v>72.2</v>
      </c>
      <c r="AC119" s="327">
        <v>74</v>
      </c>
    </row>
    <row r="120" spans="1:29" ht="14.45" customHeight="1" x14ac:dyDescent="0.25">
      <c r="A120" t="str">
        <v>20/02/2024  23:46</v>
      </c>
      <c r="B120">
        <v>73.86</v>
      </c>
      <c r="C120">
        <v>73.540000000000006</v>
      </c>
      <c r="D120">
        <v>73.52</v>
      </c>
      <c r="E120">
        <v>73.98</v>
      </c>
      <c r="F120">
        <v>74.069999999999993</v>
      </c>
      <c r="G120">
        <v>74.53</v>
      </c>
      <c r="H120">
        <v>74.239999999999995</v>
      </c>
      <c r="I120">
        <v>74.72</v>
      </c>
      <c r="J120">
        <v>74.13</v>
      </c>
      <c r="K120" s="327"/>
      <c r="M120" s="504"/>
      <c r="N120" s="205">
        <v>74.34</v>
      </c>
      <c r="O120" s="205">
        <v>73.83</v>
      </c>
      <c r="P120" s="205">
        <v>74.039999999999992</v>
      </c>
      <c r="Q120" s="205">
        <v>74.31</v>
      </c>
      <c r="R120" s="205">
        <v>74.83</v>
      </c>
      <c r="S120" s="205">
        <v>75.05</v>
      </c>
      <c r="T120" s="205">
        <v>74.61</v>
      </c>
      <c r="U120" s="205">
        <v>75.209999999999994</v>
      </c>
      <c r="V120" s="205">
        <v>74.61999999999999</v>
      </c>
      <c r="W120" s="213">
        <v>72.8</v>
      </c>
      <c r="Z120" s="23" t="str">
        <v>20/02/2024  23:46</v>
      </c>
      <c r="AA120" s="327">
        <v>73.5</v>
      </c>
      <c r="AB120" s="327">
        <v>72.5</v>
      </c>
      <c r="AC120" s="327">
        <v>74.400000000000006</v>
      </c>
    </row>
    <row r="121" spans="1:29" ht="14.45" customHeight="1" x14ac:dyDescent="0.25">
      <c r="A121" t="str">
        <v>20/02/2024  23:47</v>
      </c>
      <c r="B121">
        <v>74.13</v>
      </c>
      <c r="C121">
        <v>73.89</v>
      </c>
      <c r="D121">
        <v>73.849999999999994</v>
      </c>
      <c r="E121">
        <v>74.3</v>
      </c>
      <c r="F121">
        <v>74.53</v>
      </c>
      <c r="G121">
        <v>74.81</v>
      </c>
      <c r="H121">
        <v>74.56</v>
      </c>
      <c r="I121">
        <v>75.02</v>
      </c>
      <c r="J121">
        <v>74.42</v>
      </c>
      <c r="K121" s="327"/>
      <c r="M121" s="504"/>
      <c r="N121" s="205">
        <v>74.61</v>
      </c>
      <c r="O121" s="205">
        <v>74.179999999999993</v>
      </c>
      <c r="P121" s="205">
        <v>74.36999999999999</v>
      </c>
      <c r="Q121" s="205">
        <v>74.63</v>
      </c>
      <c r="R121" s="205">
        <v>75.290000000000006</v>
      </c>
      <c r="S121" s="205">
        <v>75.33</v>
      </c>
      <c r="T121" s="205">
        <v>74.930000000000007</v>
      </c>
      <c r="U121" s="205">
        <v>75.509999999999991</v>
      </c>
      <c r="V121" s="205">
        <v>74.91</v>
      </c>
      <c r="W121" s="213">
        <v>73.2</v>
      </c>
      <c r="Z121" s="23" t="str">
        <v>20/02/2024  23:47</v>
      </c>
      <c r="AA121" s="327">
        <v>73.8</v>
      </c>
      <c r="AB121" s="327">
        <v>72.8</v>
      </c>
      <c r="AC121" s="327">
        <v>74.7</v>
      </c>
    </row>
    <row r="122" spans="1:29" ht="14.45" customHeight="1" x14ac:dyDescent="0.25">
      <c r="A122" t="str">
        <v>20/02/2024  23:48</v>
      </c>
      <c r="B122">
        <v>74.5</v>
      </c>
      <c r="C122">
        <v>74.239999999999995</v>
      </c>
      <c r="D122">
        <v>74.14</v>
      </c>
      <c r="E122">
        <v>74.599999999999994</v>
      </c>
      <c r="F122">
        <v>74.8</v>
      </c>
      <c r="G122">
        <v>75.2</v>
      </c>
      <c r="H122">
        <v>74.930000000000007</v>
      </c>
      <c r="I122">
        <v>75.349999999999994</v>
      </c>
      <c r="J122">
        <v>74.81</v>
      </c>
      <c r="K122" s="327"/>
      <c r="M122" s="504"/>
      <c r="N122" s="205">
        <v>74.98</v>
      </c>
      <c r="O122" s="205">
        <v>74.529999999999987</v>
      </c>
      <c r="P122" s="205">
        <v>74.66</v>
      </c>
      <c r="Q122" s="205">
        <v>74.929999999999993</v>
      </c>
      <c r="R122" s="205">
        <v>75.56</v>
      </c>
      <c r="S122" s="205">
        <v>75.72</v>
      </c>
      <c r="T122" s="205">
        <v>75.300000000000011</v>
      </c>
      <c r="U122" s="205">
        <v>75.839999999999989</v>
      </c>
      <c r="V122" s="205">
        <v>75.3</v>
      </c>
      <c r="W122" s="213">
        <v>73.5</v>
      </c>
      <c r="Z122" s="23" t="str">
        <v>20/02/2024  23:48</v>
      </c>
      <c r="AA122" s="327">
        <v>74.099999999999994</v>
      </c>
      <c r="AB122" s="327">
        <v>73.2</v>
      </c>
      <c r="AC122" s="327">
        <v>75.099999999999994</v>
      </c>
    </row>
    <row r="123" spans="1:29" ht="14.45" customHeight="1" x14ac:dyDescent="0.25">
      <c r="A123" t="str">
        <v>20/02/2024  23:49</v>
      </c>
      <c r="B123">
        <v>74.790000000000006</v>
      </c>
      <c r="C123">
        <v>74.53</v>
      </c>
      <c r="D123">
        <v>74.459999999999994</v>
      </c>
      <c r="E123">
        <v>74.900000000000006</v>
      </c>
      <c r="F123">
        <v>75.14</v>
      </c>
      <c r="G123">
        <v>75.48</v>
      </c>
      <c r="H123">
        <v>75.22</v>
      </c>
      <c r="I123">
        <v>75.709999999999994</v>
      </c>
      <c r="J123">
        <v>75.099999999999994</v>
      </c>
      <c r="K123" s="327"/>
      <c r="M123" s="504"/>
      <c r="N123" s="205">
        <v>75.27000000000001</v>
      </c>
      <c r="O123" s="205">
        <v>74.819999999999993</v>
      </c>
      <c r="P123" s="205">
        <v>74.97999999999999</v>
      </c>
      <c r="Q123" s="205">
        <v>75.23</v>
      </c>
      <c r="R123" s="205">
        <v>75.900000000000006</v>
      </c>
      <c r="S123" s="205">
        <v>76</v>
      </c>
      <c r="T123" s="205">
        <v>75.59</v>
      </c>
      <c r="U123" s="205">
        <v>76.199999999999989</v>
      </c>
      <c r="V123" s="205">
        <v>75.589999999999989</v>
      </c>
      <c r="W123" s="213">
        <v>73.8</v>
      </c>
      <c r="Z123" s="23" t="str">
        <v>20/02/2024  23:49</v>
      </c>
      <c r="AA123" s="327">
        <v>74.5</v>
      </c>
      <c r="AB123" s="327">
        <v>73.5</v>
      </c>
      <c r="AC123" s="327">
        <v>75.400000000000006</v>
      </c>
    </row>
    <row r="124" spans="1:29" ht="14.45" customHeight="1" x14ac:dyDescent="0.25">
      <c r="A124" t="str">
        <v>20/02/2024  23:50</v>
      </c>
      <c r="B124">
        <v>75.13</v>
      </c>
      <c r="C124">
        <v>74.83</v>
      </c>
      <c r="D124">
        <v>74.790000000000006</v>
      </c>
      <c r="E124">
        <v>75.260000000000005</v>
      </c>
      <c r="F124">
        <v>75.48</v>
      </c>
      <c r="G124">
        <v>75.819999999999993</v>
      </c>
      <c r="H124">
        <v>75.599999999999994</v>
      </c>
      <c r="I124">
        <v>76.05</v>
      </c>
      <c r="J124">
        <v>75.459999999999994</v>
      </c>
      <c r="K124" s="327"/>
      <c r="M124" s="504"/>
      <c r="N124" s="205">
        <v>75.61</v>
      </c>
      <c r="O124" s="205">
        <v>75.11999999999999</v>
      </c>
      <c r="P124" s="205">
        <v>75.31</v>
      </c>
      <c r="Q124" s="205">
        <v>75.59</v>
      </c>
      <c r="R124" s="205">
        <v>76.240000000000009</v>
      </c>
      <c r="S124" s="205">
        <v>76.339999999999989</v>
      </c>
      <c r="T124" s="205">
        <v>75.97</v>
      </c>
      <c r="U124" s="205">
        <v>76.539999999999992</v>
      </c>
      <c r="V124" s="205">
        <v>75.949999999999989</v>
      </c>
      <c r="W124" s="213">
        <v>74.2</v>
      </c>
      <c r="Z124" s="23" t="str">
        <v>20/02/2024  23:50</v>
      </c>
      <c r="AA124" s="327">
        <v>74.8</v>
      </c>
      <c r="AB124" s="327">
        <v>73.8</v>
      </c>
      <c r="AC124" s="327">
        <v>75.7</v>
      </c>
    </row>
    <row r="125" spans="1:29" ht="14.45" customHeight="1" x14ac:dyDescent="0.25">
      <c r="A125" t="str">
        <v>20/02/2024  23:51</v>
      </c>
      <c r="B125">
        <v>75.400000000000006</v>
      </c>
      <c r="C125">
        <v>75.19</v>
      </c>
      <c r="D125">
        <v>75.14</v>
      </c>
      <c r="E125">
        <v>75.59</v>
      </c>
      <c r="F125">
        <v>75.819999999999993</v>
      </c>
      <c r="G125">
        <v>76.23</v>
      </c>
      <c r="H125">
        <v>75.86</v>
      </c>
      <c r="I125">
        <v>76.349999999999994</v>
      </c>
      <c r="J125">
        <v>75.8</v>
      </c>
      <c r="K125" s="327"/>
      <c r="M125" s="504"/>
      <c r="N125" s="205">
        <v>75.88000000000001</v>
      </c>
      <c r="O125" s="205">
        <v>75.47999999999999</v>
      </c>
      <c r="P125" s="205">
        <v>75.66</v>
      </c>
      <c r="Q125" s="205">
        <v>75.92</v>
      </c>
      <c r="R125" s="205">
        <v>76.58</v>
      </c>
      <c r="S125" s="205">
        <v>76.75</v>
      </c>
      <c r="T125" s="205">
        <v>76.23</v>
      </c>
      <c r="U125" s="205">
        <v>76.839999999999989</v>
      </c>
      <c r="V125" s="205">
        <v>76.289999999999992</v>
      </c>
      <c r="W125" s="213">
        <v>74.5</v>
      </c>
      <c r="Z125" s="23" t="str">
        <v>20/02/2024  23:51</v>
      </c>
      <c r="AA125" s="327">
        <v>75.099999999999994</v>
      </c>
      <c r="AB125" s="327">
        <v>74.099999999999994</v>
      </c>
      <c r="AC125" s="327">
        <v>76.099999999999994</v>
      </c>
    </row>
    <row r="126" spans="1:29" ht="14.45" customHeight="1" x14ac:dyDescent="0.25">
      <c r="A126" t="str">
        <v>20/02/2024  23:52</v>
      </c>
      <c r="B126">
        <v>75.84</v>
      </c>
      <c r="C126">
        <v>75.540000000000006</v>
      </c>
      <c r="D126">
        <v>75.47</v>
      </c>
      <c r="E126">
        <v>75.959999999999994</v>
      </c>
      <c r="F126">
        <v>76.13</v>
      </c>
      <c r="G126">
        <v>76.489999999999995</v>
      </c>
      <c r="H126">
        <v>76.239999999999995</v>
      </c>
      <c r="I126">
        <v>76.64</v>
      </c>
      <c r="J126">
        <v>76.13</v>
      </c>
      <c r="K126" s="327"/>
      <c r="M126" s="504"/>
      <c r="N126" s="205">
        <v>76.320000000000007</v>
      </c>
      <c r="O126" s="205">
        <v>75.83</v>
      </c>
      <c r="P126" s="205">
        <v>75.989999999999995</v>
      </c>
      <c r="Q126" s="205">
        <v>76.289999999999992</v>
      </c>
      <c r="R126" s="205">
        <v>76.89</v>
      </c>
      <c r="S126" s="205">
        <v>77.009999999999991</v>
      </c>
      <c r="T126" s="205">
        <v>76.61</v>
      </c>
      <c r="U126" s="205">
        <v>77.13</v>
      </c>
      <c r="V126" s="205">
        <v>76.61999999999999</v>
      </c>
      <c r="W126" s="213">
        <v>74.8</v>
      </c>
      <c r="Z126" s="23" t="str">
        <v>20/02/2024  23:52</v>
      </c>
      <c r="AA126" s="327">
        <v>75.5</v>
      </c>
      <c r="AB126" s="327">
        <v>74.400000000000006</v>
      </c>
      <c r="AC126" s="327">
        <v>76.400000000000006</v>
      </c>
    </row>
    <row r="127" spans="1:29" ht="14.45" customHeight="1" x14ac:dyDescent="0.25">
      <c r="A127" t="str">
        <v>20/02/2024  23:53</v>
      </c>
      <c r="B127">
        <v>76.209999999999994</v>
      </c>
      <c r="C127">
        <v>75.89</v>
      </c>
      <c r="D127">
        <v>75.81</v>
      </c>
      <c r="E127">
        <v>76.290000000000006</v>
      </c>
      <c r="F127">
        <v>76.44</v>
      </c>
      <c r="G127">
        <v>76.91</v>
      </c>
      <c r="H127">
        <v>76.58</v>
      </c>
      <c r="I127">
        <v>77.069999999999993</v>
      </c>
      <c r="J127">
        <v>76.489999999999995</v>
      </c>
      <c r="K127" s="327"/>
      <c r="M127" s="504"/>
      <c r="N127" s="205">
        <v>76.69</v>
      </c>
      <c r="O127" s="205">
        <v>76.179999999999993</v>
      </c>
      <c r="P127" s="205">
        <v>76.33</v>
      </c>
      <c r="Q127" s="205">
        <v>76.62</v>
      </c>
      <c r="R127" s="205">
        <v>77.2</v>
      </c>
      <c r="S127" s="205">
        <v>77.429999999999993</v>
      </c>
      <c r="T127" s="205">
        <v>76.95</v>
      </c>
      <c r="U127" s="205">
        <v>77.559999999999988</v>
      </c>
      <c r="V127" s="205">
        <v>76.97999999999999</v>
      </c>
      <c r="W127" s="213">
        <v>75.2</v>
      </c>
      <c r="Z127" s="23" t="str">
        <v>20/02/2024  23:53</v>
      </c>
      <c r="AA127" s="327">
        <v>75.900000000000006</v>
      </c>
      <c r="AB127" s="327">
        <v>74.8</v>
      </c>
      <c r="AC127" s="327">
        <v>76.7</v>
      </c>
    </row>
    <row r="128" spans="1:29" ht="14.45" customHeight="1" x14ac:dyDescent="0.25">
      <c r="A128" t="str">
        <v>20/02/2024  23:54</v>
      </c>
      <c r="B128">
        <v>76.489999999999995</v>
      </c>
      <c r="C128">
        <v>76.239999999999995</v>
      </c>
      <c r="D128">
        <v>76.16</v>
      </c>
      <c r="E128">
        <v>76.62</v>
      </c>
      <c r="F128">
        <v>76.83</v>
      </c>
      <c r="G128">
        <v>77.17</v>
      </c>
      <c r="H128">
        <v>76.930000000000007</v>
      </c>
      <c r="I128">
        <v>77.39</v>
      </c>
      <c r="J128">
        <v>76.78</v>
      </c>
      <c r="K128" s="327"/>
      <c r="M128" s="504"/>
      <c r="N128" s="205">
        <v>76.97</v>
      </c>
      <c r="O128" s="205">
        <v>76.529999999999987</v>
      </c>
      <c r="P128" s="205">
        <v>76.679999999999993</v>
      </c>
      <c r="Q128" s="205">
        <v>76.95</v>
      </c>
      <c r="R128" s="205">
        <v>77.59</v>
      </c>
      <c r="S128" s="205">
        <v>77.69</v>
      </c>
      <c r="T128" s="205">
        <v>77.300000000000011</v>
      </c>
      <c r="U128" s="205">
        <v>77.88</v>
      </c>
      <c r="V128" s="205">
        <v>77.27</v>
      </c>
      <c r="W128" s="213">
        <v>75.5</v>
      </c>
      <c r="Z128" s="23" t="str">
        <v>20/02/2024  23:54</v>
      </c>
      <c r="AA128" s="327">
        <v>76.2</v>
      </c>
      <c r="AB128" s="327">
        <v>75.099999999999994</v>
      </c>
      <c r="AC128" s="327">
        <v>77</v>
      </c>
    </row>
    <row r="129" spans="1:29" ht="14.45" customHeight="1" x14ac:dyDescent="0.25">
      <c r="A129" t="str">
        <v>20/02/2024  23:55</v>
      </c>
      <c r="B129">
        <v>76.790000000000006</v>
      </c>
      <c r="C129">
        <v>76.569999999999993</v>
      </c>
      <c r="D129">
        <v>76.48</v>
      </c>
      <c r="E129">
        <v>76.95</v>
      </c>
      <c r="F129">
        <v>77.14</v>
      </c>
      <c r="G129">
        <v>77.61</v>
      </c>
      <c r="H129">
        <v>77.27</v>
      </c>
      <c r="I129">
        <v>77.72</v>
      </c>
      <c r="J129">
        <v>77.11</v>
      </c>
      <c r="K129" s="327"/>
      <c r="M129" s="504"/>
      <c r="N129" s="205">
        <v>77.27000000000001</v>
      </c>
      <c r="O129" s="205">
        <v>76.859999999999985</v>
      </c>
      <c r="P129" s="205">
        <v>77</v>
      </c>
      <c r="Q129" s="205">
        <v>77.28</v>
      </c>
      <c r="R129" s="205">
        <v>77.900000000000006</v>
      </c>
      <c r="S129" s="205">
        <v>78.13</v>
      </c>
      <c r="T129" s="205">
        <v>77.64</v>
      </c>
      <c r="U129" s="205">
        <v>78.209999999999994</v>
      </c>
      <c r="V129" s="205">
        <v>77.599999999999994</v>
      </c>
      <c r="W129" s="213">
        <v>75.8</v>
      </c>
      <c r="Z129" s="23" t="str">
        <v>20/02/2024  23:55</v>
      </c>
      <c r="AA129" s="327">
        <v>76.5</v>
      </c>
      <c r="AB129" s="327">
        <v>75.5</v>
      </c>
      <c r="AC129" s="327">
        <v>77.400000000000006</v>
      </c>
    </row>
    <row r="130" spans="1:29" ht="14.45" customHeight="1" x14ac:dyDescent="0.25">
      <c r="A130" t="str">
        <v>20/02/2024  23:56</v>
      </c>
      <c r="B130">
        <v>77.08</v>
      </c>
      <c r="C130">
        <v>76.83</v>
      </c>
      <c r="D130">
        <v>76.790000000000006</v>
      </c>
      <c r="E130">
        <v>77.28</v>
      </c>
      <c r="F130">
        <v>77.38</v>
      </c>
      <c r="G130">
        <v>77.83</v>
      </c>
      <c r="H130">
        <v>77.52</v>
      </c>
      <c r="I130">
        <v>78.02</v>
      </c>
      <c r="J130">
        <v>77.489999999999995</v>
      </c>
      <c r="K130" s="327"/>
      <c r="M130" s="504"/>
      <c r="N130" s="205">
        <v>77.56</v>
      </c>
      <c r="O130" s="205">
        <v>77.11999999999999</v>
      </c>
      <c r="P130" s="205">
        <v>77.31</v>
      </c>
      <c r="Q130" s="205">
        <v>77.61</v>
      </c>
      <c r="R130" s="205">
        <v>78.14</v>
      </c>
      <c r="S130" s="205">
        <v>78.349999999999994</v>
      </c>
      <c r="T130" s="205">
        <v>77.89</v>
      </c>
      <c r="U130" s="205">
        <v>78.509999999999991</v>
      </c>
      <c r="V130" s="205">
        <v>77.97999999999999</v>
      </c>
      <c r="W130" s="213">
        <v>76.2</v>
      </c>
      <c r="Z130" s="23" t="str">
        <v>20/02/2024  23:56</v>
      </c>
      <c r="AA130" s="327">
        <v>76.8</v>
      </c>
      <c r="AB130" s="327">
        <v>75.8</v>
      </c>
      <c r="AC130" s="327">
        <v>77.7</v>
      </c>
    </row>
    <row r="131" spans="1:29" ht="14.45" customHeight="1" x14ac:dyDescent="0.25">
      <c r="A131" t="str">
        <v>20/02/2024  23:57</v>
      </c>
      <c r="B131">
        <v>77.45</v>
      </c>
      <c r="C131">
        <v>77.14</v>
      </c>
      <c r="D131">
        <v>77.08</v>
      </c>
      <c r="E131">
        <v>77.56</v>
      </c>
      <c r="F131">
        <v>77.73</v>
      </c>
      <c r="G131">
        <v>78.14</v>
      </c>
      <c r="H131">
        <v>77.88</v>
      </c>
      <c r="I131">
        <v>78.36</v>
      </c>
      <c r="J131">
        <v>77.72</v>
      </c>
      <c r="K131" s="327"/>
      <c r="M131" s="504"/>
      <c r="N131" s="205">
        <v>77.930000000000007</v>
      </c>
      <c r="O131" s="205">
        <v>77.429999999999993</v>
      </c>
      <c r="P131" s="205">
        <v>77.599999999999994</v>
      </c>
      <c r="Q131" s="205">
        <v>77.89</v>
      </c>
      <c r="R131" s="205">
        <v>78.490000000000009</v>
      </c>
      <c r="S131" s="205">
        <v>78.66</v>
      </c>
      <c r="T131" s="205">
        <v>78.25</v>
      </c>
      <c r="U131" s="205">
        <v>78.849999999999994</v>
      </c>
      <c r="V131" s="205">
        <v>78.209999999999994</v>
      </c>
      <c r="W131" s="213">
        <v>76.5</v>
      </c>
      <c r="Z131" s="23" t="str">
        <v>20/02/2024  23:57</v>
      </c>
      <c r="AA131" s="327">
        <v>77.2</v>
      </c>
      <c r="AB131" s="327">
        <v>76.099999999999994</v>
      </c>
      <c r="AC131" s="327">
        <v>78.099999999999994</v>
      </c>
    </row>
    <row r="132" spans="1:29" ht="14.45" customHeight="1" x14ac:dyDescent="0.25">
      <c r="A132" t="str">
        <v>20/02/2024  23:58</v>
      </c>
      <c r="B132">
        <v>77.790000000000006</v>
      </c>
      <c r="C132">
        <v>77.45</v>
      </c>
      <c r="D132">
        <v>77.45</v>
      </c>
      <c r="E132">
        <v>77.92</v>
      </c>
      <c r="F132">
        <v>78.09</v>
      </c>
      <c r="G132">
        <v>78.53</v>
      </c>
      <c r="H132">
        <v>78.25</v>
      </c>
      <c r="I132">
        <v>78.709999999999994</v>
      </c>
      <c r="J132">
        <v>78.099999999999994</v>
      </c>
      <c r="K132" s="327"/>
      <c r="M132" s="504"/>
      <c r="N132" s="205">
        <v>78.27000000000001</v>
      </c>
      <c r="O132" s="205">
        <v>77.739999999999995</v>
      </c>
      <c r="P132" s="205">
        <v>77.97</v>
      </c>
      <c r="Q132" s="205">
        <v>78.25</v>
      </c>
      <c r="R132" s="205">
        <v>78.850000000000009</v>
      </c>
      <c r="S132" s="205">
        <v>79.05</v>
      </c>
      <c r="T132" s="205">
        <v>78.62</v>
      </c>
      <c r="U132" s="205">
        <v>79.199999999999989</v>
      </c>
      <c r="V132" s="205">
        <v>78.589999999999989</v>
      </c>
      <c r="W132" s="213">
        <v>76.8</v>
      </c>
      <c r="Z132" s="23" t="str">
        <v>20/02/2024  23:58</v>
      </c>
      <c r="AA132" s="327">
        <v>77.5</v>
      </c>
      <c r="AB132" s="327">
        <v>76.5</v>
      </c>
      <c r="AC132" s="327">
        <v>78.400000000000006</v>
      </c>
    </row>
    <row r="133" spans="1:29" ht="14.45" customHeight="1" x14ac:dyDescent="0.25">
      <c r="A133" t="str">
        <v>20/02/2024  23:59</v>
      </c>
      <c r="B133">
        <v>78.14</v>
      </c>
      <c r="C133">
        <v>77.88</v>
      </c>
      <c r="D133">
        <v>77.790000000000006</v>
      </c>
      <c r="E133">
        <v>78.33</v>
      </c>
      <c r="F133">
        <v>78.38</v>
      </c>
      <c r="G133">
        <v>78.849999999999994</v>
      </c>
      <c r="H133">
        <v>78.59</v>
      </c>
      <c r="I133">
        <v>79.069999999999993</v>
      </c>
      <c r="J133">
        <v>78.47</v>
      </c>
      <c r="K133" s="327"/>
      <c r="M133" s="504"/>
      <c r="N133" s="205">
        <v>78.62</v>
      </c>
      <c r="O133" s="205">
        <v>78.169999999999987</v>
      </c>
      <c r="P133" s="205">
        <v>78.31</v>
      </c>
      <c r="Q133" s="205">
        <v>78.66</v>
      </c>
      <c r="R133" s="205">
        <v>79.14</v>
      </c>
      <c r="S133" s="205">
        <v>79.36999999999999</v>
      </c>
      <c r="T133" s="205">
        <v>78.960000000000008</v>
      </c>
      <c r="U133" s="205">
        <v>79.559999999999988</v>
      </c>
      <c r="V133" s="205">
        <v>78.959999999999994</v>
      </c>
      <c r="W133" s="213">
        <v>77.2</v>
      </c>
      <c r="Z133" s="23" t="str">
        <v>20/02/2024  23:59</v>
      </c>
      <c r="AA133" s="327">
        <v>77.900000000000006</v>
      </c>
      <c r="AB133" s="327">
        <v>76.8</v>
      </c>
      <c r="AC133" s="327">
        <v>78.7</v>
      </c>
    </row>
    <row r="134" spans="1:29" ht="14.45" customHeight="1" x14ac:dyDescent="0.25">
      <c r="A134" t="str">
        <v>21/02/2024  00:00</v>
      </c>
      <c r="B134">
        <v>78.42</v>
      </c>
      <c r="C134">
        <v>78.16</v>
      </c>
      <c r="D134">
        <v>78.13</v>
      </c>
      <c r="E134">
        <v>78.59</v>
      </c>
      <c r="F134">
        <v>78.62</v>
      </c>
      <c r="G134">
        <v>79.22</v>
      </c>
      <c r="H134">
        <v>78.89</v>
      </c>
      <c r="I134">
        <v>79.319999999999993</v>
      </c>
      <c r="J134">
        <v>78.66</v>
      </c>
      <c r="K134" s="327"/>
      <c r="M134" s="504"/>
      <c r="N134" s="205">
        <v>78.900000000000006</v>
      </c>
      <c r="O134" s="205">
        <v>78.449999999999989</v>
      </c>
      <c r="P134" s="205">
        <v>78.649999999999991</v>
      </c>
      <c r="Q134" s="205">
        <v>78.92</v>
      </c>
      <c r="R134" s="205">
        <v>79.38000000000001</v>
      </c>
      <c r="S134" s="205">
        <v>79.739999999999995</v>
      </c>
      <c r="T134" s="205">
        <v>79.260000000000005</v>
      </c>
      <c r="U134" s="205">
        <v>79.809999999999988</v>
      </c>
      <c r="V134" s="205">
        <v>79.149999999999991</v>
      </c>
      <c r="W134" s="213">
        <v>77.5</v>
      </c>
      <c r="Z134" s="23" t="str">
        <v>21/02/2024  00:00</v>
      </c>
      <c r="AA134" s="327">
        <v>78.2</v>
      </c>
      <c r="AB134" s="327">
        <v>77.099999999999994</v>
      </c>
      <c r="AC134" s="327">
        <v>79</v>
      </c>
    </row>
    <row r="135" spans="1:29" ht="14.45" customHeight="1" x14ac:dyDescent="0.25">
      <c r="A135" t="str">
        <v>21/02/2024  00:01</v>
      </c>
      <c r="B135">
        <v>78.739999999999995</v>
      </c>
      <c r="C135">
        <v>78.489999999999995</v>
      </c>
      <c r="D135">
        <v>78.44</v>
      </c>
      <c r="E135">
        <v>78.92</v>
      </c>
      <c r="F135">
        <v>79.06</v>
      </c>
      <c r="G135">
        <v>79.489999999999995</v>
      </c>
      <c r="H135">
        <v>79.22</v>
      </c>
      <c r="I135">
        <v>79.73</v>
      </c>
      <c r="J135">
        <v>79.069999999999993</v>
      </c>
      <c r="K135" s="327"/>
      <c r="M135" s="504"/>
      <c r="N135" s="205">
        <v>79.22</v>
      </c>
      <c r="O135" s="205">
        <v>78.779999999999987</v>
      </c>
      <c r="P135" s="205">
        <v>78.959999999999994</v>
      </c>
      <c r="Q135" s="205">
        <v>79.25</v>
      </c>
      <c r="R135" s="205">
        <v>79.820000000000007</v>
      </c>
      <c r="S135" s="205">
        <v>80.009999999999991</v>
      </c>
      <c r="T135" s="205">
        <v>79.59</v>
      </c>
      <c r="U135" s="205">
        <v>80.22</v>
      </c>
      <c r="V135" s="205">
        <v>79.559999999999988</v>
      </c>
      <c r="W135" s="213">
        <v>77.8</v>
      </c>
      <c r="Z135" s="23" t="str">
        <v>21/02/2024  00:01</v>
      </c>
      <c r="AA135" s="327">
        <v>78.5</v>
      </c>
      <c r="AB135" s="327">
        <v>77.5</v>
      </c>
      <c r="AC135" s="327">
        <v>79.400000000000006</v>
      </c>
    </row>
    <row r="136" spans="1:29" ht="14.45" customHeight="1" x14ac:dyDescent="0.25">
      <c r="A136" t="str">
        <v>21/02/2024  00:02</v>
      </c>
      <c r="B136">
        <v>79.09</v>
      </c>
      <c r="C136">
        <v>78.86</v>
      </c>
      <c r="D136">
        <v>78.790000000000006</v>
      </c>
      <c r="E136">
        <v>79.27</v>
      </c>
      <c r="F136">
        <v>79.459999999999994</v>
      </c>
      <c r="G136">
        <v>79.930000000000007</v>
      </c>
      <c r="H136">
        <v>79.61</v>
      </c>
      <c r="I136">
        <v>80.13</v>
      </c>
      <c r="J136">
        <v>79.48</v>
      </c>
      <c r="K136" s="327"/>
      <c r="M136" s="504"/>
      <c r="N136" s="205">
        <v>79.570000000000007</v>
      </c>
      <c r="O136" s="205">
        <v>79.149999999999991</v>
      </c>
      <c r="P136" s="205">
        <v>79.31</v>
      </c>
      <c r="Q136" s="205">
        <v>79.599999999999994</v>
      </c>
      <c r="R136" s="205">
        <v>80.22</v>
      </c>
      <c r="S136" s="205">
        <v>80.45</v>
      </c>
      <c r="T136" s="205">
        <v>79.98</v>
      </c>
      <c r="U136" s="205">
        <v>80.61999999999999</v>
      </c>
      <c r="V136" s="205">
        <v>79.97</v>
      </c>
      <c r="W136" s="213">
        <v>78.2</v>
      </c>
      <c r="Z136" s="23" t="str">
        <v>21/02/2024  00:02</v>
      </c>
      <c r="AA136" s="327">
        <v>78.900000000000006</v>
      </c>
      <c r="AB136" s="327">
        <v>77.8</v>
      </c>
      <c r="AC136" s="327">
        <v>79.7</v>
      </c>
    </row>
    <row r="137" spans="1:29" ht="14.45" customHeight="1" x14ac:dyDescent="0.25">
      <c r="A137" t="str">
        <v>21/02/2024  00:03</v>
      </c>
      <c r="B137">
        <v>79.48</v>
      </c>
      <c r="C137">
        <v>79.209999999999994</v>
      </c>
      <c r="D137">
        <v>79.14</v>
      </c>
      <c r="E137">
        <v>79.66</v>
      </c>
      <c r="F137">
        <v>79.72</v>
      </c>
      <c r="G137">
        <v>80.209999999999994</v>
      </c>
      <c r="H137">
        <v>79.92</v>
      </c>
      <c r="I137">
        <v>80.39</v>
      </c>
      <c r="J137">
        <v>79.78</v>
      </c>
      <c r="K137" s="327"/>
      <c r="M137" s="504"/>
      <c r="N137" s="205">
        <v>79.960000000000008</v>
      </c>
      <c r="O137" s="205">
        <v>79.499999999999986</v>
      </c>
      <c r="P137" s="205">
        <v>79.66</v>
      </c>
      <c r="Q137" s="205">
        <v>79.989999999999995</v>
      </c>
      <c r="R137" s="205">
        <v>80.48</v>
      </c>
      <c r="S137" s="205">
        <v>80.72999999999999</v>
      </c>
      <c r="T137" s="205">
        <v>80.290000000000006</v>
      </c>
      <c r="U137" s="205">
        <v>80.88</v>
      </c>
      <c r="V137" s="205">
        <v>80.27</v>
      </c>
      <c r="W137" s="213">
        <v>78.5</v>
      </c>
      <c r="Z137" s="23" t="str">
        <v>21/02/2024  00:03</v>
      </c>
      <c r="AA137" s="327">
        <v>79.2</v>
      </c>
      <c r="AB137" s="327">
        <v>78.099999999999994</v>
      </c>
      <c r="AC137" s="327">
        <v>80</v>
      </c>
    </row>
    <row r="138" spans="1:29" ht="14.45" customHeight="1" x14ac:dyDescent="0.25">
      <c r="A138" t="str">
        <v>21/02/2024  00:04</v>
      </c>
      <c r="B138">
        <v>79.83</v>
      </c>
      <c r="C138">
        <v>79.569999999999993</v>
      </c>
      <c r="D138">
        <v>79.510000000000005</v>
      </c>
      <c r="E138">
        <v>79.98</v>
      </c>
      <c r="F138">
        <v>80.14</v>
      </c>
      <c r="G138">
        <v>80.63</v>
      </c>
      <c r="H138">
        <v>80.33</v>
      </c>
      <c r="I138">
        <v>80.78</v>
      </c>
      <c r="J138">
        <v>80.180000000000007</v>
      </c>
      <c r="K138" s="327"/>
      <c r="M138" s="504"/>
      <c r="N138" s="205">
        <v>80.31</v>
      </c>
      <c r="O138" s="205">
        <v>79.859999999999985</v>
      </c>
      <c r="P138" s="205">
        <v>80.03</v>
      </c>
      <c r="Q138" s="205">
        <v>80.31</v>
      </c>
      <c r="R138" s="205">
        <v>80.900000000000006</v>
      </c>
      <c r="S138" s="205">
        <v>81.149999999999991</v>
      </c>
      <c r="T138" s="205">
        <v>80.7</v>
      </c>
      <c r="U138" s="205">
        <v>81.27</v>
      </c>
      <c r="V138" s="205">
        <v>80.67</v>
      </c>
      <c r="W138" s="213">
        <v>78.8</v>
      </c>
      <c r="Z138" s="23" t="str">
        <v>21/02/2024  00:04</v>
      </c>
      <c r="AA138" s="327">
        <v>79.599999999999994</v>
      </c>
      <c r="AB138" s="327">
        <v>78.400000000000006</v>
      </c>
      <c r="AC138" s="327">
        <v>80.400000000000006</v>
      </c>
    </row>
    <row r="139" spans="1:29" ht="14.45" customHeight="1" x14ac:dyDescent="0.25">
      <c r="A139" t="str">
        <v>21/02/2024  00:05</v>
      </c>
      <c r="B139">
        <v>80.180000000000007</v>
      </c>
      <c r="C139">
        <v>79.92</v>
      </c>
      <c r="D139">
        <v>79.86</v>
      </c>
      <c r="E139">
        <v>80.349999999999994</v>
      </c>
      <c r="F139">
        <v>80.42</v>
      </c>
      <c r="G139">
        <v>80.87</v>
      </c>
      <c r="H139">
        <v>80.62</v>
      </c>
      <c r="I139">
        <v>81.08</v>
      </c>
      <c r="J139">
        <v>80.47</v>
      </c>
      <c r="K139" s="327"/>
      <c r="M139" s="504"/>
      <c r="N139" s="205">
        <v>80.660000000000011</v>
      </c>
      <c r="O139" s="205">
        <v>80.209999999999994</v>
      </c>
      <c r="P139" s="205">
        <v>80.38</v>
      </c>
      <c r="Q139" s="205">
        <v>80.679999999999993</v>
      </c>
      <c r="R139" s="205">
        <v>81.180000000000007</v>
      </c>
      <c r="S139" s="205">
        <v>81.39</v>
      </c>
      <c r="T139" s="205">
        <v>80.990000000000009</v>
      </c>
      <c r="U139" s="205">
        <v>81.569999999999993</v>
      </c>
      <c r="V139" s="205">
        <v>80.959999999999994</v>
      </c>
      <c r="W139" s="213">
        <v>79.2</v>
      </c>
      <c r="Z139" s="23" t="str">
        <v>21/02/2024  00:05</v>
      </c>
      <c r="AA139" s="327">
        <v>79.900000000000006</v>
      </c>
      <c r="AB139" s="327">
        <v>78.8</v>
      </c>
      <c r="AC139" s="327">
        <v>80.8</v>
      </c>
    </row>
    <row r="140" spans="1:29" ht="14.45" customHeight="1" x14ac:dyDescent="0.25">
      <c r="A140" t="str">
        <v>21/02/2024  00:06</v>
      </c>
      <c r="B140">
        <v>80.459999999999994</v>
      </c>
      <c r="C140">
        <v>80.180000000000007</v>
      </c>
      <c r="D140">
        <v>80.14</v>
      </c>
      <c r="E140">
        <v>80.650000000000006</v>
      </c>
      <c r="F140">
        <v>80.73</v>
      </c>
      <c r="G140">
        <v>81.260000000000005</v>
      </c>
      <c r="H140">
        <v>80.97</v>
      </c>
      <c r="I140">
        <v>81.45</v>
      </c>
      <c r="J140">
        <v>80.8</v>
      </c>
      <c r="K140" s="327"/>
      <c r="M140" s="504"/>
      <c r="N140" s="205">
        <v>80.94</v>
      </c>
      <c r="O140" s="205">
        <v>80.47</v>
      </c>
      <c r="P140" s="205">
        <v>80.66</v>
      </c>
      <c r="Q140" s="205">
        <v>80.98</v>
      </c>
      <c r="R140" s="205">
        <v>81.490000000000009</v>
      </c>
      <c r="S140" s="205">
        <v>81.78</v>
      </c>
      <c r="T140" s="205">
        <v>81.34</v>
      </c>
      <c r="U140" s="205">
        <v>81.94</v>
      </c>
      <c r="V140" s="205">
        <v>81.289999999999992</v>
      </c>
      <c r="W140" s="213">
        <v>79.5</v>
      </c>
      <c r="Z140" s="23" t="str">
        <v>21/02/2024  00:06</v>
      </c>
      <c r="AA140" s="327">
        <v>80.2</v>
      </c>
      <c r="AB140" s="327">
        <v>79.099999999999994</v>
      </c>
      <c r="AC140" s="327">
        <v>81.099999999999994</v>
      </c>
    </row>
    <row r="141" spans="1:29" ht="14.45" customHeight="1" x14ac:dyDescent="0.25">
      <c r="A141" t="str">
        <v>21/02/2024  00:07</v>
      </c>
      <c r="B141">
        <v>80.83</v>
      </c>
      <c r="C141">
        <v>80.52</v>
      </c>
      <c r="D141">
        <v>80.47</v>
      </c>
      <c r="E141">
        <v>81</v>
      </c>
      <c r="F141">
        <v>81.150000000000006</v>
      </c>
      <c r="G141">
        <v>81.61</v>
      </c>
      <c r="H141">
        <v>81.27</v>
      </c>
      <c r="I141">
        <v>81.790000000000006</v>
      </c>
      <c r="J141">
        <v>81.150000000000006</v>
      </c>
      <c r="K141" s="327"/>
      <c r="M141" s="504"/>
      <c r="N141" s="205">
        <v>81.31</v>
      </c>
      <c r="O141" s="205">
        <v>80.809999999999988</v>
      </c>
      <c r="P141" s="205">
        <v>80.989999999999995</v>
      </c>
      <c r="Q141" s="205">
        <v>81.33</v>
      </c>
      <c r="R141" s="205">
        <v>81.910000000000011</v>
      </c>
      <c r="S141" s="205">
        <v>82.13</v>
      </c>
      <c r="T141" s="205">
        <v>81.64</v>
      </c>
      <c r="U141" s="205">
        <v>82.28</v>
      </c>
      <c r="V141" s="205">
        <v>81.64</v>
      </c>
      <c r="W141" s="213">
        <v>79.8</v>
      </c>
      <c r="Z141" s="23" t="str">
        <v>21/02/2024  00:07</v>
      </c>
      <c r="AA141" s="327">
        <v>80.599999999999994</v>
      </c>
      <c r="AB141" s="327">
        <v>79.5</v>
      </c>
      <c r="AC141" s="327">
        <v>81.400000000000006</v>
      </c>
    </row>
    <row r="142" spans="1:29" ht="14.45" customHeight="1" x14ac:dyDescent="0.25">
      <c r="A142" t="str">
        <v>21/02/2024  00:08</v>
      </c>
      <c r="B142">
        <v>81.09</v>
      </c>
      <c r="C142">
        <v>80.819999999999993</v>
      </c>
      <c r="D142">
        <v>80.790000000000006</v>
      </c>
      <c r="E142">
        <v>81.31</v>
      </c>
      <c r="F142">
        <v>81.34</v>
      </c>
      <c r="G142">
        <v>81.89</v>
      </c>
      <c r="H142">
        <v>81.59</v>
      </c>
      <c r="I142">
        <v>82.11</v>
      </c>
      <c r="J142">
        <v>81.47</v>
      </c>
      <c r="K142" s="327"/>
      <c r="M142" s="504"/>
      <c r="N142" s="205">
        <v>81.570000000000007</v>
      </c>
      <c r="O142" s="205">
        <v>81.109999999999985</v>
      </c>
      <c r="P142" s="205">
        <v>81.31</v>
      </c>
      <c r="Q142" s="205">
        <v>81.64</v>
      </c>
      <c r="R142" s="205">
        <v>82.100000000000009</v>
      </c>
      <c r="S142" s="205">
        <v>82.41</v>
      </c>
      <c r="T142" s="205">
        <v>81.960000000000008</v>
      </c>
      <c r="U142" s="205">
        <v>82.6</v>
      </c>
      <c r="V142" s="205">
        <v>81.96</v>
      </c>
      <c r="W142" s="213">
        <v>80</v>
      </c>
      <c r="Z142" s="23" t="str">
        <v>21/02/2024  00:08</v>
      </c>
      <c r="AA142" s="327">
        <v>80.900000000000006</v>
      </c>
      <c r="AB142" s="327">
        <v>79.8</v>
      </c>
      <c r="AC142" s="327">
        <v>81.8</v>
      </c>
    </row>
    <row r="143" spans="1:29" ht="14.45" customHeight="1" x14ac:dyDescent="0.25">
      <c r="A143" t="str">
        <v>21/02/2024  00:09</v>
      </c>
      <c r="B143">
        <v>81.42</v>
      </c>
      <c r="C143">
        <v>81.08</v>
      </c>
      <c r="D143">
        <v>81</v>
      </c>
      <c r="E143">
        <v>81.47</v>
      </c>
      <c r="F143">
        <v>81.459999999999994</v>
      </c>
      <c r="G143">
        <v>82.09</v>
      </c>
      <c r="H143">
        <v>81.8</v>
      </c>
      <c r="I143">
        <v>82.23</v>
      </c>
      <c r="J143">
        <v>81.599999999999994</v>
      </c>
      <c r="K143" s="327"/>
      <c r="M143" s="504"/>
      <c r="N143" s="205">
        <v>81.900000000000006</v>
      </c>
      <c r="O143" s="205">
        <v>81.36999999999999</v>
      </c>
      <c r="P143" s="205">
        <v>81.52</v>
      </c>
      <c r="Q143" s="205">
        <v>81.8</v>
      </c>
      <c r="R143" s="205">
        <v>82.22</v>
      </c>
      <c r="S143" s="205">
        <v>82.61</v>
      </c>
      <c r="T143" s="205">
        <v>82.17</v>
      </c>
      <c r="U143" s="205">
        <v>82.72</v>
      </c>
      <c r="V143" s="205">
        <v>82.089999999999989</v>
      </c>
      <c r="W143" s="213">
        <v>80</v>
      </c>
      <c r="Z143" s="23" t="str">
        <v>21/02/2024  00:09</v>
      </c>
      <c r="AA143" s="327">
        <v>81.2</v>
      </c>
      <c r="AB143" s="327">
        <v>80.099999999999994</v>
      </c>
      <c r="AC143" s="327">
        <v>82</v>
      </c>
    </row>
    <row r="144" spans="1:29" ht="14.45" customHeight="1" x14ac:dyDescent="0.25">
      <c r="A144" t="str">
        <v>21/02/2024  00:10</v>
      </c>
      <c r="B144">
        <v>81.37</v>
      </c>
      <c r="C144">
        <v>81.180000000000007</v>
      </c>
      <c r="D144">
        <v>81.09</v>
      </c>
      <c r="E144">
        <v>81.47</v>
      </c>
      <c r="F144">
        <v>81.540000000000006</v>
      </c>
      <c r="G144">
        <v>82.11</v>
      </c>
      <c r="H144">
        <v>81.81</v>
      </c>
      <c r="I144">
        <v>82.21</v>
      </c>
      <c r="J144">
        <v>81.62</v>
      </c>
      <c r="K144" s="327"/>
      <c r="M144" s="504"/>
      <c r="N144" s="205">
        <v>81.850000000000009</v>
      </c>
      <c r="O144" s="205">
        <v>81.47</v>
      </c>
      <c r="P144" s="205">
        <v>81.61</v>
      </c>
      <c r="Q144" s="205">
        <v>81.8</v>
      </c>
      <c r="R144" s="205">
        <v>82.300000000000011</v>
      </c>
      <c r="S144" s="205">
        <v>82.63</v>
      </c>
      <c r="T144" s="205">
        <v>82.18</v>
      </c>
      <c r="U144" s="205">
        <v>82.699999999999989</v>
      </c>
      <c r="V144" s="205">
        <v>82.11</v>
      </c>
      <c r="W144" s="213">
        <v>80</v>
      </c>
      <c r="Z144" s="23" t="str">
        <v>21/02/2024  00:10</v>
      </c>
      <c r="AA144" s="327">
        <v>81.400000000000006</v>
      </c>
      <c r="AB144" s="327">
        <v>80.3</v>
      </c>
      <c r="AC144" s="327">
        <v>82.2</v>
      </c>
    </row>
    <row r="145" spans="1:29" ht="14.45" customHeight="1" x14ac:dyDescent="0.25">
      <c r="A145" t="str">
        <v>21/02/2024  00:11</v>
      </c>
      <c r="B145">
        <v>81.400000000000006</v>
      </c>
      <c r="C145">
        <v>81.14</v>
      </c>
      <c r="D145">
        <v>81.069999999999993</v>
      </c>
      <c r="E145">
        <v>81.48</v>
      </c>
      <c r="F145">
        <v>81.349999999999994</v>
      </c>
      <c r="G145">
        <v>82.04</v>
      </c>
      <c r="H145">
        <v>81.78</v>
      </c>
      <c r="I145">
        <v>82.09</v>
      </c>
      <c r="J145">
        <v>81.58</v>
      </c>
      <c r="K145" s="327"/>
      <c r="M145" s="504"/>
      <c r="N145" s="205">
        <v>81.88000000000001</v>
      </c>
      <c r="O145" s="205">
        <v>81.429999999999993</v>
      </c>
      <c r="P145" s="205">
        <v>81.589999999999989</v>
      </c>
      <c r="Q145" s="205">
        <v>81.81</v>
      </c>
      <c r="R145" s="205">
        <v>82.11</v>
      </c>
      <c r="S145" s="205">
        <v>82.56</v>
      </c>
      <c r="T145" s="205">
        <v>82.15</v>
      </c>
      <c r="U145" s="205">
        <v>82.58</v>
      </c>
      <c r="V145" s="205">
        <v>82.07</v>
      </c>
      <c r="W145" s="213">
        <v>80</v>
      </c>
      <c r="Z145" s="23" t="str">
        <v>21/02/2024  00:11</v>
      </c>
      <c r="AA145" s="327">
        <v>81.400000000000006</v>
      </c>
      <c r="AB145" s="327">
        <v>80.5</v>
      </c>
      <c r="AC145" s="327">
        <v>82.3</v>
      </c>
    </row>
    <row r="146" spans="1:29" ht="14.45" customHeight="1" x14ac:dyDescent="0.25">
      <c r="A146" t="str">
        <v>21/02/2024  00:12</v>
      </c>
      <c r="B146">
        <v>81.37</v>
      </c>
      <c r="C146">
        <v>81.13</v>
      </c>
      <c r="D146">
        <v>81.040000000000006</v>
      </c>
      <c r="E146">
        <v>81.400000000000006</v>
      </c>
      <c r="F146">
        <v>81.209999999999994</v>
      </c>
      <c r="G146">
        <v>81.92</v>
      </c>
      <c r="H146">
        <v>81.73</v>
      </c>
      <c r="I146">
        <v>82.03</v>
      </c>
      <c r="J146">
        <v>81.48</v>
      </c>
      <c r="K146" s="327"/>
      <c r="M146" s="504"/>
      <c r="N146" s="205">
        <v>81.850000000000009</v>
      </c>
      <c r="O146" s="205">
        <v>81.419999999999987</v>
      </c>
      <c r="P146" s="205">
        <v>81.56</v>
      </c>
      <c r="Q146" s="205">
        <v>81.73</v>
      </c>
      <c r="R146" s="205">
        <v>81.97</v>
      </c>
      <c r="S146" s="205">
        <v>82.44</v>
      </c>
      <c r="T146" s="205">
        <v>82.100000000000009</v>
      </c>
      <c r="U146" s="205">
        <v>82.52</v>
      </c>
      <c r="V146" s="205">
        <v>81.97</v>
      </c>
      <c r="W146" s="213">
        <v>80</v>
      </c>
      <c r="Z146" s="23" t="str">
        <v>21/02/2024  00:12</v>
      </c>
      <c r="AA146" s="327">
        <v>81.400000000000006</v>
      </c>
      <c r="AB146" s="327">
        <v>80.5</v>
      </c>
      <c r="AC146" s="327">
        <v>82.3</v>
      </c>
    </row>
    <row r="147" spans="1:29" ht="14.45" customHeight="1" x14ac:dyDescent="0.25">
      <c r="A147" t="str">
        <v>21/02/2024  00:13</v>
      </c>
      <c r="B147">
        <v>81.260000000000005</v>
      </c>
      <c r="C147">
        <v>81.069999999999993</v>
      </c>
      <c r="D147">
        <v>81.010000000000005</v>
      </c>
      <c r="E147">
        <v>81.28</v>
      </c>
      <c r="F147">
        <v>81.06</v>
      </c>
      <c r="G147">
        <v>81.819999999999993</v>
      </c>
      <c r="H147">
        <v>81.63</v>
      </c>
      <c r="I147">
        <v>81.83</v>
      </c>
      <c r="J147">
        <v>81.33</v>
      </c>
      <c r="K147" s="327"/>
      <c r="M147" s="504"/>
      <c r="N147" s="205">
        <v>81.740000000000009</v>
      </c>
      <c r="O147" s="205">
        <v>81.359999999999985</v>
      </c>
      <c r="P147" s="205">
        <v>81.53</v>
      </c>
      <c r="Q147" s="205">
        <v>81.61</v>
      </c>
      <c r="R147" s="205">
        <v>81.820000000000007</v>
      </c>
      <c r="S147" s="205">
        <v>82.339999999999989</v>
      </c>
      <c r="T147" s="205">
        <v>82</v>
      </c>
      <c r="U147" s="205">
        <v>82.32</v>
      </c>
      <c r="V147" s="205">
        <v>81.819999999999993</v>
      </c>
      <c r="W147" s="213">
        <v>80</v>
      </c>
      <c r="Z147" s="23" t="str">
        <v>21/02/2024  00:13</v>
      </c>
      <c r="AA147" s="327">
        <v>81.3</v>
      </c>
      <c r="AB147" s="327">
        <v>80.599999999999994</v>
      </c>
      <c r="AC147" s="327">
        <v>82.2</v>
      </c>
    </row>
    <row r="148" spans="1:29" ht="14.45" customHeight="1" x14ac:dyDescent="0.25">
      <c r="A148" t="str">
        <v>21/02/2024  00:14</v>
      </c>
      <c r="B148">
        <v>81.14</v>
      </c>
      <c r="C148">
        <v>80.97</v>
      </c>
      <c r="D148">
        <v>80.86</v>
      </c>
      <c r="E148">
        <v>81.12</v>
      </c>
      <c r="F148">
        <v>80.95</v>
      </c>
      <c r="G148">
        <v>81.709999999999994</v>
      </c>
      <c r="H148">
        <v>81.5</v>
      </c>
      <c r="I148">
        <v>81.709999999999994</v>
      </c>
      <c r="J148">
        <v>81.239999999999995</v>
      </c>
      <c r="K148" s="327"/>
      <c r="M148" s="504"/>
      <c r="N148" s="205">
        <v>81.62</v>
      </c>
      <c r="O148" s="205">
        <v>81.259999999999991</v>
      </c>
      <c r="P148" s="205">
        <v>81.38</v>
      </c>
      <c r="Q148" s="205">
        <v>81.45</v>
      </c>
      <c r="R148" s="205">
        <v>81.710000000000008</v>
      </c>
      <c r="S148" s="205">
        <v>82.22999999999999</v>
      </c>
      <c r="T148" s="205">
        <v>81.87</v>
      </c>
      <c r="U148" s="205">
        <v>82.199999999999989</v>
      </c>
      <c r="V148" s="205">
        <v>81.72999999999999</v>
      </c>
      <c r="W148" s="213">
        <v>80</v>
      </c>
      <c r="Z148" s="23" t="str">
        <v>21/02/2024  00:14</v>
      </c>
      <c r="AA148" s="327">
        <v>81.2</v>
      </c>
      <c r="AB148" s="327">
        <v>80.599999999999994</v>
      </c>
      <c r="AC148" s="327">
        <v>82.1</v>
      </c>
    </row>
    <row r="149" spans="1:29" ht="14.45" customHeight="1" x14ac:dyDescent="0.25">
      <c r="A149" t="str">
        <v>21/02/2024  00:15</v>
      </c>
      <c r="B149">
        <v>81.099999999999994</v>
      </c>
      <c r="C149">
        <v>80.92</v>
      </c>
      <c r="D149">
        <v>80.86</v>
      </c>
      <c r="E149">
        <v>81.06</v>
      </c>
      <c r="F149">
        <v>80.849999999999994</v>
      </c>
      <c r="G149">
        <v>81.62</v>
      </c>
      <c r="H149">
        <v>81.39</v>
      </c>
      <c r="I149">
        <v>81.53</v>
      </c>
      <c r="J149">
        <v>81.12</v>
      </c>
      <c r="K149" s="327"/>
      <c r="M149" s="504"/>
      <c r="N149" s="205">
        <v>81.58</v>
      </c>
      <c r="O149" s="205">
        <v>81.209999999999994</v>
      </c>
      <c r="P149" s="205">
        <v>81.38</v>
      </c>
      <c r="Q149" s="205">
        <v>81.39</v>
      </c>
      <c r="R149" s="205">
        <v>81.61</v>
      </c>
      <c r="S149" s="205">
        <v>82.14</v>
      </c>
      <c r="T149" s="205">
        <v>81.760000000000005</v>
      </c>
      <c r="U149" s="205">
        <v>82.02</v>
      </c>
      <c r="V149" s="205">
        <v>81.61</v>
      </c>
      <c r="W149" s="213">
        <v>80</v>
      </c>
      <c r="Z149" s="23" t="str">
        <v>21/02/2024  00:15</v>
      </c>
      <c r="AA149" s="327">
        <v>81.099999999999994</v>
      </c>
      <c r="AB149" s="327">
        <v>80.5</v>
      </c>
      <c r="AC149" s="327">
        <v>82</v>
      </c>
    </row>
    <row r="150" spans="1:29" ht="14.45" customHeight="1" x14ac:dyDescent="0.25">
      <c r="A150" t="str">
        <v>21/02/2024  00:16</v>
      </c>
      <c r="B150">
        <v>81.03</v>
      </c>
      <c r="C150">
        <v>80.88</v>
      </c>
      <c r="D150">
        <v>80.75</v>
      </c>
      <c r="E150">
        <v>80.989999999999995</v>
      </c>
      <c r="F150">
        <v>80.67</v>
      </c>
      <c r="G150">
        <v>81.56</v>
      </c>
      <c r="H150">
        <v>81.349999999999994</v>
      </c>
      <c r="I150">
        <v>81.510000000000005</v>
      </c>
      <c r="J150">
        <v>81.010000000000005</v>
      </c>
      <c r="K150" s="327"/>
      <c r="M150" s="504"/>
      <c r="N150" s="205">
        <v>81.510000000000005</v>
      </c>
      <c r="O150" s="205">
        <v>81.169999999999987</v>
      </c>
      <c r="P150" s="205">
        <v>81.27</v>
      </c>
      <c r="Q150" s="205">
        <v>81.319999999999993</v>
      </c>
      <c r="R150" s="205">
        <v>81.430000000000007</v>
      </c>
      <c r="S150" s="205">
        <v>82.08</v>
      </c>
      <c r="T150" s="205">
        <v>81.72</v>
      </c>
      <c r="U150" s="205">
        <v>82</v>
      </c>
      <c r="V150" s="205">
        <v>81.5</v>
      </c>
      <c r="W150" s="213">
        <v>80</v>
      </c>
      <c r="Z150" s="23" t="str">
        <v>21/02/2024  00:16</v>
      </c>
      <c r="AA150" s="327">
        <v>80.900000000000006</v>
      </c>
      <c r="AB150" s="327">
        <v>80.5</v>
      </c>
      <c r="AC150" s="327">
        <v>81.900000000000006</v>
      </c>
    </row>
    <row r="151" spans="1:29" ht="14.45" customHeight="1" x14ac:dyDescent="0.25">
      <c r="A151" t="str">
        <v>21/02/2024  00:17</v>
      </c>
      <c r="B151">
        <v>80.959999999999994</v>
      </c>
      <c r="C151">
        <v>80.77</v>
      </c>
      <c r="D151">
        <v>80.680000000000007</v>
      </c>
      <c r="E151">
        <v>80.88</v>
      </c>
      <c r="F151">
        <v>80.56</v>
      </c>
      <c r="G151">
        <v>81.459999999999994</v>
      </c>
      <c r="H151">
        <v>81.239999999999995</v>
      </c>
      <c r="I151">
        <v>81.38</v>
      </c>
      <c r="J151">
        <v>80.87</v>
      </c>
      <c r="K151" s="327"/>
      <c r="M151" s="503" t="s">
        <v>327</v>
      </c>
      <c r="N151" s="203">
        <v>81.44</v>
      </c>
      <c r="O151" s="203">
        <v>81.059999999999988</v>
      </c>
      <c r="P151" s="203">
        <v>81.2</v>
      </c>
      <c r="Q151" s="203">
        <v>81.209999999999994</v>
      </c>
      <c r="R151" s="203">
        <v>81.320000000000007</v>
      </c>
      <c r="S151" s="203">
        <v>81.97999999999999</v>
      </c>
      <c r="T151" s="203">
        <v>81.61</v>
      </c>
      <c r="U151" s="203">
        <v>81.86999999999999</v>
      </c>
      <c r="V151" s="203">
        <v>81.36</v>
      </c>
      <c r="W151" s="203">
        <v>80</v>
      </c>
      <c r="Z151" s="23" t="str">
        <v>21/02/2024  00:17</v>
      </c>
      <c r="AA151" s="327">
        <v>80.7</v>
      </c>
      <c r="AB151" s="327">
        <v>80.5</v>
      </c>
      <c r="AC151" s="327">
        <v>81.8</v>
      </c>
    </row>
    <row r="152" spans="1:29" ht="14.45" customHeight="1" x14ac:dyDescent="0.25">
      <c r="A152" t="str">
        <v>21/02/2024  00:18</v>
      </c>
      <c r="B152">
        <v>80.92</v>
      </c>
      <c r="C152">
        <v>80.73</v>
      </c>
      <c r="D152">
        <v>80.69</v>
      </c>
      <c r="E152">
        <v>80.83</v>
      </c>
      <c r="F152">
        <v>80.44</v>
      </c>
      <c r="G152">
        <v>81.400000000000006</v>
      </c>
      <c r="H152">
        <v>81.17</v>
      </c>
      <c r="I152">
        <v>81.31</v>
      </c>
      <c r="J152">
        <v>80.819999999999993</v>
      </c>
      <c r="K152" s="327"/>
      <c r="M152" s="503"/>
      <c r="N152" s="203">
        <v>81.400000000000006</v>
      </c>
      <c r="O152" s="203">
        <v>81.02</v>
      </c>
      <c r="P152" s="203">
        <v>81.209999999999994</v>
      </c>
      <c r="Q152" s="203">
        <v>81.16</v>
      </c>
      <c r="R152" s="203">
        <v>81.2</v>
      </c>
      <c r="S152" s="203">
        <v>81.92</v>
      </c>
      <c r="T152" s="203">
        <v>81.540000000000006</v>
      </c>
      <c r="U152" s="203">
        <v>81.8</v>
      </c>
      <c r="V152" s="203">
        <v>81.309999999999988</v>
      </c>
      <c r="W152" s="203">
        <v>80</v>
      </c>
      <c r="Z152" s="23" t="str">
        <v>21/02/2024  00:18</v>
      </c>
      <c r="AA152" s="327">
        <v>80.599999999999994</v>
      </c>
      <c r="AB152" s="327">
        <v>80.400000000000006</v>
      </c>
      <c r="AC152" s="327">
        <v>81.7</v>
      </c>
    </row>
    <row r="153" spans="1:29" ht="14.45" customHeight="1" x14ac:dyDescent="0.25">
      <c r="A153" t="str">
        <v>21/02/2024  00:19</v>
      </c>
      <c r="B153">
        <v>80.819999999999993</v>
      </c>
      <c r="C153">
        <v>80.7</v>
      </c>
      <c r="D153">
        <v>80.62</v>
      </c>
      <c r="E153">
        <v>80.739999999999995</v>
      </c>
      <c r="F153">
        <v>80.459999999999994</v>
      </c>
      <c r="G153">
        <v>81.37</v>
      </c>
      <c r="H153">
        <v>81.09</v>
      </c>
      <c r="I153">
        <v>81.209999999999994</v>
      </c>
      <c r="J153">
        <v>80.760000000000005</v>
      </c>
      <c r="K153" s="327"/>
      <c r="M153" s="503"/>
      <c r="N153" s="203">
        <v>81.3</v>
      </c>
      <c r="O153" s="203">
        <v>80.989999999999995</v>
      </c>
      <c r="P153" s="203">
        <v>81.14</v>
      </c>
      <c r="Q153" s="203">
        <v>81.069999999999993</v>
      </c>
      <c r="R153" s="203">
        <v>81.22</v>
      </c>
      <c r="S153" s="203">
        <v>81.89</v>
      </c>
      <c r="T153" s="203">
        <v>81.460000000000008</v>
      </c>
      <c r="U153" s="203">
        <v>81.699999999999989</v>
      </c>
      <c r="V153" s="203">
        <v>81.25</v>
      </c>
      <c r="W153" s="203">
        <v>80</v>
      </c>
      <c r="Z153" s="23" t="str">
        <v>21/02/2024  00:19</v>
      </c>
      <c r="AA153" s="327">
        <v>80.5</v>
      </c>
      <c r="AB153" s="327">
        <v>80.400000000000006</v>
      </c>
      <c r="AC153" s="327">
        <v>81.7</v>
      </c>
    </row>
    <row r="154" spans="1:29" ht="14.45" customHeight="1" x14ac:dyDescent="0.25">
      <c r="A154" t="str">
        <v>21/02/2024  00:20</v>
      </c>
      <c r="B154">
        <v>80.78</v>
      </c>
      <c r="C154">
        <v>80.67</v>
      </c>
      <c r="D154">
        <v>80.61</v>
      </c>
      <c r="E154">
        <v>80.73</v>
      </c>
      <c r="F154">
        <v>80.38</v>
      </c>
      <c r="G154">
        <v>81.31</v>
      </c>
      <c r="H154">
        <v>81.040000000000006</v>
      </c>
      <c r="I154">
        <v>81.16</v>
      </c>
      <c r="J154">
        <v>80.739999999999995</v>
      </c>
      <c r="K154" s="327"/>
      <c r="M154" s="503"/>
      <c r="N154" s="203">
        <v>81.260000000000005</v>
      </c>
      <c r="O154" s="203">
        <v>80.959999999999994</v>
      </c>
      <c r="P154" s="203">
        <v>81.13</v>
      </c>
      <c r="Q154" s="203">
        <v>81.06</v>
      </c>
      <c r="R154" s="203">
        <v>81.14</v>
      </c>
      <c r="S154" s="203">
        <v>81.83</v>
      </c>
      <c r="T154" s="203">
        <v>81.410000000000011</v>
      </c>
      <c r="U154" s="203">
        <v>81.649999999999991</v>
      </c>
      <c r="V154" s="203">
        <v>81.22999999999999</v>
      </c>
      <c r="W154" s="203">
        <v>80</v>
      </c>
      <c r="Z154" s="23" t="str">
        <v>21/02/2024  00:20</v>
      </c>
      <c r="AA154" s="327">
        <v>80.400000000000006</v>
      </c>
      <c r="AB154" s="327">
        <v>80.3</v>
      </c>
      <c r="AC154" s="327">
        <v>81.599999999999994</v>
      </c>
    </row>
    <row r="155" spans="1:29" ht="14.45" customHeight="1" x14ac:dyDescent="0.25">
      <c r="A155" t="str">
        <v>21/02/2024  00:21</v>
      </c>
      <c r="B155">
        <v>80.77</v>
      </c>
      <c r="C155">
        <v>80.64</v>
      </c>
      <c r="D155">
        <v>80.55</v>
      </c>
      <c r="E155">
        <v>80.72</v>
      </c>
      <c r="F155">
        <v>80.37</v>
      </c>
      <c r="G155">
        <v>81.3</v>
      </c>
      <c r="H155">
        <v>81.05</v>
      </c>
      <c r="I155">
        <v>81.099999999999994</v>
      </c>
      <c r="J155">
        <v>80.7</v>
      </c>
      <c r="K155" s="327"/>
      <c r="M155" s="503"/>
      <c r="N155" s="203">
        <v>81.25</v>
      </c>
      <c r="O155" s="203">
        <v>80.929999999999993</v>
      </c>
      <c r="P155" s="203">
        <v>81.069999999999993</v>
      </c>
      <c r="Q155" s="203">
        <v>81.05</v>
      </c>
      <c r="R155" s="203">
        <v>81.13000000000001</v>
      </c>
      <c r="S155" s="203">
        <v>81.819999999999993</v>
      </c>
      <c r="T155" s="203">
        <v>81.42</v>
      </c>
      <c r="U155" s="203">
        <v>81.589999999999989</v>
      </c>
      <c r="V155" s="203">
        <v>81.19</v>
      </c>
      <c r="W155" s="203">
        <v>80</v>
      </c>
      <c r="Z155" s="23" t="str">
        <v>21/02/2024  00:21</v>
      </c>
      <c r="AA155" s="327">
        <v>80.3</v>
      </c>
      <c r="AB155" s="327">
        <v>80.2</v>
      </c>
      <c r="AC155" s="327">
        <v>81.5</v>
      </c>
    </row>
    <row r="156" spans="1:29" ht="14.45" customHeight="1" x14ac:dyDescent="0.25">
      <c r="A156" t="str">
        <v>21/02/2024  00:22</v>
      </c>
      <c r="B156">
        <v>80.739999999999995</v>
      </c>
      <c r="C156">
        <v>80.63</v>
      </c>
      <c r="D156">
        <v>80.569999999999993</v>
      </c>
      <c r="E156">
        <v>80.680000000000007</v>
      </c>
      <c r="F156">
        <v>80.23</v>
      </c>
      <c r="G156">
        <v>81.23</v>
      </c>
      <c r="H156">
        <v>80.98</v>
      </c>
      <c r="I156">
        <v>81.040000000000006</v>
      </c>
      <c r="J156">
        <v>80.61</v>
      </c>
      <c r="K156" s="327"/>
      <c r="M156" s="503"/>
      <c r="N156" s="203">
        <v>81.22</v>
      </c>
      <c r="O156" s="203">
        <v>80.919999999999987</v>
      </c>
      <c r="P156" s="203">
        <v>81.089999999999989</v>
      </c>
      <c r="Q156" s="203">
        <v>81.010000000000005</v>
      </c>
      <c r="R156" s="203">
        <v>80.990000000000009</v>
      </c>
      <c r="S156" s="203">
        <v>81.75</v>
      </c>
      <c r="T156" s="203">
        <v>81.350000000000009</v>
      </c>
      <c r="U156" s="203">
        <v>81.53</v>
      </c>
      <c r="V156" s="203">
        <v>81.099999999999994</v>
      </c>
      <c r="W156" s="203">
        <v>80</v>
      </c>
      <c r="Z156" s="23" t="str">
        <v>21/02/2024  00:22</v>
      </c>
      <c r="AA156" s="327">
        <v>80.2</v>
      </c>
      <c r="AB156" s="327">
        <v>80.2</v>
      </c>
      <c r="AC156" s="327">
        <v>81.5</v>
      </c>
    </row>
    <row r="157" spans="1:29" ht="14.45" customHeight="1" x14ac:dyDescent="0.25">
      <c r="A157" t="str">
        <v>21/02/2024  00:23</v>
      </c>
      <c r="B157">
        <v>80.73</v>
      </c>
      <c r="C157">
        <v>80.61</v>
      </c>
      <c r="D157">
        <v>80.510000000000005</v>
      </c>
      <c r="E157">
        <v>80.650000000000006</v>
      </c>
      <c r="F157">
        <v>80.180000000000007</v>
      </c>
      <c r="G157">
        <v>81.19</v>
      </c>
      <c r="H157">
        <v>80.94</v>
      </c>
      <c r="I157">
        <v>81.040000000000006</v>
      </c>
      <c r="J157">
        <v>80.59</v>
      </c>
      <c r="K157" s="327"/>
      <c r="M157" s="503"/>
      <c r="N157" s="203">
        <v>81.210000000000008</v>
      </c>
      <c r="O157" s="203">
        <v>80.899999999999991</v>
      </c>
      <c r="P157" s="203">
        <v>81.03</v>
      </c>
      <c r="Q157" s="203">
        <v>80.98</v>
      </c>
      <c r="R157" s="203">
        <v>80.940000000000012</v>
      </c>
      <c r="S157" s="203">
        <v>81.709999999999994</v>
      </c>
      <c r="T157" s="203">
        <v>81.31</v>
      </c>
      <c r="U157" s="203">
        <v>81.53</v>
      </c>
      <c r="V157" s="203">
        <v>81.08</v>
      </c>
      <c r="W157" s="203">
        <v>80</v>
      </c>
      <c r="Z157" s="23" t="str">
        <v>21/02/2024  00:23</v>
      </c>
      <c r="AA157" s="327">
        <v>80.2</v>
      </c>
      <c r="AB157" s="327">
        <v>80.2</v>
      </c>
      <c r="AC157" s="327">
        <v>81.400000000000006</v>
      </c>
    </row>
    <row r="158" spans="1:29" ht="14.45" customHeight="1" x14ac:dyDescent="0.25">
      <c r="A158" t="str">
        <v>21/02/2024  00:24</v>
      </c>
      <c r="B158">
        <v>80.72</v>
      </c>
      <c r="C158">
        <v>80.599999999999994</v>
      </c>
      <c r="D158">
        <v>80.489999999999995</v>
      </c>
      <c r="E158">
        <v>80.62</v>
      </c>
      <c r="F158">
        <v>80.17</v>
      </c>
      <c r="G158">
        <v>81.17</v>
      </c>
      <c r="H158">
        <v>80.91</v>
      </c>
      <c r="I158">
        <v>80.98</v>
      </c>
      <c r="J158">
        <v>80.5</v>
      </c>
      <c r="K158" s="327"/>
      <c r="M158" s="503"/>
      <c r="N158" s="203">
        <v>81.2</v>
      </c>
      <c r="O158" s="203">
        <v>80.889999999999986</v>
      </c>
      <c r="P158" s="203">
        <v>81.009999999999991</v>
      </c>
      <c r="Q158" s="203">
        <v>80.95</v>
      </c>
      <c r="R158" s="203">
        <v>80.930000000000007</v>
      </c>
      <c r="S158" s="203">
        <v>81.69</v>
      </c>
      <c r="T158" s="203">
        <v>81.28</v>
      </c>
      <c r="U158" s="203">
        <v>81.47</v>
      </c>
      <c r="V158" s="203">
        <v>80.989999999999995</v>
      </c>
      <c r="W158" s="203">
        <v>80</v>
      </c>
      <c r="Z158" s="23" t="str">
        <v>21/02/2024  00:24</v>
      </c>
      <c r="AA158" s="327">
        <v>80.099999999999994</v>
      </c>
      <c r="AB158" s="327">
        <v>80.2</v>
      </c>
      <c r="AC158" s="327">
        <v>81.400000000000006</v>
      </c>
    </row>
    <row r="159" spans="1:29" ht="14.45" customHeight="1" x14ac:dyDescent="0.25">
      <c r="A159" t="str">
        <v>21/02/2024  00:25</v>
      </c>
      <c r="B159">
        <v>80.77</v>
      </c>
      <c r="C159">
        <v>80.56</v>
      </c>
      <c r="D159">
        <v>80.459999999999994</v>
      </c>
      <c r="E159">
        <v>80.58</v>
      </c>
      <c r="F159">
        <v>80.17</v>
      </c>
      <c r="G159">
        <v>81.14</v>
      </c>
      <c r="H159">
        <v>80.89</v>
      </c>
      <c r="I159">
        <v>80.930000000000007</v>
      </c>
      <c r="J159">
        <v>80.510000000000005</v>
      </c>
      <c r="K159" s="327"/>
      <c r="M159" s="503"/>
      <c r="N159" s="203">
        <v>81.25</v>
      </c>
      <c r="O159" s="203">
        <v>80.849999999999994</v>
      </c>
      <c r="P159" s="203">
        <v>80.97999999999999</v>
      </c>
      <c r="Q159" s="203">
        <v>80.91</v>
      </c>
      <c r="R159" s="203">
        <v>80.930000000000007</v>
      </c>
      <c r="S159" s="203">
        <v>81.66</v>
      </c>
      <c r="T159" s="203">
        <v>81.260000000000005</v>
      </c>
      <c r="U159" s="203">
        <v>81.42</v>
      </c>
      <c r="V159" s="203">
        <v>81</v>
      </c>
      <c r="W159" s="203">
        <v>80</v>
      </c>
      <c r="Z159" s="23" t="str">
        <v>21/02/2024  00:25</v>
      </c>
      <c r="AA159" s="327">
        <v>80</v>
      </c>
      <c r="AB159" s="327">
        <v>80.099999999999994</v>
      </c>
      <c r="AC159" s="327">
        <v>81.3</v>
      </c>
    </row>
    <row r="160" spans="1:29" ht="14.45" customHeight="1" x14ac:dyDescent="0.25">
      <c r="A160" t="str">
        <v>21/02/2024  00:26</v>
      </c>
      <c r="B160">
        <v>80.72</v>
      </c>
      <c r="C160">
        <v>80.58</v>
      </c>
      <c r="D160">
        <v>80.53</v>
      </c>
      <c r="E160">
        <v>80.599999999999994</v>
      </c>
      <c r="F160">
        <v>80.2</v>
      </c>
      <c r="G160">
        <v>81.17</v>
      </c>
      <c r="H160">
        <v>80.900000000000006</v>
      </c>
      <c r="I160">
        <v>80.959999999999994</v>
      </c>
      <c r="J160">
        <v>80.510000000000005</v>
      </c>
      <c r="K160" s="327"/>
      <c r="M160" s="503"/>
      <c r="N160" s="203">
        <v>81.2</v>
      </c>
      <c r="O160" s="203">
        <v>80.86999999999999</v>
      </c>
      <c r="P160" s="203">
        <v>81.05</v>
      </c>
      <c r="Q160" s="203">
        <v>80.929999999999993</v>
      </c>
      <c r="R160" s="203">
        <v>80.960000000000008</v>
      </c>
      <c r="S160" s="203">
        <v>81.69</v>
      </c>
      <c r="T160" s="203">
        <v>81.27000000000001</v>
      </c>
      <c r="U160" s="203">
        <v>81.449999999999989</v>
      </c>
      <c r="V160" s="203">
        <v>81</v>
      </c>
      <c r="W160" s="203">
        <v>80</v>
      </c>
      <c r="Z160" s="23" t="str">
        <v>21/02/2024  00:26</v>
      </c>
      <c r="AA160" s="327">
        <v>80</v>
      </c>
      <c r="AB160" s="327">
        <v>80.099999999999994</v>
      </c>
      <c r="AC160" s="327">
        <v>81.400000000000006</v>
      </c>
    </row>
    <row r="161" spans="1:29" ht="14.45" customHeight="1" x14ac:dyDescent="0.25">
      <c r="A161" t="str">
        <v>21/02/2024  00:27</v>
      </c>
      <c r="B161">
        <v>80.709999999999994</v>
      </c>
      <c r="C161">
        <v>80.569999999999993</v>
      </c>
      <c r="D161">
        <v>80.56</v>
      </c>
      <c r="E161">
        <v>80.650000000000006</v>
      </c>
      <c r="F161">
        <v>80.27</v>
      </c>
      <c r="G161">
        <v>81.19</v>
      </c>
      <c r="H161">
        <v>80.91</v>
      </c>
      <c r="I161">
        <v>81.02</v>
      </c>
      <c r="J161">
        <v>80.58</v>
      </c>
      <c r="K161" s="327"/>
      <c r="M161" s="503"/>
      <c r="N161" s="203">
        <v>81.19</v>
      </c>
      <c r="O161" s="203">
        <v>80.859999999999985</v>
      </c>
      <c r="P161" s="203">
        <v>81.08</v>
      </c>
      <c r="Q161" s="203">
        <v>80.98</v>
      </c>
      <c r="R161" s="203">
        <v>81.03</v>
      </c>
      <c r="S161" s="203">
        <v>81.709999999999994</v>
      </c>
      <c r="T161" s="203">
        <v>81.28</v>
      </c>
      <c r="U161" s="203">
        <v>81.509999999999991</v>
      </c>
      <c r="V161" s="203">
        <v>81.069999999999993</v>
      </c>
      <c r="W161" s="203">
        <v>80</v>
      </c>
      <c r="Z161" s="23" t="str">
        <v>21/02/2024  00:27</v>
      </c>
      <c r="AA161" s="327">
        <v>80</v>
      </c>
      <c r="AB161" s="327">
        <v>80.099999999999994</v>
      </c>
      <c r="AC161" s="327">
        <v>81.3</v>
      </c>
    </row>
    <row r="162" spans="1:29" ht="14.45" customHeight="1" x14ac:dyDescent="0.25">
      <c r="A162" t="str">
        <v>21/02/2024  00:28</v>
      </c>
      <c r="B162">
        <v>80.760000000000005</v>
      </c>
      <c r="C162">
        <v>80.66</v>
      </c>
      <c r="D162">
        <v>80.56</v>
      </c>
      <c r="E162">
        <v>80.67</v>
      </c>
      <c r="F162">
        <v>80.209999999999994</v>
      </c>
      <c r="G162">
        <v>81.22</v>
      </c>
      <c r="H162">
        <v>80.95</v>
      </c>
      <c r="I162">
        <v>81.03</v>
      </c>
      <c r="J162">
        <v>80.59</v>
      </c>
      <c r="K162" s="327"/>
      <c r="M162" s="503"/>
      <c r="N162" s="203">
        <v>81.240000000000009</v>
      </c>
      <c r="O162" s="203">
        <v>80.949999999999989</v>
      </c>
      <c r="P162" s="203">
        <v>81.08</v>
      </c>
      <c r="Q162" s="203">
        <v>81</v>
      </c>
      <c r="R162" s="203">
        <v>80.97</v>
      </c>
      <c r="S162" s="203">
        <v>81.739999999999995</v>
      </c>
      <c r="T162" s="203">
        <v>81.320000000000007</v>
      </c>
      <c r="U162" s="203">
        <v>81.52</v>
      </c>
      <c r="V162" s="203">
        <v>81.08</v>
      </c>
      <c r="W162" s="203">
        <v>80</v>
      </c>
      <c r="Z162" s="23" t="str">
        <v>21/02/2024  00:28</v>
      </c>
      <c r="AA162" s="327">
        <v>80</v>
      </c>
      <c r="AB162" s="327">
        <v>80.099999999999994</v>
      </c>
      <c r="AC162" s="327">
        <v>81.400000000000006</v>
      </c>
    </row>
    <row r="163" spans="1:29" ht="14.45" customHeight="1" x14ac:dyDescent="0.25">
      <c r="A163" t="str">
        <v>21/02/2024  00:29</v>
      </c>
      <c r="B163">
        <v>80.69</v>
      </c>
      <c r="C163">
        <v>80.62</v>
      </c>
      <c r="D163">
        <v>80.540000000000006</v>
      </c>
      <c r="E163">
        <v>80.59</v>
      </c>
      <c r="F163">
        <v>80.2</v>
      </c>
      <c r="G163">
        <v>81.17</v>
      </c>
      <c r="H163">
        <v>80.89</v>
      </c>
      <c r="I163">
        <v>80.959999999999994</v>
      </c>
      <c r="J163">
        <v>80.569999999999993</v>
      </c>
      <c r="K163" s="327"/>
      <c r="M163" s="503"/>
      <c r="N163" s="203">
        <v>81.17</v>
      </c>
      <c r="O163" s="203">
        <v>80.91</v>
      </c>
      <c r="P163" s="203">
        <v>81.06</v>
      </c>
      <c r="Q163" s="203">
        <v>80.92</v>
      </c>
      <c r="R163" s="203">
        <v>80.960000000000008</v>
      </c>
      <c r="S163" s="203">
        <v>81.69</v>
      </c>
      <c r="T163" s="203">
        <v>81.260000000000005</v>
      </c>
      <c r="U163" s="203">
        <v>81.449999999999989</v>
      </c>
      <c r="V163" s="203">
        <v>81.059999999999988</v>
      </c>
      <c r="W163" s="203">
        <v>80</v>
      </c>
      <c r="Z163" s="23" t="str">
        <v>21/02/2024  00:29</v>
      </c>
      <c r="AA163" s="327">
        <v>80</v>
      </c>
      <c r="AB163" s="327">
        <v>80.099999999999994</v>
      </c>
      <c r="AC163" s="327">
        <v>81.400000000000006</v>
      </c>
    </row>
    <row r="164" spans="1:29" ht="14.45" customHeight="1" x14ac:dyDescent="0.25">
      <c r="A164" t="str">
        <v>21/02/2024  00:30</v>
      </c>
      <c r="B164">
        <v>80.66</v>
      </c>
      <c r="C164">
        <v>80.59</v>
      </c>
      <c r="D164">
        <v>80.489999999999995</v>
      </c>
      <c r="E164">
        <v>80.56</v>
      </c>
      <c r="F164">
        <v>80.17</v>
      </c>
      <c r="G164">
        <v>81.13</v>
      </c>
      <c r="H164">
        <v>80.87</v>
      </c>
      <c r="I164">
        <v>80.88</v>
      </c>
      <c r="J164">
        <v>80.52</v>
      </c>
      <c r="K164" s="327"/>
      <c r="M164" s="503"/>
      <c r="N164" s="203">
        <v>81.14</v>
      </c>
      <c r="O164" s="203">
        <v>80.88</v>
      </c>
      <c r="P164" s="203">
        <v>81.009999999999991</v>
      </c>
      <c r="Q164" s="203">
        <v>80.89</v>
      </c>
      <c r="R164" s="203">
        <v>80.930000000000007</v>
      </c>
      <c r="S164" s="203">
        <v>81.649999999999991</v>
      </c>
      <c r="T164" s="203">
        <v>81.240000000000009</v>
      </c>
      <c r="U164" s="203">
        <v>81.36999999999999</v>
      </c>
      <c r="V164" s="203">
        <v>81.009999999999991</v>
      </c>
      <c r="W164" s="203">
        <v>80</v>
      </c>
      <c r="Z164" s="23" t="str">
        <v>21/02/2024  00:30</v>
      </c>
      <c r="AA164" s="327">
        <v>79.900000000000006</v>
      </c>
      <c r="AB164" s="327">
        <v>80.099999999999994</v>
      </c>
      <c r="AC164" s="327">
        <v>81.3</v>
      </c>
    </row>
    <row r="165" spans="1:29" ht="14.45" customHeight="1" x14ac:dyDescent="0.25">
      <c r="A165" t="str">
        <v>21/02/2024  00:31</v>
      </c>
      <c r="B165">
        <v>80.67</v>
      </c>
      <c r="C165">
        <v>80.55</v>
      </c>
      <c r="D165">
        <v>80.53</v>
      </c>
      <c r="E165">
        <v>80.61</v>
      </c>
      <c r="F165">
        <v>80.19</v>
      </c>
      <c r="G165">
        <v>81.19</v>
      </c>
      <c r="H165">
        <v>80.900000000000006</v>
      </c>
      <c r="I165">
        <v>80.930000000000007</v>
      </c>
      <c r="J165">
        <v>80.569999999999993</v>
      </c>
      <c r="K165" s="327"/>
      <c r="M165" s="503"/>
      <c r="N165" s="203">
        <v>81.150000000000006</v>
      </c>
      <c r="O165" s="203">
        <v>80.839999999999989</v>
      </c>
      <c r="P165" s="203">
        <v>81.05</v>
      </c>
      <c r="Q165" s="203">
        <v>80.94</v>
      </c>
      <c r="R165" s="203">
        <v>80.95</v>
      </c>
      <c r="S165" s="203">
        <v>81.709999999999994</v>
      </c>
      <c r="T165" s="203">
        <v>81.27000000000001</v>
      </c>
      <c r="U165" s="203">
        <v>81.42</v>
      </c>
      <c r="V165" s="203">
        <v>81.059999999999988</v>
      </c>
      <c r="W165" s="203">
        <v>80</v>
      </c>
      <c r="Z165" s="23" t="str">
        <v>21/02/2024  00:31</v>
      </c>
      <c r="AA165" s="327">
        <v>79.900000000000006</v>
      </c>
      <c r="AB165" s="327">
        <v>80</v>
      </c>
      <c r="AC165" s="327">
        <v>81.3</v>
      </c>
    </row>
    <row r="166" spans="1:29" ht="14.45" customHeight="1" x14ac:dyDescent="0.25">
      <c r="A166" t="str">
        <v>21/02/2024  00:32</v>
      </c>
      <c r="B166">
        <v>80.69</v>
      </c>
      <c r="C166">
        <v>80.650000000000006</v>
      </c>
      <c r="D166">
        <v>80.53</v>
      </c>
      <c r="E166">
        <v>80.599999999999994</v>
      </c>
      <c r="F166">
        <v>80.14</v>
      </c>
      <c r="G166">
        <v>81.19</v>
      </c>
      <c r="H166">
        <v>80.900000000000006</v>
      </c>
      <c r="I166">
        <v>80.92</v>
      </c>
      <c r="J166">
        <v>80.55</v>
      </c>
      <c r="K166" s="327"/>
      <c r="M166" s="503"/>
      <c r="N166" s="203">
        <v>81.17</v>
      </c>
      <c r="O166" s="203">
        <v>80.94</v>
      </c>
      <c r="P166" s="203">
        <v>81.05</v>
      </c>
      <c r="Q166" s="203">
        <v>80.929999999999993</v>
      </c>
      <c r="R166" s="203">
        <v>80.900000000000006</v>
      </c>
      <c r="S166" s="203">
        <v>81.709999999999994</v>
      </c>
      <c r="T166" s="203">
        <v>81.27000000000001</v>
      </c>
      <c r="U166" s="203">
        <v>81.41</v>
      </c>
      <c r="V166" s="203">
        <v>81.039999999999992</v>
      </c>
      <c r="W166" s="203">
        <v>80</v>
      </c>
      <c r="Z166" s="23" t="str">
        <v>21/02/2024  00:32</v>
      </c>
      <c r="AA166" s="327">
        <v>79.900000000000006</v>
      </c>
      <c r="AB166" s="327">
        <v>80.099999999999994</v>
      </c>
      <c r="AC166" s="327">
        <v>81.3</v>
      </c>
    </row>
    <row r="167" spans="1:29" ht="14.45" customHeight="1" x14ac:dyDescent="0.25">
      <c r="A167" t="str">
        <v>21/02/2024  00:33</v>
      </c>
      <c r="B167">
        <v>80.680000000000007</v>
      </c>
      <c r="C167">
        <v>80.599999999999994</v>
      </c>
      <c r="D167">
        <v>80.55</v>
      </c>
      <c r="E167">
        <v>80.599999999999994</v>
      </c>
      <c r="F167">
        <v>80.17</v>
      </c>
      <c r="G167">
        <v>81.12</v>
      </c>
      <c r="H167">
        <v>80.89</v>
      </c>
      <c r="I167">
        <v>80.92</v>
      </c>
      <c r="J167">
        <v>80.510000000000005</v>
      </c>
      <c r="K167" s="327"/>
      <c r="M167" s="503"/>
      <c r="N167" s="203">
        <v>81.160000000000011</v>
      </c>
      <c r="O167" s="203">
        <v>80.889999999999986</v>
      </c>
      <c r="P167" s="203">
        <v>81.069999999999993</v>
      </c>
      <c r="Q167" s="203">
        <v>80.929999999999993</v>
      </c>
      <c r="R167" s="203">
        <v>80.930000000000007</v>
      </c>
      <c r="S167" s="203">
        <v>81.64</v>
      </c>
      <c r="T167" s="203">
        <v>81.260000000000005</v>
      </c>
      <c r="U167" s="203">
        <v>81.41</v>
      </c>
      <c r="V167" s="203">
        <v>81</v>
      </c>
      <c r="W167" s="203">
        <v>80</v>
      </c>
      <c r="Z167" s="23" t="str">
        <v>21/02/2024  00:33</v>
      </c>
      <c r="AA167" s="327">
        <v>79.900000000000006</v>
      </c>
      <c r="AB167" s="327">
        <v>80</v>
      </c>
      <c r="AC167" s="327">
        <v>81.3</v>
      </c>
    </row>
    <row r="168" spans="1:29" ht="14.45" customHeight="1" x14ac:dyDescent="0.25">
      <c r="A168" t="str">
        <v>21/02/2024  00:34</v>
      </c>
      <c r="B168">
        <v>80.760000000000005</v>
      </c>
      <c r="C168">
        <v>80.569999999999993</v>
      </c>
      <c r="D168">
        <v>80.510000000000005</v>
      </c>
      <c r="E168">
        <v>80.59</v>
      </c>
      <c r="F168">
        <v>80.16</v>
      </c>
      <c r="G168">
        <v>81.14</v>
      </c>
      <c r="H168">
        <v>80.94</v>
      </c>
      <c r="I168">
        <v>80.959999999999994</v>
      </c>
      <c r="J168">
        <v>80.540000000000006</v>
      </c>
      <c r="K168" s="327"/>
      <c r="M168" s="503"/>
      <c r="N168" s="203">
        <v>81.240000000000009</v>
      </c>
      <c r="O168" s="203">
        <v>80.859999999999985</v>
      </c>
      <c r="P168" s="203">
        <v>81.03</v>
      </c>
      <c r="Q168" s="203">
        <v>80.92</v>
      </c>
      <c r="R168" s="203">
        <v>80.92</v>
      </c>
      <c r="S168" s="203">
        <v>81.66</v>
      </c>
      <c r="T168" s="203">
        <v>81.31</v>
      </c>
      <c r="U168" s="203">
        <v>81.449999999999989</v>
      </c>
      <c r="V168" s="203">
        <v>81.03</v>
      </c>
      <c r="W168" s="203">
        <v>80</v>
      </c>
      <c r="Z168" s="23" t="str">
        <v>21/02/2024  00:34</v>
      </c>
      <c r="AA168" s="327">
        <v>79.900000000000006</v>
      </c>
      <c r="AB168" s="327">
        <v>80</v>
      </c>
      <c r="AC168" s="327">
        <v>81.3</v>
      </c>
    </row>
    <row r="169" spans="1:29" ht="14.45" customHeight="1" x14ac:dyDescent="0.25">
      <c r="A169" t="str">
        <v>21/02/2024  00:35</v>
      </c>
      <c r="B169">
        <v>80.77</v>
      </c>
      <c r="C169">
        <v>80.63</v>
      </c>
      <c r="D169">
        <v>80.540000000000006</v>
      </c>
      <c r="E169">
        <v>80.64</v>
      </c>
      <c r="F169">
        <v>80.16</v>
      </c>
      <c r="G169">
        <v>81.17</v>
      </c>
      <c r="H169">
        <v>80.900000000000006</v>
      </c>
      <c r="I169">
        <v>80.95</v>
      </c>
      <c r="J169">
        <v>80.55</v>
      </c>
      <c r="K169" s="327"/>
      <c r="M169" s="503"/>
      <c r="N169" s="203">
        <v>81.25</v>
      </c>
      <c r="O169" s="203">
        <v>80.919999999999987</v>
      </c>
      <c r="P169" s="203">
        <v>81.06</v>
      </c>
      <c r="Q169" s="203">
        <v>80.97</v>
      </c>
      <c r="R169" s="203">
        <v>80.92</v>
      </c>
      <c r="S169" s="203">
        <v>81.69</v>
      </c>
      <c r="T169" s="203">
        <v>81.27000000000001</v>
      </c>
      <c r="U169" s="203">
        <v>81.44</v>
      </c>
      <c r="V169" s="203">
        <v>81.039999999999992</v>
      </c>
      <c r="W169" s="203">
        <v>80</v>
      </c>
      <c r="Z169" s="23" t="str">
        <v>21/02/2024  00:35</v>
      </c>
      <c r="AA169" s="327">
        <v>79.900000000000006</v>
      </c>
      <c r="AB169" s="327">
        <v>80</v>
      </c>
      <c r="AC169" s="327">
        <v>81.3</v>
      </c>
    </row>
    <row r="170" spans="1:29" ht="14.45" customHeight="1" x14ac:dyDescent="0.25">
      <c r="A170" t="str">
        <v>21/02/2024  00:36</v>
      </c>
      <c r="B170">
        <v>80.73</v>
      </c>
      <c r="C170">
        <v>80.64</v>
      </c>
      <c r="D170">
        <v>80.55</v>
      </c>
      <c r="E170">
        <v>80.599999999999994</v>
      </c>
      <c r="F170">
        <v>80.22</v>
      </c>
      <c r="G170">
        <v>81.14</v>
      </c>
      <c r="H170">
        <v>80.89</v>
      </c>
      <c r="I170">
        <v>80.98</v>
      </c>
      <c r="J170">
        <v>80.56</v>
      </c>
      <c r="K170" s="327"/>
      <c r="M170" s="503"/>
      <c r="N170" s="203">
        <v>81.210000000000008</v>
      </c>
      <c r="O170" s="203">
        <v>80.929999999999993</v>
      </c>
      <c r="P170" s="203">
        <v>81.069999999999993</v>
      </c>
      <c r="Q170" s="203">
        <v>80.929999999999993</v>
      </c>
      <c r="R170" s="203">
        <v>80.98</v>
      </c>
      <c r="S170" s="203">
        <v>81.66</v>
      </c>
      <c r="T170" s="203">
        <v>81.260000000000005</v>
      </c>
      <c r="U170" s="203">
        <v>81.47</v>
      </c>
      <c r="V170" s="203">
        <v>81.05</v>
      </c>
      <c r="W170" s="203">
        <v>80</v>
      </c>
      <c r="Z170" s="23" t="str">
        <v>21/02/2024  00:36</v>
      </c>
      <c r="AA170" s="327">
        <v>80</v>
      </c>
      <c r="AB170" s="327">
        <v>80</v>
      </c>
      <c r="AC170" s="327">
        <v>81.3</v>
      </c>
    </row>
    <row r="171" spans="1:29" ht="14.45" customHeight="1" x14ac:dyDescent="0.25">
      <c r="A171" t="str">
        <v>21/02/2024  00:37</v>
      </c>
      <c r="B171">
        <v>80.7</v>
      </c>
      <c r="C171">
        <v>80.599999999999994</v>
      </c>
      <c r="D171">
        <v>80.53</v>
      </c>
      <c r="E171">
        <v>80.55</v>
      </c>
      <c r="F171">
        <v>80.150000000000006</v>
      </c>
      <c r="G171">
        <v>81.13</v>
      </c>
      <c r="H171">
        <v>80.89</v>
      </c>
      <c r="I171">
        <v>80.91</v>
      </c>
      <c r="J171">
        <v>80.540000000000006</v>
      </c>
      <c r="K171" s="327"/>
      <c r="M171" s="503"/>
      <c r="N171" s="203">
        <v>81.180000000000007</v>
      </c>
      <c r="O171" s="203">
        <v>80.889999999999986</v>
      </c>
      <c r="P171" s="203">
        <v>81.05</v>
      </c>
      <c r="Q171" s="203">
        <v>80.88</v>
      </c>
      <c r="R171" s="203">
        <v>80.910000000000011</v>
      </c>
      <c r="S171" s="203">
        <v>81.649999999999991</v>
      </c>
      <c r="T171" s="203">
        <v>81.260000000000005</v>
      </c>
      <c r="U171" s="203">
        <v>81.399999999999991</v>
      </c>
      <c r="V171" s="203">
        <v>81.03</v>
      </c>
      <c r="W171" s="203">
        <v>80</v>
      </c>
      <c r="Z171" s="23" t="str">
        <v>21/02/2024  00:37</v>
      </c>
      <c r="AA171" s="327">
        <v>79.900000000000006</v>
      </c>
      <c r="AB171" s="327">
        <v>80.099999999999994</v>
      </c>
      <c r="AC171" s="327">
        <v>81.3</v>
      </c>
    </row>
    <row r="172" spans="1:29" ht="14.45" customHeight="1" x14ac:dyDescent="0.25">
      <c r="A172" t="str">
        <v>21/02/2024  00:38</v>
      </c>
      <c r="B172">
        <v>80.59</v>
      </c>
      <c r="C172">
        <v>80.540000000000006</v>
      </c>
      <c r="D172">
        <v>80.44</v>
      </c>
      <c r="E172">
        <v>80.52</v>
      </c>
      <c r="F172">
        <v>80.13</v>
      </c>
      <c r="G172">
        <v>81.08</v>
      </c>
      <c r="H172">
        <v>80.83</v>
      </c>
      <c r="I172">
        <v>80.849999999999994</v>
      </c>
      <c r="J172">
        <v>80.489999999999995</v>
      </c>
      <c r="K172" s="327"/>
      <c r="M172" s="503"/>
      <c r="N172" s="203">
        <v>81.070000000000007</v>
      </c>
      <c r="O172" s="203">
        <v>80.83</v>
      </c>
      <c r="P172" s="203">
        <v>80.959999999999994</v>
      </c>
      <c r="Q172" s="203">
        <v>80.849999999999994</v>
      </c>
      <c r="R172" s="203">
        <v>80.89</v>
      </c>
      <c r="S172" s="203">
        <v>81.599999999999994</v>
      </c>
      <c r="T172" s="203">
        <v>81.2</v>
      </c>
      <c r="U172" s="203">
        <v>81.339999999999989</v>
      </c>
      <c r="V172" s="203">
        <v>80.97999999999999</v>
      </c>
      <c r="W172" s="203">
        <v>80</v>
      </c>
      <c r="Z172" s="23" t="str">
        <v>21/02/2024  00:38</v>
      </c>
      <c r="AA172" s="327">
        <v>79.900000000000006</v>
      </c>
      <c r="AB172" s="327">
        <v>80.099999999999994</v>
      </c>
      <c r="AC172" s="327">
        <v>81.3</v>
      </c>
    </row>
    <row r="173" spans="1:29" ht="14.45" customHeight="1" x14ac:dyDescent="0.25">
      <c r="A173" t="str">
        <v>21/02/2024  00:39</v>
      </c>
      <c r="B173">
        <v>80.64</v>
      </c>
      <c r="C173">
        <v>80.569999999999993</v>
      </c>
      <c r="D173">
        <v>80.489999999999995</v>
      </c>
      <c r="E173">
        <v>80.55</v>
      </c>
      <c r="F173">
        <v>80.17</v>
      </c>
      <c r="G173">
        <v>81.08</v>
      </c>
      <c r="H173">
        <v>80.849999999999994</v>
      </c>
      <c r="I173">
        <v>80.89</v>
      </c>
      <c r="J173">
        <v>80.47</v>
      </c>
      <c r="K173" s="327"/>
      <c r="M173" s="503"/>
      <c r="N173" s="203">
        <v>81.12</v>
      </c>
      <c r="O173" s="203">
        <v>80.859999999999985</v>
      </c>
      <c r="P173" s="203">
        <v>81.009999999999991</v>
      </c>
      <c r="Q173" s="203">
        <v>80.88</v>
      </c>
      <c r="R173" s="203">
        <v>80.930000000000007</v>
      </c>
      <c r="S173" s="203">
        <v>81.599999999999994</v>
      </c>
      <c r="T173" s="203">
        <v>81.22</v>
      </c>
      <c r="U173" s="203">
        <v>81.38</v>
      </c>
      <c r="V173" s="203">
        <v>80.959999999999994</v>
      </c>
      <c r="W173" s="203">
        <v>80</v>
      </c>
      <c r="Z173" s="23" t="str">
        <v>21/02/2024  00:39</v>
      </c>
      <c r="AA173" s="327">
        <v>79.8</v>
      </c>
      <c r="AB173" s="327">
        <v>80</v>
      </c>
      <c r="AC173" s="327">
        <v>81.3</v>
      </c>
    </row>
    <row r="174" spans="1:29" ht="14.45" customHeight="1" x14ac:dyDescent="0.25">
      <c r="A174" t="str">
        <v>21/02/2024  00:40</v>
      </c>
      <c r="B174">
        <v>80.67</v>
      </c>
      <c r="C174">
        <v>80.599999999999994</v>
      </c>
      <c r="D174">
        <v>80.52</v>
      </c>
      <c r="E174">
        <v>80.59</v>
      </c>
      <c r="F174">
        <v>80.19</v>
      </c>
      <c r="G174">
        <v>81.11</v>
      </c>
      <c r="H174">
        <v>80.88</v>
      </c>
      <c r="I174">
        <v>80.900000000000006</v>
      </c>
      <c r="J174">
        <v>80.489999999999995</v>
      </c>
      <c r="K174" s="327"/>
      <c r="M174" s="503"/>
      <c r="N174" s="203">
        <v>81.150000000000006</v>
      </c>
      <c r="O174" s="203">
        <v>80.889999999999986</v>
      </c>
      <c r="P174" s="203">
        <v>81.039999999999992</v>
      </c>
      <c r="Q174" s="203">
        <v>80.92</v>
      </c>
      <c r="R174" s="203">
        <v>80.95</v>
      </c>
      <c r="S174" s="203">
        <v>81.63</v>
      </c>
      <c r="T174" s="203">
        <v>81.25</v>
      </c>
      <c r="U174" s="203">
        <v>81.39</v>
      </c>
      <c r="V174" s="203">
        <v>80.97999999999999</v>
      </c>
      <c r="W174" s="203">
        <v>80</v>
      </c>
      <c r="Z174" s="23" t="str">
        <v>21/02/2024  00:40</v>
      </c>
      <c r="AA174" s="327">
        <v>79.8</v>
      </c>
      <c r="AB174" s="327">
        <v>80</v>
      </c>
      <c r="AC174" s="327">
        <v>81.3</v>
      </c>
    </row>
    <row r="175" spans="1:29" ht="14.45" customHeight="1" x14ac:dyDescent="0.25">
      <c r="A175" t="str">
        <v>21/02/2024  00:41</v>
      </c>
      <c r="B175">
        <v>80.67</v>
      </c>
      <c r="C175">
        <v>80.59</v>
      </c>
      <c r="D175">
        <v>80.52</v>
      </c>
      <c r="E175">
        <v>80.62</v>
      </c>
      <c r="F175">
        <v>80.13</v>
      </c>
      <c r="G175">
        <v>81.09</v>
      </c>
      <c r="H175">
        <v>80.8</v>
      </c>
      <c r="I175">
        <v>80.87</v>
      </c>
      <c r="J175">
        <v>80.47</v>
      </c>
      <c r="K175" s="327"/>
      <c r="M175" s="503"/>
      <c r="N175" s="203">
        <v>81.150000000000006</v>
      </c>
      <c r="O175" s="203">
        <v>80.88</v>
      </c>
      <c r="P175" s="203">
        <v>81.039999999999992</v>
      </c>
      <c r="Q175" s="203">
        <v>80.95</v>
      </c>
      <c r="R175" s="203">
        <v>80.89</v>
      </c>
      <c r="S175" s="203">
        <v>81.61</v>
      </c>
      <c r="T175" s="203">
        <v>81.17</v>
      </c>
      <c r="U175" s="203">
        <v>81.36</v>
      </c>
      <c r="V175" s="203">
        <v>80.959999999999994</v>
      </c>
      <c r="W175" s="203">
        <v>80</v>
      </c>
      <c r="Z175" s="23" t="str">
        <v>21/02/2024  00:41</v>
      </c>
      <c r="AA175" s="327">
        <v>79.900000000000006</v>
      </c>
      <c r="AB175" s="327">
        <v>80</v>
      </c>
      <c r="AC175" s="327">
        <v>81.3</v>
      </c>
    </row>
    <row r="176" spans="1:29" ht="14.45" customHeight="1" x14ac:dyDescent="0.25">
      <c r="A176" t="str">
        <v>21/02/2024  00:42</v>
      </c>
      <c r="B176">
        <v>80.62</v>
      </c>
      <c r="C176">
        <v>80.52</v>
      </c>
      <c r="D176">
        <v>80.47</v>
      </c>
      <c r="E176">
        <v>80.489999999999995</v>
      </c>
      <c r="F176">
        <v>80.13</v>
      </c>
      <c r="G176">
        <v>81.069999999999993</v>
      </c>
      <c r="H176">
        <v>80.87</v>
      </c>
      <c r="I176">
        <v>80.849999999999994</v>
      </c>
      <c r="J176">
        <v>80.48</v>
      </c>
      <c r="K176" s="327"/>
      <c r="M176" s="503"/>
      <c r="N176" s="203">
        <v>81.100000000000009</v>
      </c>
      <c r="O176" s="203">
        <v>80.809999999999988</v>
      </c>
      <c r="P176" s="203">
        <v>80.989999999999995</v>
      </c>
      <c r="Q176" s="203">
        <v>80.819999999999993</v>
      </c>
      <c r="R176" s="203">
        <v>80.89</v>
      </c>
      <c r="S176" s="203">
        <v>81.589999999999989</v>
      </c>
      <c r="T176" s="203">
        <v>81.240000000000009</v>
      </c>
      <c r="U176" s="203">
        <v>81.339999999999989</v>
      </c>
      <c r="V176" s="203">
        <v>80.97</v>
      </c>
      <c r="W176" s="203">
        <v>80</v>
      </c>
      <c r="Z176" s="23" t="str">
        <v>21/02/2024  00:42</v>
      </c>
      <c r="AA176" s="327">
        <v>79.900000000000006</v>
      </c>
      <c r="AB176" s="327">
        <v>80</v>
      </c>
      <c r="AC176" s="327">
        <v>81.3</v>
      </c>
    </row>
    <row r="177" spans="1:29" ht="14.45" customHeight="1" x14ac:dyDescent="0.25">
      <c r="A177" t="str">
        <v>21/02/2024  00:43</v>
      </c>
      <c r="B177">
        <v>80.709999999999994</v>
      </c>
      <c r="C177">
        <v>80.62</v>
      </c>
      <c r="D177">
        <v>80.55</v>
      </c>
      <c r="E177">
        <v>80.62</v>
      </c>
      <c r="F177">
        <v>80.09</v>
      </c>
      <c r="G177">
        <v>81.099999999999994</v>
      </c>
      <c r="H177">
        <v>80.86</v>
      </c>
      <c r="I177">
        <v>80.900000000000006</v>
      </c>
      <c r="J177">
        <v>80.510000000000005</v>
      </c>
      <c r="K177" s="327"/>
      <c r="M177" s="503"/>
      <c r="N177" s="203">
        <v>81.19</v>
      </c>
      <c r="O177" s="203">
        <v>80.91</v>
      </c>
      <c r="P177" s="203">
        <v>81.069999999999993</v>
      </c>
      <c r="Q177" s="203">
        <v>80.95</v>
      </c>
      <c r="R177" s="203">
        <v>80.850000000000009</v>
      </c>
      <c r="S177" s="203">
        <v>81.61999999999999</v>
      </c>
      <c r="T177" s="203">
        <v>81.23</v>
      </c>
      <c r="U177" s="203">
        <v>81.39</v>
      </c>
      <c r="V177" s="203">
        <v>81</v>
      </c>
      <c r="W177" s="203">
        <v>80</v>
      </c>
      <c r="Z177" s="23" t="str">
        <v>21/02/2024  00:43</v>
      </c>
      <c r="AA177" s="327">
        <v>79.8</v>
      </c>
      <c r="AB177" s="327">
        <v>80</v>
      </c>
      <c r="AC177" s="327">
        <v>81.3</v>
      </c>
    </row>
    <row r="178" spans="1:29" ht="14.45" customHeight="1" x14ac:dyDescent="0.25">
      <c r="A178" t="str">
        <v>21/02/2024  00:44</v>
      </c>
      <c r="B178">
        <v>80.75</v>
      </c>
      <c r="C178">
        <v>80.62</v>
      </c>
      <c r="D178">
        <v>80.55</v>
      </c>
      <c r="E178">
        <v>80.61</v>
      </c>
      <c r="F178">
        <v>80.209999999999994</v>
      </c>
      <c r="G178">
        <v>81.16</v>
      </c>
      <c r="H178">
        <v>80.92</v>
      </c>
      <c r="I178">
        <v>80.95</v>
      </c>
      <c r="J178">
        <v>80.56</v>
      </c>
      <c r="K178" s="327"/>
      <c r="M178" s="503"/>
      <c r="N178" s="203">
        <v>81.23</v>
      </c>
      <c r="O178" s="203">
        <v>80.91</v>
      </c>
      <c r="P178" s="203">
        <v>81.069999999999993</v>
      </c>
      <c r="Q178" s="203">
        <v>80.94</v>
      </c>
      <c r="R178" s="203">
        <v>80.97</v>
      </c>
      <c r="S178" s="203">
        <v>81.679999999999993</v>
      </c>
      <c r="T178" s="203">
        <v>81.290000000000006</v>
      </c>
      <c r="U178" s="203">
        <v>81.44</v>
      </c>
      <c r="V178" s="203">
        <v>81.05</v>
      </c>
      <c r="W178" s="203">
        <v>80</v>
      </c>
      <c r="Z178" s="23" t="str">
        <v>21/02/2024  00:44</v>
      </c>
      <c r="AA178" s="327">
        <v>79.900000000000006</v>
      </c>
      <c r="AB178" s="327">
        <v>80</v>
      </c>
      <c r="AC178" s="327">
        <v>81.3</v>
      </c>
    </row>
    <row r="179" spans="1:29" ht="14.45" customHeight="1" x14ac:dyDescent="0.25">
      <c r="A179" t="str">
        <v>21/02/2024  00:45</v>
      </c>
      <c r="B179">
        <v>80.760000000000005</v>
      </c>
      <c r="C179">
        <v>80.62</v>
      </c>
      <c r="D179">
        <v>80.55</v>
      </c>
      <c r="E179">
        <v>80.64</v>
      </c>
      <c r="F179">
        <v>80.180000000000007</v>
      </c>
      <c r="G179">
        <v>81.19</v>
      </c>
      <c r="H179">
        <v>80.92</v>
      </c>
      <c r="I179">
        <v>80.930000000000007</v>
      </c>
      <c r="J179">
        <v>80.569999999999993</v>
      </c>
      <c r="K179" s="327"/>
      <c r="M179" s="503"/>
      <c r="N179" s="203">
        <v>81.240000000000009</v>
      </c>
      <c r="O179" s="203">
        <v>80.91</v>
      </c>
      <c r="P179" s="203">
        <v>81.069999999999993</v>
      </c>
      <c r="Q179" s="203">
        <v>80.97</v>
      </c>
      <c r="R179" s="203">
        <v>80.940000000000012</v>
      </c>
      <c r="S179" s="203">
        <v>81.709999999999994</v>
      </c>
      <c r="T179" s="203">
        <v>81.290000000000006</v>
      </c>
      <c r="U179" s="203">
        <v>81.42</v>
      </c>
      <c r="V179" s="203">
        <v>81.059999999999988</v>
      </c>
      <c r="W179" s="203">
        <v>80</v>
      </c>
      <c r="Z179" s="23" t="str">
        <v>21/02/2024  00:45</v>
      </c>
      <c r="AA179" s="327">
        <v>79.900000000000006</v>
      </c>
      <c r="AB179" s="327">
        <v>80</v>
      </c>
      <c r="AC179" s="327">
        <v>81.3</v>
      </c>
    </row>
    <row r="180" spans="1:29" ht="14.45" customHeight="1" x14ac:dyDescent="0.25">
      <c r="A180" t="str">
        <v>21/02/2024  00:46</v>
      </c>
      <c r="B180">
        <v>80.739999999999995</v>
      </c>
      <c r="C180">
        <v>80.63</v>
      </c>
      <c r="D180">
        <v>80.55</v>
      </c>
      <c r="E180">
        <v>80.61</v>
      </c>
      <c r="F180">
        <v>80.17</v>
      </c>
      <c r="G180">
        <v>81.14</v>
      </c>
      <c r="H180">
        <v>80.91</v>
      </c>
      <c r="I180">
        <v>80.97</v>
      </c>
      <c r="J180">
        <v>80.53</v>
      </c>
      <c r="K180" s="327"/>
      <c r="M180" s="503"/>
      <c r="N180" s="203">
        <v>81.22</v>
      </c>
      <c r="O180" s="203">
        <v>80.919999999999987</v>
      </c>
      <c r="P180" s="203">
        <v>81.069999999999993</v>
      </c>
      <c r="Q180" s="203">
        <v>80.94</v>
      </c>
      <c r="R180" s="203">
        <v>80.930000000000007</v>
      </c>
      <c r="S180" s="203">
        <v>81.66</v>
      </c>
      <c r="T180" s="203">
        <v>81.28</v>
      </c>
      <c r="U180" s="203">
        <v>81.459999999999994</v>
      </c>
      <c r="V180" s="203">
        <v>81.02</v>
      </c>
      <c r="W180" s="203">
        <v>80</v>
      </c>
      <c r="Z180" s="23" t="str">
        <v>21/02/2024  00:46</v>
      </c>
      <c r="AA180" s="327">
        <v>79.900000000000006</v>
      </c>
      <c r="AB180" s="327">
        <v>80</v>
      </c>
      <c r="AC180" s="327">
        <v>81.3</v>
      </c>
    </row>
    <row r="181" spans="1:29" ht="14.45" customHeight="1" x14ac:dyDescent="0.25">
      <c r="A181" t="str">
        <v>21/02/2024  00:47</v>
      </c>
      <c r="B181">
        <v>80.78</v>
      </c>
      <c r="C181">
        <v>80.650000000000006</v>
      </c>
      <c r="D181">
        <v>80.55</v>
      </c>
      <c r="E181">
        <v>80.599999999999994</v>
      </c>
      <c r="F181">
        <v>80.14</v>
      </c>
      <c r="G181">
        <v>81.13</v>
      </c>
      <c r="H181">
        <v>80.87</v>
      </c>
      <c r="I181">
        <v>80.88</v>
      </c>
      <c r="J181">
        <v>80.510000000000005</v>
      </c>
      <c r="M181" s="503"/>
      <c r="N181" s="203">
        <v>81.260000000000005</v>
      </c>
      <c r="O181" s="203">
        <v>80.94</v>
      </c>
      <c r="P181" s="203">
        <v>81.069999999999993</v>
      </c>
      <c r="Q181" s="203">
        <v>80.929999999999993</v>
      </c>
      <c r="R181" s="203">
        <v>80.900000000000006</v>
      </c>
      <c r="S181" s="203">
        <v>81.649999999999991</v>
      </c>
      <c r="T181" s="203">
        <v>81.240000000000009</v>
      </c>
      <c r="U181" s="203">
        <v>81.36999999999999</v>
      </c>
      <c r="V181" s="203">
        <v>81</v>
      </c>
      <c r="W181" s="203">
        <v>80</v>
      </c>
      <c r="Z181" s="23" t="str">
        <v>21/02/2024  00:47</v>
      </c>
      <c r="AA181" s="27">
        <v>79.900000000000006</v>
      </c>
      <c r="AB181" s="27">
        <v>80</v>
      </c>
      <c r="AC181" s="27">
        <v>81.3</v>
      </c>
    </row>
    <row r="182" spans="1:29" s="351" customFormat="1" ht="14.45" customHeight="1" x14ac:dyDescent="0.25"/>
    <row r="183" spans="1:29" ht="14.45" customHeight="1" x14ac:dyDescent="0.25">
      <c r="A183"/>
      <c r="B183"/>
      <c r="C183"/>
      <c r="D183"/>
      <c r="E183"/>
      <c r="F183"/>
      <c r="G183"/>
      <c r="H183"/>
      <c r="I183"/>
      <c r="J183"/>
      <c r="M183" s="91" t="s">
        <v>90</v>
      </c>
      <c r="N183" s="43">
        <f>MAX(tab_transfert80[Connecteur 1])+N$2+N$3</f>
        <v>81.900000000000006</v>
      </c>
      <c r="O183" s="43">
        <f>MAX(tab_transfert80[Connecteur 2])+O$2+O$3</f>
        <v>81.47</v>
      </c>
      <c r="P183" s="43">
        <f>MAX(tab_transfert80[Connecteur 3])+P$2+P$3</f>
        <v>81.61</v>
      </c>
      <c r="Q183" s="43">
        <f>MAX(tab_transfert80[Connecteur 4])+Q$2+Q$3</f>
        <v>81.81</v>
      </c>
      <c r="R183" s="43">
        <f>MAX(tab_transfert80[Connecteur 5])+R$2+R$3</f>
        <v>82.300000000000011</v>
      </c>
      <c r="S183" s="43">
        <f>MAX(tab_transfert80[Connecteur 6])+S$2+S$3</f>
        <v>82.63</v>
      </c>
      <c r="T183" s="43">
        <f>MAX(tab_transfert80[Connecteur 7])+T$2+T$3</f>
        <v>82.18</v>
      </c>
      <c r="U183" s="43">
        <f>MAX(tab_transfert80[Connecteur 8])+U$2+U$3</f>
        <v>82.72</v>
      </c>
      <c r="V183" s="43">
        <f>MAX(tab_transfert80[Connecteur 9])+V$2+V$3</f>
        <v>82.11</v>
      </c>
      <c r="W183" s="200">
        <f>MAX(N183:V183)</f>
        <v>82.72</v>
      </c>
      <c r="Z183" s="23"/>
    </row>
    <row r="184" spans="1:29" ht="14.45" customHeight="1" x14ac:dyDescent="0.25">
      <c r="A184"/>
      <c r="B184"/>
      <c r="C184"/>
      <c r="D184"/>
      <c r="E184"/>
      <c r="F184"/>
      <c r="G184"/>
      <c r="H184"/>
      <c r="I184"/>
      <c r="J184"/>
      <c r="M184" s="91" t="s">
        <v>91</v>
      </c>
      <c r="N184" s="43">
        <f ca="1">MAX(OFFSET(INDEX(tab_transfert80[Connecteur 1],1),COUNT(tab_transfert80[Connecteur 1])-30,0,30))+N$2+N$3</f>
        <v>81.400000000000006</v>
      </c>
      <c r="O184" s="43">
        <f ca="1">MAX(OFFSET(INDEX(tab_transfert80[Connecteur 2],1),COUNT(tab_transfert80[Connecteur 2])-30,0,30))+O$2+O$3</f>
        <v>81.02</v>
      </c>
      <c r="P184" s="43">
        <f ca="1">MAX(OFFSET(INDEX(tab_transfert80[Connecteur 3],1),COUNT(tab_transfert80[Connecteur 3])-30,0,30))+P$2+P$3</f>
        <v>81.209999999999994</v>
      </c>
      <c r="Q184" s="43">
        <f ca="1">MAX(OFFSET(INDEX(tab_transfert80[Connecteur 4],1),COUNT(tab_transfert80[Connecteur 4])-30,0,30))+Q$2+Q$3</f>
        <v>81.16</v>
      </c>
      <c r="R184" s="43">
        <f ca="1">MAX(OFFSET(INDEX(tab_transfert80[Connecteur 5],1),COUNT(tab_transfert80[Connecteur 5])-30,0,30))+R$2+R$3</f>
        <v>81.22</v>
      </c>
      <c r="S184" s="43">
        <f ca="1">MAX(OFFSET(INDEX(tab_transfert80[Connecteur 6],1),COUNT(tab_transfert80[Connecteur 6])-30,0,30))+S$2+S$3</f>
        <v>81.92</v>
      </c>
      <c r="T184" s="43">
        <f ca="1">MAX(OFFSET(INDEX(tab_transfert80[Connecteur 7],1),COUNT(tab_transfert80[Connecteur 7])-30,0,30))+T$2+T$3</f>
        <v>81.540000000000006</v>
      </c>
      <c r="U184" s="43">
        <f ca="1">MAX(OFFSET(INDEX(tab_transfert80[Connecteur 8],1),COUNT(tab_transfert80[Connecteur 8])-30,0,30))+U$2+U$3</f>
        <v>81.8</v>
      </c>
      <c r="V184" s="43">
        <f ca="1">MAX(OFFSET(INDEX(tab_transfert80[Connecteur 9],1),COUNT(tab_transfert80[Connecteur 9])-30,0,30))+V$2+V$3</f>
        <v>81.309999999999988</v>
      </c>
      <c r="W184" s="200">
        <f ca="1">MAX(N184:V184)</f>
        <v>81.92</v>
      </c>
      <c r="Z184" s="23"/>
    </row>
    <row r="185" spans="1:29" ht="14.45" customHeight="1" x14ac:dyDescent="0.25">
      <c r="A185"/>
      <c r="B185"/>
      <c r="C185"/>
      <c r="D185"/>
      <c r="E185"/>
      <c r="F185"/>
      <c r="G185"/>
      <c r="H185"/>
      <c r="I185"/>
      <c r="J185"/>
      <c r="M185" s="91" t="s">
        <v>93</v>
      </c>
      <c r="N185" s="43">
        <f ca="1">MIN(OFFSET(INDEX(tab_transfert80[Connecteur 1],1),COUNT(tab_transfert80[Connecteur 1])-30,0,30))+N$2+N$3</f>
        <v>81.070000000000007</v>
      </c>
      <c r="O185" s="43">
        <f ca="1">MIN(OFFSET(INDEX(tab_transfert80[Connecteur 2],1),COUNT(tab_transfert80[Connecteur 2])-30,0,30))+O$2+O$3</f>
        <v>80.809999999999988</v>
      </c>
      <c r="P185" s="43">
        <f ca="1">MIN(OFFSET(INDEX(tab_transfert80[Connecteur 3],1),COUNT(tab_transfert80[Connecteur 3])-30,0,30))+P$2+P$3</f>
        <v>80.959999999999994</v>
      </c>
      <c r="Q185" s="43">
        <f ca="1">MIN(OFFSET(INDEX(tab_transfert80[Connecteur 4],1),COUNT(tab_transfert80[Connecteur 4])-30,0,30))+Q$2+Q$3</f>
        <v>80.819999999999993</v>
      </c>
      <c r="R185" s="43">
        <f ca="1">MIN(OFFSET(INDEX(tab_transfert80[Connecteur 5],1),COUNT(tab_transfert80[Connecteur 5])-30,0,30))+R$2+R$3</f>
        <v>80.850000000000009</v>
      </c>
      <c r="S185" s="43">
        <f ca="1">MIN(OFFSET(INDEX(tab_transfert80[Connecteur 6],1),COUNT(tab_transfert80[Connecteur 6])-30,0,30))+S$2+S$3</f>
        <v>81.589999999999989</v>
      </c>
      <c r="T185" s="43">
        <f ca="1">MIN(OFFSET(INDEX(tab_transfert80[Connecteur 7],1),COUNT(tab_transfert80[Connecteur 7])-30,0,30))+T$2+T$3</f>
        <v>81.17</v>
      </c>
      <c r="U185" s="43">
        <f ca="1">MIN(OFFSET(INDEX(tab_transfert80[Connecteur 8],1),COUNT(tab_transfert80[Connecteur 8])-30,0,30))+U$2+U$3</f>
        <v>81.339999999999989</v>
      </c>
      <c r="V185" s="43">
        <f ca="1">MIN(OFFSET(INDEX(tab_transfert80[Connecteur 9],1),COUNT(tab_transfert80[Connecteur 9])-30,0,30))+V$2+V$3</f>
        <v>80.959999999999994</v>
      </c>
      <c r="W185" s="200">
        <f ca="1">MIN(N185:V185)</f>
        <v>80.809999999999988</v>
      </c>
      <c r="Z185" s="23"/>
    </row>
    <row r="186" spans="1:29" ht="14.45" customHeight="1" x14ac:dyDescent="0.25">
      <c r="A186"/>
      <c r="B186"/>
      <c r="C186"/>
      <c r="D186"/>
      <c r="E186"/>
      <c r="F186"/>
      <c r="G186"/>
      <c r="H186"/>
      <c r="I186"/>
      <c r="J186"/>
      <c r="M186" s="91" t="s">
        <v>95</v>
      </c>
      <c r="N186" s="43">
        <f ca="1">AVERAGE(OFFSET(INDEX(tab_transfert80[Connecteur 1],1),COUNT(tab_transfert80[Connecteur 1])-30,0,30))+N$2+N$3</f>
        <v>81.204000000000022</v>
      </c>
      <c r="O186" s="43">
        <f ca="1">AVERAGE(OFFSET(INDEX(tab_transfert80[Connecteur 2],1),COUNT(tab_transfert80[Connecteur 2])-30,0,30))+O$2+O$3</f>
        <v>80.901999999999987</v>
      </c>
      <c r="P186" s="43">
        <f ca="1">AVERAGE(OFFSET(INDEX(tab_transfert80[Connecteur 3],1),COUNT(tab_transfert80[Connecteur 3])-30,0,30))+P$2+P$3</f>
        <v>81.057000000000016</v>
      </c>
      <c r="Q186" s="43">
        <f ca="1">AVERAGE(OFFSET(INDEX(tab_transfert80[Connecteur 4],1),COUNT(tab_transfert80[Connecteur 4])-30,0,30))+Q$2+Q$3</f>
        <v>80.951999999999998</v>
      </c>
      <c r="R186" s="43">
        <f ca="1">AVERAGE(OFFSET(INDEX(tab_transfert80[Connecteur 5],1),COUNT(tab_transfert80[Connecteur 5])-30,0,30))+R$2+R$3</f>
        <v>80.966000000000037</v>
      </c>
      <c r="S186" s="43">
        <f ca="1">AVERAGE(OFFSET(INDEX(tab_transfert80[Connecteur 6],1),COUNT(tab_transfert80[Connecteur 6])-30,0,30))+S$2+S$3</f>
        <v>81.694000000000003</v>
      </c>
      <c r="T186" s="43">
        <f ca="1">AVERAGE(OFFSET(INDEX(tab_transfert80[Connecteur 7],1),COUNT(tab_transfert80[Connecteur 7])-30,0,30))+T$2+T$3</f>
        <v>81.290333333333351</v>
      </c>
      <c r="U186" s="43">
        <f ca="1">AVERAGE(OFFSET(INDEX(tab_transfert80[Connecteur 8],1),COUNT(tab_transfert80[Connecteur 8])-30,0,30))+U$2+U$3</f>
        <v>81.462666666666649</v>
      </c>
      <c r="V186" s="43">
        <f ca="1">AVERAGE(OFFSET(INDEX(tab_transfert80[Connecteur 9],1),COUNT(tab_transfert80[Connecteur 9])-30,0,30))+V$2+V$3</f>
        <v>81.053333333333342</v>
      </c>
      <c r="W186" s="44"/>
      <c r="Z186" s="23"/>
    </row>
    <row r="187" spans="1:29" ht="14.45" customHeight="1" x14ac:dyDescent="0.25">
      <c r="A187"/>
      <c r="B187"/>
      <c r="C187"/>
      <c r="D187"/>
      <c r="E187"/>
      <c r="F187"/>
      <c r="G187"/>
      <c r="H187"/>
      <c r="I187"/>
      <c r="J187"/>
      <c r="M187" s="91" t="s">
        <v>96</v>
      </c>
      <c r="N187" s="43">
        <f ca="1">N184-N185</f>
        <v>0.32999999999999829</v>
      </c>
      <c r="O187" s="43">
        <f t="shared" ref="O187:V187" ca="1" si="0">O184-O185</f>
        <v>0.21000000000000796</v>
      </c>
      <c r="P187" s="43">
        <f t="shared" ca="1" si="0"/>
        <v>0.25</v>
      </c>
      <c r="Q187" s="43">
        <f t="shared" ca="1" si="0"/>
        <v>0.34000000000000341</v>
      </c>
      <c r="R187" s="43">
        <f t="shared" ca="1" si="0"/>
        <v>0.36999999999999034</v>
      </c>
      <c r="S187" s="43">
        <f t="shared" ca="1" si="0"/>
        <v>0.33000000000001251</v>
      </c>
      <c r="T187" s="43">
        <f t="shared" ca="1" si="0"/>
        <v>0.37000000000000455</v>
      </c>
      <c r="U187" s="43">
        <f t="shared" ca="1" si="0"/>
        <v>0.46000000000000796</v>
      </c>
      <c r="V187" s="43">
        <f t="shared" ca="1" si="0"/>
        <v>0.34999999999999432</v>
      </c>
      <c r="Z187" s="23"/>
    </row>
    <row r="188" spans="1:29" ht="14.45" customHeight="1" x14ac:dyDescent="0.25">
      <c r="A188"/>
      <c r="B188"/>
      <c r="C188"/>
      <c r="D188"/>
      <c r="E188"/>
      <c r="F188"/>
      <c r="G188"/>
      <c r="H188"/>
      <c r="I188"/>
      <c r="J188"/>
      <c r="M188" s="91" t="s">
        <v>97</v>
      </c>
      <c r="N188" s="375">
        <f ca="1">ABS(MAX(N184:V184) - MIN(N185:V185))</f>
        <v>1.1100000000000136</v>
      </c>
      <c r="O188" s="375"/>
      <c r="P188" s="375"/>
      <c r="Q188" s="375"/>
      <c r="R188" s="375"/>
      <c r="S188" s="375"/>
      <c r="T188" s="375"/>
      <c r="U188" s="375"/>
      <c r="V188" s="375"/>
      <c r="W188" s="44">
        <f ca="1">N188</f>
        <v>1.1100000000000136</v>
      </c>
      <c r="Z188" s="23"/>
    </row>
    <row r="189" spans="1:29" ht="14.45" customHeight="1" x14ac:dyDescent="0.25">
      <c r="A189"/>
      <c r="B189"/>
      <c r="C189"/>
      <c r="D189"/>
      <c r="E189"/>
      <c r="F189"/>
      <c r="G189"/>
      <c r="H189"/>
      <c r="I189"/>
      <c r="J189"/>
      <c r="M189" s="91" t="s">
        <v>98</v>
      </c>
      <c r="N189" s="375">
        <f ca="1">AVERAGE(N186:V186)</f>
        <v>81.175703703703704</v>
      </c>
      <c r="O189" s="375"/>
      <c r="P189" s="375"/>
      <c r="Q189" s="375"/>
      <c r="R189" s="375"/>
      <c r="S189" s="375"/>
      <c r="T189" s="375"/>
      <c r="U189" s="375"/>
      <c r="V189" s="375"/>
      <c r="W189" s="44">
        <f ca="1">N189</f>
        <v>81.175703703703704</v>
      </c>
      <c r="Z189" s="23"/>
    </row>
    <row r="190" spans="1:29" ht="14.45" customHeight="1" x14ac:dyDescent="0.25">
      <c r="A190"/>
      <c r="B190"/>
      <c r="C190"/>
      <c r="D190"/>
      <c r="E190"/>
      <c r="F190"/>
      <c r="G190"/>
      <c r="H190"/>
      <c r="I190"/>
      <c r="J190"/>
      <c r="M190" s="91" t="s">
        <v>326</v>
      </c>
      <c r="N190" s="35" t="str" cm="1">
        <f t="array" ref="N190:V190">tab_transfert80[[#Headers],[Connecteur 1]:[Connecteur 9]]</f>
        <v>Connecteur 1</v>
      </c>
      <c r="O190" s="35" t="str">
        <v>Connecteur 2</v>
      </c>
      <c r="P190" s="35" t="str">
        <v>Connecteur 3</v>
      </c>
      <c r="Q190" s="35" t="str">
        <v>Connecteur 4</v>
      </c>
      <c r="R190" s="35" t="str">
        <v>Connecteur 5</v>
      </c>
      <c r="S190" s="35" t="str">
        <v>Connecteur 6</v>
      </c>
      <c r="T190" s="35" t="str">
        <v>Connecteur 7</v>
      </c>
      <c r="U190" s="35" t="str">
        <v>Connecteur 8</v>
      </c>
      <c r="V190" s="35" t="str">
        <v>Connecteur 9</v>
      </c>
      <c r="Z190" s="23"/>
    </row>
    <row r="191" spans="1:29" ht="14.45" customHeight="1" x14ac:dyDescent="0.25">
      <c r="A191"/>
      <c r="B191"/>
      <c r="C191"/>
      <c r="D191"/>
      <c r="E191"/>
      <c r="F191"/>
      <c r="G191"/>
      <c r="H191"/>
      <c r="I191"/>
      <c r="J191"/>
      <c r="M191" s="193" t="s">
        <v>325</v>
      </c>
      <c r="N191" s="195">
        <f ca="1">_xlfn.STDEV.S(OFFSET(INDEX(tab_transfert80[Connecteur 1],1),COUNT(tab_transfert80[Connecteur 1])-30,0,30))</f>
        <v>6.4144234024739857E-2</v>
      </c>
      <c r="O191" s="195">
        <f ca="1">_xlfn.STDEV.S(OFFSET(INDEX(tab_transfert80[Connecteur 2],1),COUNT(tab_transfert80[Connecteur 2])-30,0,30))</f>
        <v>4.5893429775424974E-2</v>
      </c>
      <c r="P191" s="195">
        <f ca="1">_xlfn.STDEV.S(OFFSET(INDEX(tab_transfert80[Connecteur 3],1),COUNT(tab_transfert80[Connecteur 3])-30,0,30))</f>
        <v>4.836285265822772E-2</v>
      </c>
      <c r="Q191" s="195">
        <f ca="1">_xlfn.STDEV.S(OFFSET(INDEX(tab_transfert80[Connecteur 4],1),COUNT(tab_transfert80[Connecteur 4])-30,0,30))</f>
        <v>6.8501195559665801E-2</v>
      </c>
      <c r="R191" s="195">
        <f ca="1">_xlfn.STDEV.S(OFFSET(INDEX(tab_transfert80[Connecteur 5],1),COUNT(tab_transfert80[Connecteur 5])-30,0,30))</f>
        <v>9.0576696401636958E-2</v>
      </c>
      <c r="S191" s="195">
        <f ca="1">_xlfn.STDEV.S(OFFSET(INDEX(tab_transfert80[Connecteur 6],1),COUNT(tab_transfert80[Connecteur 6])-30,0,30))</f>
        <v>8.0755057490816504E-2</v>
      </c>
      <c r="T191" s="195">
        <f ca="1">_xlfn.STDEV.S(OFFSET(INDEX(tab_transfert80[Connecteur 7],1),COUNT(tab_transfert80[Connecteur 7])-30,0,30))</f>
        <v>7.7570138821467391E-2</v>
      </c>
      <c r="U191" s="195">
        <f ca="1">_xlfn.STDEV.S(OFFSET(INDEX(tab_transfert80[Connecteur 8],1),COUNT(tab_transfert80[Connecteur 8])-30,0,30))</f>
        <v>0.10631551394668159</v>
      </c>
      <c r="V191" s="195">
        <f ca="1">_xlfn.STDEV.S(OFFSET(INDEX(tab_transfert80[Connecteur 9],1),COUNT(tab_transfert80[Connecteur 9])-30,0,30))</f>
        <v>8.6356651535175188E-2</v>
      </c>
      <c r="W191" s="194">
        <f ca="1">MAX(N191:V191)</f>
        <v>0.10631551394668159</v>
      </c>
      <c r="Z191" s="23"/>
    </row>
    <row r="192" spans="1:29" ht="14.45" customHeight="1" x14ac:dyDescent="0.25">
      <c r="A192"/>
      <c r="B192"/>
      <c r="C192"/>
      <c r="D192"/>
      <c r="E192"/>
      <c r="F192"/>
      <c r="G192"/>
      <c r="H192"/>
      <c r="I192"/>
      <c r="J192"/>
      <c r="N192" s="27"/>
      <c r="O192" s="27"/>
      <c r="P192" s="27"/>
      <c r="Q192" s="27"/>
      <c r="R192" s="27"/>
      <c r="S192" s="27"/>
      <c r="T192" s="27"/>
      <c r="U192" s="27"/>
      <c r="V192" s="27"/>
      <c r="Z192" s="23"/>
    </row>
    <row r="193" spans="1:26" ht="14.45" customHeight="1" x14ac:dyDescent="0.25">
      <c r="A193"/>
      <c r="B193"/>
      <c r="C193"/>
      <c r="D193"/>
      <c r="E193"/>
      <c r="F193"/>
      <c r="G193"/>
      <c r="H193"/>
      <c r="I193"/>
      <c r="J193"/>
      <c r="M193" s="193" t="s">
        <v>324</v>
      </c>
      <c r="N193" s="192">
        <f ca="1">W184-(OFFSET(INDEX(tab_four80[Consigne T°],1),COUNT(tab_four80[Consigne T°])-30,0,1))</f>
        <v>1.9200000000000017</v>
      </c>
      <c r="O193" s="27"/>
      <c r="P193" s="27"/>
      <c r="Q193" s="27"/>
      <c r="R193" s="27"/>
      <c r="S193" s="27"/>
      <c r="T193" s="27"/>
      <c r="U193" s="27"/>
      <c r="V193" s="27"/>
      <c r="Z193" s="23"/>
    </row>
    <row r="194" spans="1:26" ht="14.45" customHeight="1" x14ac:dyDescent="0.25">
      <c r="A194"/>
      <c r="B194"/>
      <c r="C194"/>
      <c r="D194"/>
      <c r="E194"/>
      <c r="F194"/>
      <c r="G194"/>
      <c r="H194"/>
      <c r="I194"/>
      <c r="J194"/>
      <c r="M194" s="193" t="s">
        <v>323</v>
      </c>
      <c r="N194" s="192">
        <f ca="1">W185-(OFFSET(INDEX(tab_four80[Consigne T°],1),COUNT(tab_four80[Consigne T°])-30,0,1))</f>
        <v>0.80999999999998806</v>
      </c>
      <c r="O194" s="27"/>
      <c r="P194" s="27"/>
      <c r="Q194" s="27"/>
      <c r="R194" s="27"/>
      <c r="S194" s="27"/>
      <c r="T194" s="27"/>
      <c r="U194" s="27"/>
      <c r="V194" s="27"/>
      <c r="Z194" s="23"/>
    </row>
    <row r="195" spans="1:26" ht="14.45" customHeight="1" x14ac:dyDescent="0.25">
      <c r="A195"/>
      <c r="B195"/>
      <c r="C195"/>
      <c r="D195"/>
      <c r="E195"/>
      <c r="F195"/>
      <c r="G195"/>
      <c r="H195"/>
      <c r="I195"/>
      <c r="J195"/>
      <c r="Z195" s="23"/>
    </row>
    <row r="196" spans="1:26" ht="14.45" customHeight="1" x14ac:dyDescent="0.25">
      <c r="A196"/>
      <c r="B196"/>
      <c r="C196"/>
      <c r="D196"/>
      <c r="E196"/>
      <c r="F196"/>
      <c r="G196"/>
      <c r="H196"/>
      <c r="I196"/>
      <c r="J196"/>
      <c r="Z196" s="23"/>
    </row>
    <row r="197" spans="1:26" ht="14.45" customHeight="1" x14ac:dyDescent="0.25">
      <c r="A197"/>
      <c r="B197"/>
      <c r="C197"/>
      <c r="D197"/>
      <c r="E197"/>
      <c r="F197"/>
      <c r="G197"/>
      <c r="H197"/>
      <c r="I197"/>
      <c r="J197"/>
      <c r="Z197" s="23"/>
    </row>
    <row r="198" spans="1:26" ht="14.45" customHeight="1" x14ac:dyDescent="0.25">
      <c r="A198"/>
      <c r="B198"/>
      <c r="C198"/>
      <c r="D198"/>
      <c r="E198"/>
      <c r="F198"/>
      <c r="G198"/>
      <c r="H198"/>
      <c r="I198"/>
      <c r="J198"/>
      <c r="Z198" s="23"/>
    </row>
    <row r="199" spans="1:26" ht="14.45" customHeight="1" x14ac:dyDescent="0.25">
      <c r="A199"/>
      <c r="B199"/>
      <c r="C199"/>
      <c r="D199"/>
      <c r="E199"/>
      <c r="F199"/>
      <c r="G199"/>
      <c r="H199"/>
      <c r="I199"/>
      <c r="J199"/>
      <c r="Z199" s="23"/>
    </row>
    <row r="200" spans="1:26" ht="14.45" customHeight="1" x14ac:dyDescent="0.25">
      <c r="A200"/>
      <c r="B200"/>
      <c r="C200"/>
      <c r="D200"/>
      <c r="E200"/>
      <c r="F200"/>
      <c r="G200"/>
      <c r="H200"/>
      <c r="I200"/>
      <c r="J200"/>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ht="14.45" customHeight="1" x14ac:dyDescent="0.25">
      <c r="A352"/>
      <c r="B352"/>
      <c r="C352"/>
      <c r="D352"/>
      <c r="E352"/>
      <c r="F352"/>
      <c r="G352"/>
      <c r="H352"/>
      <c r="I352"/>
      <c r="J352"/>
      <c r="Z352" s="23"/>
    </row>
    <row r="353" spans="1:31" x14ac:dyDescent="0.25">
      <c r="L353" s="27"/>
      <c r="X353" s="27"/>
      <c r="Y353" s="27"/>
      <c r="Z353" s="27"/>
    </row>
    <row r="354" spans="1:31" x14ac:dyDescent="0.25">
      <c r="A354"/>
      <c r="B354"/>
      <c r="C354"/>
      <c r="D354"/>
      <c r="E354"/>
      <c r="F354"/>
      <c r="G354"/>
      <c r="H354"/>
      <c r="I354"/>
      <c r="J354"/>
      <c r="Z354" s="209"/>
      <c r="AA354" s="201" t="str" cm="1">
        <f t="array" ref="AA354:AC354">AA6:AC6</f>
        <v>Pt Froid</v>
      </c>
      <c r="AB354" s="201" t="str">
        <v>Regulation</v>
      </c>
      <c r="AC354" s="201" t="str">
        <v>Pt Chaud</v>
      </c>
    </row>
    <row r="355" spans="1:31" x14ac:dyDescent="0.25">
      <c r="A355"/>
      <c r="B355"/>
      <c r="C355"/>
      <c r="D355"/>
      <c r="E355"/>
      <c r="F355"/>
      <c r="G355"/>
      <c r="H355"/>
      <c r="I355"/>
      <c r="J355"/>
      <c r="Z355" s="197" t="s">
        <v>90</v>
      </c>
      <c r="AA355" s="43">
        <f>MAX(tab_four80[Pt Froid])</f>
        <v>81.400000000000006</v>
      </c>
      <c r="AB355" s="43">
        <f>MAX(tab_four80[Regulation])</f>
        <v>80.599999999999994</v>
      </c>
      <c r="AC355" s="43">
        <f>MAX(tab_four80[Pt Chaud])</f>
        <v>82.3</v>
      </c>
    </row>
    <row r="356" spans="1:31" x14ac:dyDescent="0.25">
      <c r="A356"/>
      <c r="B356"/>
      <c r="C356"/>
      <c r="D356"/>
      <c r="E356"/>
      <c r="F356"/>
      <c r="G356"/>
      <c r="H356"/>
      <c r="I356"/>
      <c r="J356"/>
      <c r="Z356" s="197" t="s">
        <v>91</v>
      </c>
      <c r="AA356" s="43">
        <f ca="1">MAX(OFFSET(INDEX(tab_four80[Pt Froid],1),COUNT(tab_four80[Pt Froid])-30,0,30))</f>
        <v>80.599999999999994</v>
      </c>
      <c r="AB356" s="43">
        <f ca="1">MAX(OFFSET(INDEX(tab_four80[Regulation],1),COUNT(tab_four80[Regulation])-30,0,30))</f>
        <v>80.400000000000006</v>
      </c>
      <c r="AC356" s="43">
        <f ca="1">MAX(OFFSET(INDEX(tab_four80[Pt Chaud],1),COUNT(tab_four80[Pt Chaud])-30,0,30))</f>
        <v>81.7</v>
      </c>
    </row>
    <row r="357" spans="1:31" x14ac:dyDescent="0.25">
      <c r="A357"/>
      <c r="B357"/>
      <c r="C357"/>
      <c r="D357"/>
      <c r="E357"/>
      <c r="F357"/>
      <c r="G357"/>
      <c r="H357"/>
      <c r="I357"/>
      <c r="J357"/>
      <c r="Z357" s="197" t="s">
        <v>93</v>
      </c>
      <c r="AA357" s="43">
        <f ca="1">MIN(OFFSET(INDEX(tab_four80[Pt Froid],1),COUNT(tab_four80[Pt Froid])-30,0,30))</f>
        <v>79.8</v>
      </c>
      <c r="AB357" s="43">
        <f ca="1">MIN(OFFSET(INDEX(tab_four80[Regulation],1),COUNT(tab_four80[Regulation])-30,0,30))</f>
        <v>80</v>
      </c>
      <c r="AC357" s="43">
        <f ca="1">MIN(OFFSET(INDEX(tab_four80[Pt Chaud],1),COUNT(tab_four80[Pt Chaud])-30,0,30))</f>
        <v>81.3</v>
      </c>
    </row>
    <row r="358" spans="1:31" x14ac:dyDescent="0.25">
      <c r="A358"/>
      <c r="B358"/>
      <c r="C358"/>
      <c r="D358"/>
      <c r="E358"/>
      <c r="F358"/>
      <c r="G358"/>
      <c r="H358"/>
      <c r="I358"/>
      <c r="J358"/>
      <c r="Z358" s="197" t="s">
        <v>95</v>
      </c>
      <c r="AA358" s="43">
        <f ca="1">AVERAGE(OFFSET(INDEX(tab_four80[Pt Froid],1),COUNT(tab_four80[Pt Froid])-30,0,30))</f>
        <v>80.010000000000034</v>
      </c>
      <c r="AB358" s="43">
        <f ca="1">AVERAGE(OFFSET(INDEX(tab_four80[Regulation],1),COUNT(tab_four80[Regulation])-30,0,30))</f>
        <v>80.09333333333332</v>
      </c>
      <c r="AC358" s="43">
        <f ca="1">AVERAGE(OFFSET(INDEX(tab_four80[Pt Chaud],1),COUNT(tab_four80[Pt Chaud])-30,0,30))</f>
        <v>81.36666666666666</v>
      </c>
    </row>
    <row r="359" spans="1:31" x14ac:dyDescent="0.25">
      <c r="A359"/>
      <c r="B359"/>
      <c r="C359"/>
      <c r="D359"/>
      <c r="E359"/>
      <c r="F359"/>
      <c r="G359"/>
      <c r="H359"/>
      <c r="I359"/>
      <c r="J359"/>
      <c r="Z359" s="209"/>
    </row>
    <row r="360" spans="1:31" x14ac:dyDescent="0.25">
      <c r="A360"/>
      <c r="B360"/>
      <c r="C360"/>
      <c r="D360"/>
      <c r="E360"/>
      <c r="F360"/>
      <c r="G360"/>
      <c r="H360"/>
      <c r="I360"/>
      <c r="J360"/>
      <c r="Z360" s="209"/>
    </row>
    <row r="361" spans="1:31" s="27" customFormat="1" x14ac:dyDescent="0.25">
      <c r="A361"/>
      <c r="B361"/>
      <c r="C361"/>
      <c r="D361"/>
      <c r="E361"/>
      <c r="F361"/>
      <c r="G361"/>
      <c r="H361"/>
      <c r="I361"/>
      <c r="J361"/>
      <c r="L361"/>
      <c r="M361"/>
      <c r="N361"/>
      <c r="O361"/>
      <c r="P361"/>
      <c r="Q361"/>
      <c r="R361"/>
      <c r="S361"/>
      <c r="T361"/>
      <c r="U361"/>
      <c r="V361"/>
      <c r="X361"/>
      <c r="Y361"/>
      <c r="Z361" s="209"/>
      <c r="AD361"/>
      <c r="AE361"/>
    </row>
    <row r="362" spans="1:31" s="27" customFormat="1" x14ac:dyDescent="0.25">
      <c r="A362"/>
      <c r="B362"/>
      <c r="C362"/>
      <c r="D362"/>
      <c r="E362"/>
      <c r="F362"/>
      <c r="G362"/>
      <c r="H362"/>
      <c r="I362"/>
      <c r="J362"/>
      <c r="L362"/>
      <c r="M362"/>
      <c r="N362"/>
      <c r="O362"/>
      <c r="P362"/>
      <c r="Q362"/>
      <c r="R362"/>
      <c r="S362"/>
      <c r="T362"/>
      <c r="U362"/>
      <c r="V362"/>
      <c r="X362"/>
      <c r="Y362"/>
      <c r="Z362" s="209"/>
      <c r="AD362"/>
      <c r="AE362"/>
    </row>
    <row r="363" spans="1:31" s="27" customFormat="1" x14ac:dyDescent="0.25">
      <c r="A363"/>
      <c r="B363"/>
      <c r="C363"/>
      <c r="D363"/>
      <c r="E363"/>
      <c r="F363"/>
      <c r="G363"/>
      <c r="H363"/>
      <c r="I363"/>
      <c r="J363"/>
      <c r="L363"/>
      <c r="M363"/>
      <c r="N363"/>
      <c r="O363"/>
      <c r="P363"/>
      <c r="Q363"/>
      <c r="R363"/>
      <c r="S363"/>
      <c r="T363"/>
      <c r="U363"/>
      <c r="V363"/>
      <c r="X363"/>
      <c r="Y363"/>
      <c r="Z363" s="209"/>
      <c r="AD363"/>
      <c r="AE363"/>
    </row>
    <row r="364" spans="1:31" s="27" customFormat="1" x14ac:dyDescent="0.25">
      <c r="A364"/>
      <c r="B364"/>
      <c r="C364"/>
      <c r="D364"/>
      <c r="E364"/>
      <c r="F364"/>
      <c r="G364"/>
      <c r="H364"/>
      <c r="I364"/>
      <c r="J364"/>
      <c r="L364"/>
      <c r="M364"/>
      <c r="N364"/>
      <c r="O364"/>
      <c r="P364"/>
      <c r="Q364"/>
      <c r="R364"/>
      <c r="S364"/>
      <c r="T364"/>
      <c r="U364"/>
      <c r="V364"/>
      <c r="X364"/>
      <c r="Y364"/>
      <c r="Z364" s="209"/>
      <c r="AD364"/>
      <c r="AE364"/>
    </row>
    <row r="365" spans="1:31" s="27" customFormat="1" x14ac:dyDescent="0.25">
      <c r="A365"/>
      <c r="B365"/>
      <c r="C365"/>
      <c r="D365"/>
      <c r="E365"/>
      <c r="F365"/>
      <c r="G365"/>
      <c r="H365"/>
      <c r="I365"/>
      <c r="J365"/>
      <c r="L365"/>
      <c r="M365"/>
      <c r="N365"/>
      <c r="O365"/>
      <c r="P365"/>
      <c r="Q365"/>
      <c r="R365"/>
      <c r="S365"/>
      <c r="T365"/>
      <c r="U365"/>
      <c r="V365"/>
      <c r="X365"/>
      <c r="Y365"/>
      <c r="Z365" s="209"/>
      <c r="AD365"/>
      <c r="AE365"/>
    </row>
    <row r="366" spans="1:31" s="27" customFormat="1" x14ac:dyDescent="0.25">
      <c r="A366"/>
      <c r="B366"/>
      <c r="C366"/>
      <c r="D366"/>
      <c r="E366"/>
      <c r="F366"/>
      <c r="G366"/>
      <c r="H366"/>
      <c r="I366"/>
      <c r="J366"/>
      <c r="L366"/>
      <c r="M366"/>
      <c r="N366"/>
      <c r="O366"/>
      <c r="P366"/>
      <c r="Q366"/>
      <c r="R366"/>
      <c r="S366"/>
      <c r="T366"/>
      <c r="U366"/>
      <c r="V366"/>
      <c r="X366"/>
      <c r="Y366"/>
      <c r="Z366" s="209"/>
      <c r="AD366"/>
      <c r="AE366"/>
    </row>
    <row r="367" spans="1:31" s="27" customFormat="1" x14ac:dyDescent="0.25">
      <c r="A367"/>
      <c r="B367"/>
      <c r="C367"/>
      <c r="D367"/>
      <c r="E367"/>
      <c r="F367"/>
      <c r="G367"/>
      <c r="H367"/>
      <c r="I367"/>
      <c r="J367"/>
      <c r="L367"/>
      <c r="M367"/>
      <c r="N367"/>
      <c r="O367"/>
      <c r="P367"/>
      <c r="Q367"/>
      <c r="R367"/>
      <c r="S367"/>
      <c r="T367"/>
      <c r="U367"/>
      <c r="V367"/>
      <c r="X367"/>
      <c r="Y367"/>
      <c r="Z367" s="209"/>
      <c r="AD367"/>
      <c r="AE367"/>
    </row>
    <row r="368" spans="1:31" s="27" customFormat="1" x14ac:dyDescent="0.25">
      <c r="A368"/>
      <c r="B368"/>
      <c r="C368"/>
      <c r="D368"/>
      <c r="E368"/>
      <c r="F368"/>
      <c r="G368"/>
      <c r="H368"/>
      <c r="I368"/>
      <c r="J368"/>
      <c r="L368"/>
      <c r="M368"/>
      <c r="N368"/>
      <c r="O368"/>
      <c r="P368"/>
      <c r="Q368"/>
      <c r="R368"/>
      <c r="S368"/>
      <c r="T368"/>
      <c r="U368"/>
      <c r="V368"/>
      <c r="X368"/>
      <c r="Y368"/>
      <c r="Z368" s="209"/>
      <c r="AD368"/>
      <c r="AE368"/>
    </row>
    <row r="369" spans="1:31" s="27" customFormat="1" x14ac:dyDescent="0.25">
      <c r="A369"/>
      <c r="B369"/>
      <c r="C369"/>
      <c r="D369"/>
      <c r="E369"/>
      <c r="F369"/>
      <c r="G369"/>
      <c r="H369"/>
      <c r="I369"/>
      <c r="J369"/>
      <c r="L369"/>
      <c r="M369"/>
      <c r="N369"/>
      <c r="O369"/>
      <c r="P369"/>
      <c r="Q369"/>
      <c r="R369"/>
      <c r="S369"/>
      <c r="T369"/>
      <c r="U369"/>
      <c r="V369"/>
      <c r="X369"/>
      <c r="Y369"/>
      <c r="Z369" s="209"/>
      <c r="AD369"/>
      <c r="AE369"/>
    </row>
    <row r="370" spans="1:31" s="27" customFormat="1" x14ac:dyDescent="0.25">
      <c r="A370"/>
      <c r="B370"/>
      <c r="C370"/>
      <c r="D370"/>
      <c r="E370"/>
      <c r="F370"/>
      <c r="G370"/>
      <c r="H370"/>
      <c r="I370"/>
      <c r="J370"/>
      <c r="L370"/>
      <c r="M370"/>
      <c r="N370"/>
      <c r="O370"/>
      <c r="P370"/>
      <c r="Q370"/>
      <c r="R370"/>
      <c r="S370"/>
      <c r="T370"/>
      <c r="U370"/>
      <c r="V370"/>
      <c r="X370"/>
      <c r="Y370"/>
      <c r="Z370" s="209"/>
      <c r="AD370"/>
      <c r="AE370"/>
    </row>
    <row r="371" spans="1:31" s="27" customFormat="1" x14ac:dyDescent="0.25">
      <c r="A371"/>
      <c r="B371"/>
      <c r="C371"/>
      <c r="D371"/>
      <c r="E371"/>
      <c r="F371"/>
      <c r="G371"/>
      <c r="H371"/>
      <c r="I371"/>
      <c r="J371"/>
      <c r="L371"/>
      <c r="M371"/>
      <c r="N371"/>
      <c r="O371"/>
      <c r="P371"/>
      <c r="Q371"/>
      <c r="R371"/>
      <c r="S371"/>
      <c r="T371"/>
      <c r="U371"/>
      <c r="V371"/>
      <c r="X371"/>
      <c r="Y371"/>
      <c r="Z371" s="209"/>
      <c r="AD371"/>
      <c r="AE371"/>
    </row>
    <row r="372" spans="1:31" s="27" customFormat="1" x14ac:dyDescent="0.25">
      <c r="A372"/>
      <c r="B372"/>
      <c r="C372"/>
      <c r="D372"/>
      <c r="E372"/>
      <c r="F372"/>
      <c r="G372"/>
      <c r="H372"/>
      <c r="I372"/>
      <c r="J372"/>
      <c r="L372"/>
      <c r="M372"/>
      <c r="N372"/>
      <c r="O372"/>
      <c r="P372"/>
      <c r="Q372"/>
      <c r="R372"/>
      <c r="S372"/>
      <c r="T372"/>
      <c r="U372"/>
      <c r="V372"/>
      <c r="X372"/>
      <c r="Y372"/>
      <c r="Z372" s="209"/>
      <c r="AD372"/>
      <c r="AE372"/>
    </row>
    <row r="373" spans="1:31" s="27" customFormat="1" x14ac:dyDescent="0.25">
      <c r="A373"/>
      <c r="B373"/>
      <c r="C373"/>
      <c r="D373"/>
      <c r="E373"/>
      <c r="F373"/>
      <c r="G373"/>
      <c r="H373"/>
      <c r="I373"/>
      <c r="J373"/>
      <c r="L373"/>
      <c r="M373"/>
      <c r="N373"/>
      <c r="O373"/>
      <c r="P373"/>
      <c r="Q373"/>
      <c r="R373"/>
      <c r="S373"/>
      <c r="T373"/>
      <c r="U373"/>
      <c r="V373"/>
      <c r="X373"/>
      <c r="Y373"/>
      <c r="Z373" s="209"/>
      <c r="AD373"/>
      <c r="AE373"/>
    </row>
    <row r="374" spans="1:31" s="27" customFormat="1" x14ac:dyDescent="0.25">
      <c r="A374"/>
      <c r="B374"/>
      <c r="C374"/>
      <c r="D374"/>
      <c r="E374"/>
      <c r="F374"/>
      <c r="G374"/>
      <c r="H374"/>
      <c r="I374"/>
      <c r="J374"/>
      <c r="L374"/>
      <c r="M374"/>
      <c r="N374"/>
      <c r="O374"/>
      <c r="P374"/>
      <c r="Q374"/>
      <c r="R374"/>
      <c r="S374"/>
      <c r="T374"/>
      <c r="U374"/>
      <c r="V374"/>
      <c r="X374"/>
      <c r="Y374"/>
      <c r="Z374" s="209"/>
      <c r="AD374"/>
      <c r="AE374"/>
    </row>
    <row r="375" spans="1:31" s="27" customFormat="1" x14ac:dyDescent="0.25">
      <c r="A375"/>
      <c r="B375"/>
      <c r="C375"/>
      <c r="D375"/>
      <c r="E375"/>
      <c r="F375"/>
      <c r="G375"/>
      <c r="H375"/>
      <c r="I375"/>
      <c r="J375"/>
      <c r="L375"/>
      <c r="M375"/>
      <c r="N375"/>
      <c r="O375"/>
      <c r="P375"/>
      <c r="Q375"/>
      <c r="R375"/>
      <c r="S375"/>
      <c r="T375"/>
      <c r="U375"/>
      <c r="V375"/>
      <c r="X375"/>
      <c r="Y375"/>
      <c r="Z375" s="209"/>
      <c r="AD375"/>
      <c r="AE375"/>
    </row>
    <row r="376" spans="1:31" s="27" customFormat="1" x14ac:dyDescent="0.25">
      <c r="A376"/>
      <c r="B376"/>
      <c r="C376"/>
      <c r="D376"/>
      <c r="E376"/>
      <c r="F376"/>
      <c r="G376"/>
      <c r="H376"/>
      <c r="I376"/>
      <c r="J376"/>
      <c r="L376"/>
      <c r="M376"/>
      <c r="N376"/>
      <c r="O376"/>
      <c r="P376"/>
      <c r="Q376"/>
      <c r="R376"/>
      <c r="S376"/>
      <c r="T376"/>
      <c r="U376"/>
      <c r="V376"/>
      <c r="X376"/>
      <c r="Y376"/>
      <c r="Z376" s="209"/>
      <c r="AD376"/>
      <c r="AE376"/>
    </row>
    <row r="377" spans="1:31" s="27" customFormat="1" x14ac:dyDescent="0.25">
      <c r="A377"/>
      <c r="B377"/>
      <c r="C377"/>
      <c r="D377"/>
      <c r="E377"/>
      <c r="F377"/>
      <c r="G377"/>
      <c r="H377"/>
      <c r="I377"/>
      <c r="J377"/>
      <c r="L377"/>
      <c r="M377"/>
      <c r="N377"/>
      <c r="O377"/>
      <c r="P377"/>
      <c r="Q377"/>
      <c r="R377"/>
      <c r="S377"/>
      <c r="T377"/>
      <c r="U377"/>
      <c r="V377"/>
      <c r="X377"/>
      <c r="Y377"/>
      <c r="Z377" s="209"/>
      <c r="AD377"/>
      <c r="AE377"/>
    </row>
    <row r="378" spans="1:31" s="27" customFormat="1" x14ac:dyDescent="0.25">
      <c r="A378"/>
      <c r="B378"/>
      <c r="C378"/>
      <c r="D378"/>
      <c r="E378"/>
      <c r="F378"/>
      <c r="G378"/>
      <c r="H378"/>
      <c r="I378"/>
      <c r="J378"/>
      <c r="L378"/>
      <c r="M378"/>
      <c r="N378"/>
      <c r="O378"/>
      <c r="P378"/>
      <c r="Q378"/>
      <c r="R378"/>
      <c r="S378"/>
      <c r="T378"/>
      <c r="U378"/>
      <c r="V378"/>
      <c r="X378"/>
      <c r="Y378"/>
      <c r="Z378" s="209"/>
      <c r="AD378"/>
      <c r="AE378"/>
    </row>
    <row r="379" spans="1:31" s="27" customFormat="1" x14ac:dyDescent="0.25">
      <c r="A379"/>
      <c r="B379"/>
      <c r="C379"/>
      <c r="D379"/>
      <c r="E379"/>
      <c r="F379"/>
      <c r="G379"/>
      <c r="H379"/>
      <c r="I379"/>
      <c r="J379"/>
      <c r="L379"/>
      <c r="M379"/>
      <c r="N379"/>
      <c r="O379"/>
      <c r="P379"/>
      <c r="Q379"/>
      <c r="R379"/>
      <c r="S379"/>
      <c r="T379"/>
      <c r="U379"/>
      <c r="V379"/>
      <c r="X379"/>
      <c r="Y379"/>
      <c r="Z379" s="209"/>
      <c r="AD379"/>
      <c r="AE379"/>
    </row>
    <row r="380" spans="1:31" s="27" customFormat="1" x14ac:dyDescent="0.25">
      <c r="A380"/>
      <c r="B380"/>
      <c r="C380"/>
      <c r="D380"/>
      <c r="E380"/>
      <c r="F380"/>
      <c r="G380"/>
      <c r="H380"/>
      <c r="I380"/>
      <c r="J380"/>
      <c r="L380"/>
      <c r="M380"/>
      <c r="N380"/>
      <c r="O380"/>
      <c r="P380"/>
      <c r="Q380"/>
      <c r="R380"/>
      <c r="S380"/>
      <c r="T380"/>
      <c r="U380"/>
      <c r="V380"/>
      <c r="X380"/>
      <c r="Y380"/>
      <c r="Z380" s="209"/>
      <c r="AD380"/>
      <c r="AE380"/>
    </row>
    <row r="381" spans="1:31" s="27" customFormat="1" x14ac:dyDescent="0.25">
      <c r="A381"/>
      <c r="B381"/>
      <c r="C381"/>
      <c r="D381"/>
      <c r="E381"/>
      <c r="F381"/>
      <c r="G381"/>
      <c r="H381"/>
      <c r="I381"/>
      <c r="J381"/>
      <c r="L381"/>
      <c r="M381"/>
      <c r="N381"/>
      <c r="O381"/>
      <c r="P381"/>
      <c r="Q381"/>
      <c r="R381"/>
      <c r="S381"/>
      <c r="T381"/>
      <c r="U381"/>
      <c r="V381"/>
      <c r="X381"/>
      <c r="Y381"/>
      <c r="Z381" s="209"/>
      <c r="AD381"/>
      <c r="AE381"/>
    </row>
    <row r="382" spans="1:31" s="27" customFormat="1" x14ac:dyDescent="0.25">
      <c r="A382"/>
      <c r="B382"/>
      <c r="C382"/>
      <c r="D382"/>
      <c r="E382"/>
      <c r="F382"/>
      <c r="G382"/>
      <c r="H382"/>
      <c r="I382"/>
      <c r="J382"/>
      <c r="L382"/>
      <c r="M382"/>
      <c r="N382"/>
      <c r="O382"/>
      <c r="P382"/>
      <c r="Q382"/>
      <c r="R382"/>
      <c r="S382"/>
      <c r="T382"/>
      <c r="U382"/>
      <c r="V382"/>
      <c r="X382"/>
      <c r="Y382"/>
      <c r="Z382" s="209"/>
      <c r="AD382"/>
      <c r="AE382"/>
    </row>
    <row r="383" spans="1:31" s="27" customFormat="1" x14ac:dyDescent="0.25">
      <c r="A383"/>
      <c r="B383"/>
      <c r="C383"/>
      <c r="D383"/>
      <c r="E383"/>
      <c r="F383"/>
      <c r="G383"/>
      <c r="H383"/>
      <c r="I383"/>
      <c r="J383"/>
      <c r="L383"/>
      <c r="M383"/>
      <c r="N383"/>
      <c r="O383"/>
      <c r="P383"/>
      <c r="Q383"/>
      <c r="R383"/>
      <c r="S383"/>
      <c r="T383"/>
      <c r="U383"/>
      <c r="V383"/>
      <c r="X383"/>
      <c r="Y383"/>
      <c r="Z383" s="209"/>
      <c r="AD383"/>
      <c r="AE383"/>
    </row>
    <row r="384" spans="1:31" s="27" customFormat="1" x14ac:dyDescent="0.25">
      <c r="A384"/>
      <c r="B384"/>
      <c r="C384"/>
      <c r="D384"/>
      <c r="E384"/>
      <c r="F384"/>
      <c r="G384"/>
      <c r="H384"/>
      <c r="I384"/>
      <c r="J384"/>
      <c r="L384"/>
      <c r="M384"/>
      <c r="N384"/>
      <c r="O384"/>
      <c r="P384"/>
      <c r="Q384"/>
      <c r="R384"/>
      <c r="S384"/>
      <c r="T384"/>
      <c r="U384"/>
      <c r="V384"/>
      <c r="X384"/>
      <c r="Y384"/>
      <c r="Z384" s="209"/>
      <c r="AD384"/>
      <c r="AE384"/>
    </row>
    <row r="385" spans="1:31" s="27" customFormat="1" x14ac:dyDescent="0.25">
      <c r="A385"/>
      <c r="B385"/>
      <c r="C385"/>
      <c r="D385"/>
      <c r="E385"/>
      <c r="F385"/>
      <c r="G385"/>
      <c r="H385"/>
      <c r="I385"/>
      <c r="J385"/>
      <c r="L385"/>
      <c r="M385"/>
      <c r="N385"/>
      <c r="O385"/>
      <c r="P385"/>
      <c r="Q385"/>
      <c r="R385"/>
      <c r="S385"/>
      <c r="T385"/>
      <c r="U385"/>
      <c r="V385"/>
      <c r="X385"/>
      <c r="Y385"/>
      <c r="Z385" s="209"/>
      <c r="AD385"/>
      <c r="AE385"/>
    </row>
    <row r="386" spans="1:31" s="27" customFormat="1" x14ac:dyDescent="0.25">
      <c r="A386"/>
      <c r="B386"/>
      <c r="C386"/>
      <c r="D386"/>
      <c r="E386"/>
      <c r="F386"/>
      <c r="G386"/>
      <c r="H386"/>
      <c r="I386"/>
      <c r="J386"/>
      <c r="L386"/>
      <c r="M386"/>
      <c r="N386"/>
      <c r="O386"/>
      <c r="P386"/>
      <c r="Q386"/>
      <c r="R386"/>
      <c r="S386"/>
      <c r="T386"/>
      <c r="U386"/>
      <c r="V386"/>
      <c r="X386"/>
      <c r="Y386"/>
      <c r="Z386" s="209"/>
      <c r="AD386"/>
      <c r="AE386"/>
    </row>
    <row r="387" spans="1:31" s="27" customFormat="1" x14ac:dyDescent="0.25">
      <c r="A387"/>
      <c r="B387"/>
      <c r="C387"/>
      <c r="D387"/>
      <c r="E387"/>
      <c r="F387"/>
      <c r="G387"/>
      <c r="H387"/>
      <c r="I387"/>
      <c r="J387"/>
      <c r="L387"/>
      <c r="M387"/>
      <c r="N387"/>
      <c r="O387"/>
      <c r="P387"/>
      <c r="Q387"/>
      <c r="R387"/>
      <c r="S387"/>
      <c r="T387"/>
      <c r="U387"/>
      <c r="V387"/>
      <c r="X387"/>
      <c r="Y387"/>
      <c r="Z387" s="209"/>
      <c r="AD387"/>
      <c r="AE387"/>
    </row>
    <row r="388" spans="1:31" s="27" customFormat="1" x14ac:dyDescent="0.25">
      <c r="A388"/>
      <c r="B388"/>
      <c r="C388"/>
      <c r="D388"/>
      <c r="E388"/>
      <c r="F388"/>
      <c r="G388"/>
      <c r="H388"/>
      <c r="I388"/>
      <c r="J388"/>
      <c r="L388"/>
      <c r="M388"/>
      <c r="N388"/>
      <c r="O388"/>
      <c r="P388"/>
      <c r="Q388"/>
      <c r="R388"/>
      <c r="S388"/>
      <c r="T388"/>
      <c r="U388"/>
      <c r="V388"/>
      <c r="X388"/>
      <c r="Y388"/>
      <c r="Z388" s="209"/>
      <c r="AD388"/>
      <c r="AE388"/>
    </row>
    <row r="389" spans="1:31" s="27" customFormat="1" x14ac:dyDescent="0.25">
      <c r="A389"/>
      <c r="B389"/>
      <c r="C389"/>
      <c r="D389"/>
      <c r="E389"/>
      <c r="F389"/>
      <c r="G389"/>
      <c r="H389"/>
      <c r="I389"/>
      <c r="J389"/>
      <c r="L389"/>
      <c r="M389"/>
      <c r="N389"/>
      <c r="O389"/>
      <c r="P389"/>
      <c r="Q389"/>
      <c r="R389"/>
      <c r="S389"/>
      <c r="T389"/>
      <c r="U389"/>
      <c r="V389"/>
      <c r="X389"/>
      <c r="Y389"/>
      <c r="Z389" s="209"/>
      <c r="AD389"/>
      <c r="AE389"/>
    </row>
    <row r="390" spans="1:31" s="27" customFormat="1" x14ac:dyDescent="0.25">
      <c r="A390"/>
      <c r="B390"/>
      <c r="C390"/>
      <c r="D390"/>
      <c r="E390"/>
      <c r="F390"/>
      <c r="G390"/>
      <c r="H390"/>
      <c r="I390"/>
      <c r="J390"/>
      <c r="L390"/>
      <c r="M390"/>
      <c r="N390"/>
      <c r="O390"/>
      <c r="P390"/>
      <c r="Q390"/>
      <c r="R390"/>
      <c r="S390"/>
      <c r="T390"/>
      <c r="U390"/>
      <c r="V390"/>
      <c r="X390"/>
      <c r="Y390"/>
      <c r="Z390" s="209"/>
      <c r="AD390"/>
      <c r="AE390"/>
    </row>
    <row r="391" spans="1:31" s="27" customFormat="1" x14ac:dyDescent="0.25">
      <c r="A391"/>
      <c r="B391"/>
      <c r="C391"/>
      <c r="D391"/>
      <c r="E391"/>
      <c r="F391"/>
      <c r="G391"/>
      <c r="H391"/>
      <c r="I391"/>
      <c r="J391"/>
      <c r="L391"/>
      <c r="M391"/>
      <c r="N391"/>
      <c r="O391"/>
      <c r="P391"/>
      <c r="Q391"/>
      <c r="R391"/>
      <c r="S391"/>
      <c r="T391"/>
      <c r="U391"/>
      <c r="V391"/>
      <c r="X391"/>
      <c r="Y391"/>
      <c r="Z391" s="209"/>
      <c r="AD391"/>
      <c r="AE391"/>
    </row>
    <row r="392" spans="1:31" s="27" customFormat="1" x14ac:dyDescent="0.25">
      <c r="A392"/>
      <c r="B392"/>
      <c r="C392"/>
      <c r="D392"/>
      <c r="E392"/>
      <c r="F392"/>
      <c r="G392"/>
      <c r="H392"/>
      <c r="I392"/>
      <c r="J392"/>
      <c r="L392"/>
      <c r="M392"/>
      <c r="N392"/>
      <c r="O392"/>
      <c r="P392"/>
      <c r="Q392"/>
      <c r="R392"/>
      <c r="S392"/>
      <c r="T392"/>
      <c r="U392"/>
      <c r="V392"/>
      <c r="X392"/>
      <c r="Y392"/>
      <c r="Z392" s="209"/>
      <c r="AD392"/>
      <c r="AE392"/>
    </row>
    <row r="393" spans="1:31" s="27" customFormat="1" x14ac:dyDescent="0.25">
      <c r="A393"/>
      <c r="B393"/>
      <c r="C393"/>
      <c r="D393"/>
      <c r="E393"/>
      <c r="F393"/>
      <c r="G393"/>
      <c r="H393"/>
      <c r="I393"/>
      <c r="J393"/>
      <c r="L393"/>
      <c r="M393"/>
      <c r="N393"/>
      <c r="O393"/>
      <c r="P393"/>
      <c r="Q393"/>
      <c r="R393"/>
      <c r="S393"/>
      <c r="T393"/>
      <c r="U393"/>
      <c r="V393"/>
      <c r="X393"/>
      <c r="Y393"/>
      <c r="Z393" s="209"/>
      <c r="AD393"/>
      <c r="AE393"/>
    </row>
    <row r="394" spans="1:31" s="27" customFormat="1" x14ac:dyDescent="0.25">
      <c r="A394"/>
      <c r="B394"/>
      <c r="C394"/>
      <c r="D394"/>
      <c r="E394"/>
      <c r="F394"/>
      <c r="G394"/>
      <c r="H394"/>
      <c r="I394"/>
      <c r="J394"/>
      <c r="L394"/>
      <c r="M394"/>
      <c r="N394"/>
      <c r="O394"/>
      <c r="P394"/>
      <c r="Q394"/>
      <c r="R394"/>
      <c r="S394"/>
      <c r="T394"/>
      <c r="U394"/>
      <c r="V394"/>
      <c r="X394"/>
      <c r="Y394"/>
      <c r="Z394" s="209"/>
      <c r="AD394"/>
      <c r="AE394"/>
    </row>
    <row r="395" spans="1:31" s="27" customFormat="1" x14ac:dyDescent="0.25">
      <c r="A395"/>
      <c r="B395"/>
      <c r="C395"/>
      <c r="D395"/>
      <c r="E395"/>
      <c r="F395"/>
      <c r="G395"/>
      <c r="H395"/>
      <c r="I395"/>
      <c r="J395"/>
      <c r="L395"/>
      <c r="M395"/>
      <c r="N395"/>
      <c r="O395"/>
      <c r="P395"/>
      <c r="Q395"/>
      <c r="R395"/>
      <c r="S395"/>
      <c r="T395"/>
      <c r="U395"/>
      <c r="V395"/>
      <c r="X395"/>
      <c r="Y395"/>
      <c r="Z395" s="209"/>
      <c r="AD395"/>
      <c r="AE395"/>
    </row>
    <row r="396" spans="1:31" s="27" customFormat="1" x14ac:dyDescent="0.25">
      <c r="A396"/>
      <c r="B396"/>
      <c r="C396"/>
      <c r="D396"/>
      <c r="E396"/>
      <c r="F396"/>
      <c r="G396"/>
      <c r="H396"/>
      <c r="I396"/>
      <c r="J396"/>
      <c r="L396"/>
      <c r="M396"/>
      <c r="N396"/>
      <c r="O396"/>
      <c r="P396"/>
      <c r="Q396"/>
      <c r="R396"/>
      <c r="S396"/>
      <c r="T396"/>
      <c r="U396"/>
      <c r="V396"/>
      <c r="X396"/>
      <c r="Y396"/>
      <c r="Z396" s="209"/>
      <c r="AD396"/>
      <c r="AE396"/>
    </row>
    <row r="397" spans="1:31" s="27" customFormat="1" x14ac:dyDescent="0.25">
      <c r="A397"/>
      <c r="B397"/>
      <c r="C397"/>
      <c r="D397"/>
      <c r="E397"/>
      <c r="F397"/>
      <c r="G397"/>
      <c r="H397"/>
      <c r="I397"/>
      <c r="J397"/>
      <c r="L397"/>
      <c r="M397"/>
      <c r="N397"/>
      <c r="O397"/>
      <c r="P397"/>
      <c r="Q397"/>
      <c r="R397"/>
      <c r="S397"/>
      <c r="T397"/>
      <c r="U397"/>
      <c r="V397"/>
      <c r="X397"/>
      <c r="Y397"/>
      <c r="Z397" s="209"/>
      <c r="AD397"/>
      <c r="AE397"/>
    </row>
    <row r="398" spans="1:31" s="27" customFormat="1" x14ac:dyDescent="0.25">
      <c r="A398"/>
      <c r="B398"/>
      <c r="C398"/>
      <c r="D398"/>
      <c r="E398"/>
      <c r="F398"/>
      <c r="G398"/>
      <c r="H398"/>
      <c r="I398"/>
      <c r="J398"/>
      <c r="L398"/>
      <c r="M398"/>
      <c r="N398"/>
      <c r="O398"/>
      <c r="P398"/>
      <c r="Q398"/>
      <c r="R398"/>
      <c r="S398"/>
      <c r="T398"/>
      <c r="U398"/>
      <c r="V398"/>
      <c r="X398"/>
      <c r="Y398"/>
      <c r="Z398" s="209"/>
      <c r="AD398"/>
      <c r="AE398"/>
    </row>
    <row r="399" spans="1:31" s="27" customFormat="1" x14ac:dyDescent="0.25">
      <c r="A399"/>
      <c r="B399"/>
      <c r="C399"/>
      <c r="D399"/>
      <c r="E399"/>
      <c r="F399"/>
      <c r="G399"/>
      <c r="H399"/>
      <c r="I399"/>
      <c r="J399"/>
      <c r="L399"/>
      <c r="M399"/>
      <c r="N399"/>
      <c r="O399"/>
      <c r="P399"/>
      <c r="Q399"/>
      <c r="R399"/>
      <c r="S399"/>
      <c r="T399"/>
      <c r="U399"/>
      <c r="V399"/>
      <c r="X399"/>
      <c r="Y399"/>
      <c r="Z399" s="209"/>
      <c r="AD399"/>
      <c r="AE399"/>
    </row>
    <row r="400" spans="1:31" s="27" customFormat="1" x14ac:dyDescent="0.25">
      <c r="A400"/>
      <c r="B400"/>
      <c r="C400"/>
      <c r="D400"/>
      <c r="E400"/>
      <c r="F400"/>
      <c r="G400"/>
      <c r="H400"/>
      <c r="I400"/>
      <c r="J400"/>
      <c r="L400"/>
      <c r="M400"/>
      <c r="N400"/>
      <c r="O400"/>
      <c r="P400"/>
      <c r="Q400"/>
      <c r="R400"/>
      <c r="S400"/>
      <c r="T400"/>
      <c r="U400"/>
      <c r="V400"/>
      <c r="X400"/>
      <c r="Y400"/>
      <c r="Z400" s="209"/>
      <c r="AD400"/>
      <c r="AE400"/>
    </row>
    <row r="401" spans="1:31" s="27" customFormat="1" x14ac:dyDescent="0.25">
      <c r="A401"/>
      <c r="B401"/>
      <c r="C401"/>
      <c r="D401"/>
      <c r="E401"/>
      <c r="F401"/>
      <c r="G401"/>
      <c r="H401"/>
      <c r="I401"/>
      <c r="J401"/>
      <c r="L401"/>
      <c r="M401"/>
      <c r="N401"/>
      <c r="O401"/>
      <c r="P401"/>
      <c r="Q401"/>
      <c r="R401"/>
      <c r="S401"/>
      <c r="T401"/>
      <c r="U401"/>
      <c r="V401"/>
      <c r="X401"/>
      <c r="Y401"/>
      <c r="Z401" s="209"/>
      <c r="AD401"/>
      <c r="AE401"/>
    </row>
    <row r="402" spans="1:31" s="27" customFormat="1" x14ac:dyDescent="0.25">
      <c r="A402"/>
      <c r="B402"/>
      <c r="C402"/>
      <c r="D402"/>
      <c r="E402"/>
      <c r="F402"/>
      <c r="G402"/>
      <c r="H402"/>
      <c r="I402"/>
      <c r="J402"/>
      <c r="L402"/>
      <c r="M402"/>
      <c r="N402"/>
      <c r="O402"/>
      <c r="P402"/>
      <c r="Q402"/>
      <c r="R402"/>
      <c r="S402"/>
      <c r="T402"/>
      <c r="U402"/>
      <c r="V402"/>
      <c r="X402"/>
      <c r="Y402"/>
      <c r="Z402" s="209"/>
      <c r="AD402"/>
      <c r="AE402"/>
    </row>
    <row r="403" spans="1:31" s="27" customFormat="1" x14ac:dyDescent="0.25">
      <c r="A403"/>
      <c r="B403"/>
      <c r="C403"/>
      <c r="D403"/>
      <c r="E403"/>
      <c r="F403"/>
      <c r="G403"/>
      <c r="H403"/>
      <c r="I403"/>
      <c r="J403"/>
      <c r="L403"/>
      <c r="M403"/>
      <c r="N403"/>
      <c r="O403"/>
      <c r="P403"/>
      <c r="Q403"/>
      <c r="R403"/>
      <c r="S403"/>
      <c r="T403"/>
      <c r="U403"/>
      <c r="V403"/>
      <c r="X403"/>
      <c r="Y403"/>
      <c r="Z403" s="209"/>
      <c r="AD403"/>
      <c r="AE403"/>
    </row>
    <row r="404" spans="1:31" s="27" customFormat="1" x14ac:dyDescent="0.25">
      <c r="A404"/>
      <c r="B404"/>
      <c r="C404"/>
      <c r="D404"/>
      <c r="E404"/>
      <c r="F404"/>
      <c r="G404"/>
      <c r="H404"/>
      <c r="I404"/>
      <c r="J404"/>
      <c r="L404"/>
      <c r="M404"/>
      <c r="N404"/>
      <c r="O404"/>
      <c r="P404"/>
      <c r="Q404"/>
      <c r="R404"/>
      <c r="S404"/>
      <c r="T404"/>
      <c r="U404"/>
      <c r="V404"/>
      <c r="X404"/>
      <c r="Y404"/>
      <c r="Z404" s="209"/>
      <c r="AD404"/>
      <c r="AE404"/>
    </row>
    <row r="405" spans="1:31" s="27" customFormat="1" x14ac:dyDescent="0.25">
      <c r="A405"/>
      <c r="B405"/>
      <c r="C405"/>
      <c r="D405"/>
      <c r="E405"/>
      <c r="F405"/>
      <c r="G405"/>
      <c r="H405"/>
      <c r="I405"/>
      <c r="J405"/>
      <c r="L405"/>
      <c r="M405"/>
      <c r="N405"/>
      <c r="O405"/>
      <c r="P405"/>
      <c r="Q405"/>
      <c r="R405"/>
      <c r="S405"/>
      <c r="T405"/>
      <c r="U405"/>
      <c r="V405"/>
      <c r="X405"/>
      <c r="Y405"/>
      <c r="Z405" s="209"/>
      <c r="AD405"/>
      <c r="AE405"/>
    </row>
    <row r="406" spans="1:31" s="27" customFormat="1" x14ac:dyDescent="0.25">
      <c r="A406"/>
      <c r="B406"/>
      <c r="C406"/>
      <c r="D406"/>
      <c r="E406"/>
      <c r="F406"/>
      <c r="G406"/>
      <c r="H406"/>
      <c r="I406"/>
      <c r="J406"/>
      <c r="L406"/>
      <c r="M406"/>
      <c r="N406"/>
      <c r="O406"/>
      <c r="P406"/>
      <c r="Q406"/>
      <c r="R406"/>
      <c r="S406"/>
      <c r="T406"/>
      <c r="U406"/>
      <c r="V406"/>
      <c r="X406"/>
      <c r="Y406"/>
      <c r="Z406" s="209"/>
      <c r="AD406"/>
      <c r="AE406"/>
    </row>
    <row r="407" spans="1:31" s="27" customFormat="1" x14ac:dyDescent="0.25">
      <c r="A407"/>
      <c r="B407"/>
      <c r="C407"/>
      <c r="D407"/>
      <c r="E407"/>
      <c r="F407"/>
      <c r="G407"/>
      <c r="H407"/>
      <c r="I407"/>
      <c r="J407"/>
      <c r="L407"/>
      <c r="M407"/>
      <c r="N407"/>
      <c r="O407"/>
      <c r="P407"/>
      <c r="Q407"/>
      <c r="R407"/>
      <c r="S407"/>
      <c r="T407"/>
      <c r="U407"/>
      <c r="V407"/>
      <c r="X407"/>
      <c r="Y407"/>
      <c r="Z407" s="209"/>
      <c r="AD407"/>
      <c r="AE407"/>
    </row>
    <row r="408" spans="1:31" s="27" customFormat="1" x14ac:dyDescent="0.25">
      <c r="A408"/>
      <c r="B408"/>
      <c r="C408"/>
      <c r="D408"/>
      <c r="E408"/>
      <c r="F408"/>
      <c r="G408"/>
      <c r="H408"/>
      <c r="I408"/>
      <c r="J408"/>
      <c r="L408"/>
      <c r="M408"/>
      <c r="N408"/>
      <c r="O408"/>
      <c r="P408"/>
      <c r="Q408"/>
      <c r="R408"/>
      <c r="S408"/>
      <c r="T408"/>
      <c r="U408"/>
      <c r="V408"/>
      <c r="X408"/>
      <c r="Y408"/>
      <c r="Z408" s="209"/>
      <c r="AD408"/>
      <c r="AE408"/>
    </row>
    <row r="409" spans="1:31" s="27" customFormat="1" x14ac:dyDescent="0.25">
      <c r="A409"/>
      <c r="B409"/>
      <c r="C409"/>
      <c r="D409"/>
      <c r="E409"/>
      <c r="F409"/>
      <c r="G409"/>
      <c r="H409"/>
      <c r="I409"/>
      <c r="J409"/>
      <c r="L409"/>
      <c r="M409"/>
      <c r="N409"/>
      <c r="O409"/>
      <c r="P409"/>
      <c r="Q409"/>
      <c r="R409"/>
      <c r="S409"/>
      <c r="T409"/>
      <c r="U409"/>
      <c r="V409"/>
      <c r="X409"/>
      <c r="Y409"/>
      <c r="Z409" s="209"/>
      <c r="AD409"/>
      <c r="AE409"/>
    </row>
    <row r="410" spans="1:31" s="27" customFormat="1" x14ac:dyDescent="0.25">
      <c r="A410"/>
      <c r="B410"/>
      <c r="C410"/>
      <c r="D410"/>
      <c r="E410"/>
      <c r="F410"/>
      <c r="G410"/>
      <c r="H410"/>
      <c r="I410"/>
      <c r="J410"/>
      <c r="L410"/>
      <c r="M410"/>
      <c r="N410"/>
      <c r="O410"/>
      <c r="P410"/>
      <c r="Q410"/>
      <c r="R410"/>
      <c r="S410"/>
      <c r="T410"/>
      <c r="U410"/>
      <c r="V410"/>
      <c r="X410"/>
      <c r="Y410"/>
      <c r="Z410" s="209"/>
      <c r="AD410"/>
      <c r="AE410"/>
    </row>
    <row r="411" spans="1:31" s="27" customFormat="1" x14ac:dyDescent="0.25">
      <c r="A411"/>
      <c r="B411"/>
      <c r="C411"/>
      <c r="D411"/>
      <c r="E411"/>
      <c r="F411"/>
      <c r="G411"/>
      <c r="H411"/>
      <c r="I411"/>
      <c r="J411"/>
      <c r="L411"/>
      <c r="M411"/>
      <c r="N411"/>
      <c r="O411"/>
      <c r="P411"/>
      <c r="Q411"/>
      <c r="R411"/>
      <c r="S411"/>
      <c r="T411"/>
      <c r="U411"/>
      <c r="V411"/>
      <c r="X411"/>
      <c r="Y411"/>
      <c r="Z411" s="209"/>
      <c r="AD411"/>
      <c r="AE411"/>
    </row>
    <row r="412" spans="1:31" s="27" customFormat="1" x14ac:dyDescent="0.25">
      <c r="A412"/>
      <c r="B412"/>
      <c r="C412"/>
      <c r="D412"/>
      <c r="E412"/>
      <c r="F412"/>
      <c r="G412"/>
      <c r="H412"/>
      <c r="I412"/>
      <c r="J412"/>
      <c r="L412"/>
      <c r="M412"/>
      <c r="N412"/>
      <c r="O412"/>
      <c r="P412"/>
      <c r="Q412"/>
      <c r="R412"/>
      <c r="S412"/>
      <c r="T412"/>
      <c r="U412"/>
      <c r="V412"/>
      <c r="X412"/>
      <c r="Y412"/>
      <c r="Z412" s="209"/>
      <c r="AD412"/>
      <c r="AE412"/>
    </row>
    <row r="413" spans="1:31" s="27" customFormat="1" x14ac:dyDescent="0.25">
      <c r="A413"/>
      <c r="B413"/>
      <c r="C413"/>
      <c r="D413"/>
      <c r="E413"/>
      <c r="F413"/>
      <c r="G413"/>
      <c r="H413"/>
      <c r="I413"/>
      <c r="J413"/>
      <c r="L413"/>
      <c r="M413"/>
      <c r="N413"/>
      <c r="O413"/>
      <c r="P413"/>
      <c r="Q413"/>
      <c r="R413"/>
      <c r="S413"/>
      <c r="T413"/>
      <c r="U413"/>
      <c r="V413"/>
      <c r="X413"/>
      <c r="Y413"/>
      <c r="Z413" s="209"/>
      <c r="AD413"/>
      <c r="AE413"/>
    </row>
    <row r="414" spans="1:31" s="27" customFormat="1" x14ac:dyDescent="0.25">
      <c r="A414"/>
      <c r="B414"/>
      <c r="C414"/>
      <c r="D414"/>
      <c r="E414"/>
      <c r="F414"/>
      <c r="G414"/>
      <c r="H414"/>
      <c r="I414"/>
      <c r="J414"/>
      <c r="L414"/>
      <c r="M414"/>
      <c r="N414"/>
      <c r="O414"/>
      <c r="P414"/>
      <c r="Q414"/>
      <c r="R414"/>
      <c r="S414"/>
      <c r="T414"/>
      <c r="U414"/>
      <c r="V414"/>
      <c r="X414"/>
      <c r="Y414"/>
      <c r="Z414" s="209"/>
      <c r="AD414"/>
      <c r="AE414"/>
    </row>
    <row r="415" spans="1:31" s="27" customFormat="1" x14ac:dyDescent="0.25">
      <c r="A415"/>
      <c r="B415"/>
      <c r="C415"/>
      <c r="D415"/>
      <c r="E415"/>
      <c r="F415"/>
      <c r="G415"/>
      <c r="H415"/>
      <c r="I415"/>
      <c r="J415"/>
      <c r="L415"/>
      <c r="M415"/>
      <c r="N415"/>
      <c r="O415"/>
      <c r="P415"/>
      <c r="Q415"/>
      <c r="R415"/>
      <c r="S415"/>
      <c r="T415"/>
      <c r="U415"/>
      <c r="V415"/>
      <c r="X415"/>
      <c r="Y415"/>
      <c r="Z415" s="209"/>
      <c r="AD415"/>
      <c r="AE415"/>
    </row>
    <row r="416" spans="1:31" s="27" customFormat="1" x14ac:dyDescent="0.25">
      <c r="A416"/>
      <c r="B416"/>
      <c r="C416"/>
      <c r="D416"/>
      <c r="E416"/>
      <c r="F416"/>
      <c r="G416"/>
      <c r="H416"/>
      <c r="I416"/>
      <c r="J416"/>
      <c r="L416"/>
      <c r="M416"/>
      <c r="N416"/>
      <c r="O416"/>
      <c r="P416"/>
      <c r="Q416"/>
      <c r="R416"/>
      <c r="S416"/>
      <c r="T416"/>
      <c r="U416"/>
      <c r="V416"/>
      <c r="X416"/>
      <c r="Y416"/>
      <c r="Z416" s="209"/>
      <c r="AD416"/>
      <c r="AE416"/>
    </row>
    <row r="417" spans="1:31" s="27" customFormat="1" x14ac:dyDescent="0.25">
      <c r="A417"/>
      <c r="B417"/>
      <c r="C417"/>
      <c r="D417"/>
      <c r="E417"/>
      <c r="F417"/>
      <c r="G417"/>
      <c r="H417"/>
      <c r="I417"/>
      <c r="J417"/>
      <c r="L417"/>
      <c r="M417"/>
      <c r="N417"/>
      <c r="O417"/>
      <c r="P417"/>
      <c r="Q417"/>
      <c r="R417"/>
      <c r="S417"/>
      <c r="T417"/>
      <c r="U417"/>
      <c r="V417"/>
      <c r="X417"/>
      <c r="Y417"/>
      <c r="Z417" s="209"/>
      <c r="AD417"/>
      <c r="AE417"/>
    </row>
    <row r="418" spans="1:31" s="27" customFormat="1" x14ac:dyDescent="0.25">
      <c r="A418"/>
      <c r="B418"/>
      <c r="C418"/>
      <c r="D418"/>
      <c r="E418"/>
      <c r="F418"/>
      <c r="G418"/>
      <c r="H418"/>
      <c r="I418"/>
      <c r="J418"/>
      <c r="L418"/>
      <c r="M418"/>
      <c r="N418"/>
      <c r="O418"/>
      <c r="P418"/>
      <c r="Q418"/>
      <c r="R418"/>
      <c r="S418"/>
      <c r="T418"/>
      <c r="U418"/>
      <c r="V418"/>
      <c r="X418"/>
      <c r="Y418"/>
      <c r="Z418" s="209"/>
      <c r="AD418"/>
      <c r="AE418"/>
    </row>
    <row r="419" spans="1:31" s="27" customFormat="1" x14ac:dyDescent="0.25">
      <c r="A419"/>
      <c r="B419"/>
      <c r="C419"/>
      <c r="D419"/>
      <c r="E419"/>
      <c r="F419"/>
      <c r="G419"/>
      <c r="H419"/>
      <c r="I419"/>
      <c r="J419"/>
      <c r="L419"/>
      <c r="M419"/>
      <c r="N419"/>
      <c r="O419"/>
      <c r="P419"/>
      <c r="Q419"/>
      <c r="R419"/>
      <c r="S419"/>
      <c r="T419"/>
      <c r="U419"/>
      <c r="V419"/>
      <c r="X419"/>
      <c r="Y419"/>
      <c r="Z419" s="209"/>
      <c r="AD419"/>
      <c r="AE419"/>
    </row>
    <row r="420" spans="1:31" s="27" customFormat="1" x14ac:dyDescent="0.25">
      <c r="A420"/>
      <c r="B420"/>
      <c r="C420"/>
      <c r="D420"/>
      <c r="E420"/>
      <c r="F420"/>
      <c r="G420"/>
      <c r="H420"/>
      <c r="I420"/>
      <c r="J420"/>
      <c r="L420"/>
      <c r="M420"/>
      <c r="N420"/>
      <c r="O420"/>
      <c r="P420"/>
      <c r="Q420"/>
      <c r="R420"/>
      <c r="S420"/>
      <c r="T420"/>
      <c r="U420"/>
      <c r="V420"/>
      <c r="X420"/>
      <c r="Y420"/>
      <c r="Z420" s="209"/>
      <c r="AD420"/>
      <c r="AE420"/>
    </row>
    <row r="421" spans="1:31" s="27" customFormat="1" x14ac:dyDescent="0.25">
      <c r="A421"/>
      <c r="B421"/>
      <c r="C421"/>
      <c r="D421"/>
      <c r="E421"/>
      <c r="F421"/>
      <c r="G421"/>
      <c r="H421"/>
      <c r="I421"/>
      <c r="J421"/>
      <c r="L421"/>
      <c r="M421"/>
      <c r="N421"/>
      <c r="O421"/>
      <c r="P421"/>
      <c r="Q421"/>
      <c r="R421"/>
      <c r="S421"/>
      <c r="T421"/>
      <c r="U421"/>
      <c r="V421"/>
      <c r="X421"/>
      <c r="Y421"/>
      <c r="Z421" s="209"/>
      <c r="AD421"/>
      <c r="AE421"/>
    </row>
    <row r="422" spans="1:31" s="27" customFormat="1" x14ac:dyDescent="0.25">
      <c r="A422"/>
      <c r="B422"/>
      <c r="C422"/>
      <c r="D422"/>
      <c r="E422"/>
      <c r="F422"/>
      <c r="G422"/>
      <c r="H422"/>
      <c r="I422"/>
      <c r="J422"/>
      <c r="L422"/>
      <c r="M422"/>
      <c r="N422"/>
      <c r="O422"/>
      <c r="P422"/>
      <c r="Q422"/>
      <c r="R422"/>
      <c r="S422"/>
      <c r="T422"/>
      <c r="U422"/>
      <c r="V422"/>
      <c r="X422"/>
      <c r="Y422"/>
      <c r="Z422" s="209"/>
      <c r="AD422"/>
      <c r="AE422"/>
    </row>
    <row r="423" spans="1:31" s="27" customFormat="1" x14ac:dyDescent="0.25">
      <c r="A423"/>
      <c r="B423"/>
      <c r="C423"/>
      <c r="D423"/>
      <c r="E423"/>
      <c r="F423"/>
      <c r="G423"/>
      <c r="H423"/>
      <c r="I423"/>
      <c r="J423"/>
      <c r="L423"/>
      <c r="M423"/>
      <c r="N423"/>
      <c r="O423"/>
      <c r="P423"/>
      <c r="Q423"/>
      <c r="R423"/>
      <c r="S423"/>
      <c r="T423"/>
      <c r="U423"/>
      <c r="V423"/>
      <c r="X423"/>
      <c r="Y423"/>
      <c r="Z423" s="209"/>
      <c r="AD423"/>
      <c r="AE423"/>
    </row>
    <row r="424" spans="1:31" s="27" customFormat="1" x14ac:dyDescent="0.25">
      <c r="A424"/>
      <c r="B424"/>
      <c r="C424"/>
      <c r="D424"/>
      <c r="E424"/>
      <c r="F424"/>
      <c r="G424"/>
      <c r="H424"/>
      <c r="I424"/>
      <c r="J424"/>
      <c r="L424"/>
      <c r="M424"/>
      <c r="N424"/>
      <c r="O424"/>
      <c r="P424"/>
      <c r="Q424"/>
      <c r="R424"/>
      <c r="S424"/>
      <c r="T424"/>
      <c r="U424"/>
      <c r="V424"/>
      <c r="X424"/>
      <c r="Y424"/>
      <c r="Z424" s="209"/>
      <c r="AD424"/>
      <c r="AE424"/>
    </row>
    <row r="425" spans="1:31" s="27" customFormat="1" x14ac:dyDescent="0.25">
      <c r="A425"/>
      <c r="B425"/>
      <c r="C425"/>
      <c r="D425"/>
      <c r="E425"/>
      <c r="F425"/>
      <c r="G425"/>
      <c r="H425"/>
      <c r="I425"/>
      <c r="J425"/>
      <c r="L425"/>
      <c r="M425"/>
      <c r="N425"/>
      <c r="O425"/>
      <c r="P425"/>
      <c r="Q425"/>
      <c r="R425"/>
      <c r="S425"/>
      <c r="T425"/>
      <c r="U425"/>
      <c r="V425"/>
      <c r="X425"/>
      <c r="Y425"/>
      <c r="Z425" s="209"/>
      <c r="AD425"/>
      <c r="AE425"/>
    </row>
    <row r="426" spans="1:31" s="27" customFormat="1" x14ac:dyDescent="0.25">
      <c r="A426"/>
      <c r="B426"/>
      <c r="C426"/>
      <c r="D426"/>
      <c r="E426"/>
      <c r="F426"/>
      <c r="G426"/>
      <c r="H426"/>
      <c r="I426"/>
      <c r="J426"/>
      <c r="L426"/>
      <c r="M426"/>
      <c r="N426"/>
      <c r="O426"/>
      <c r="P426"/>
      <c r="Q426"/>
      <c r="R426"/>
      <c r="S426"/>
      <c r="T426"/>
      <c r="U426"/>
      <c r="V426"/>
      <c r="X426"/>
      <c r="Y426"/>
      <c r="Z426" s="209"/>
      <c r="AD426"/>
      <c r="AE426"/>
    </row>
    <row r="427" spans="1:31" s="27" customFormat="1" x14ac:dyDescent="0.25">
      <c r="A427"/>
      <c r="B427"/>
      <c r="C427"/>
      <c r="D427"/>
      <c r="E427"/>
      <c r="F427"/>
      <c r="G427"/>
      <c r="H427"/>
      <c r="I427"/>
      <c r="J427"/>
      <c r="L427"/>
      <c r="M427"/>
      <c r="N427"/>
      <c r="O427"/>
      <c r="P427"/>
      <c r="Q427"/>
      <c r="R427"/>
      <c r="S427"/>
      <c r="T427"/>
      <c r="U427"/>
      <c r="V427"/>
      <c r="X427"/>
      <c r="Y427"/>
      <c r="Z427" s="209"/>
      <c r="AD427"/>
      <c r="AE427"/>
    </row>
    <row r="428" spans="1:31" s="27" customFormat="1" x14ac:dyDescent="0.25">
      <c r="A428"/>
      <c r="B428"/>
      <c r="C428"/>
      <c r="D428"/>
      <c r="E428"/>
      <c r="F428"/>
      <c r="G428"/>
      <c r="H428"/>
      <c r="I428"/>
      <c r="J428"/>
      <c r="L428"/>
      <c r="M428"/>
      <c r="N428"/>
      <c r="O428"/>
      <c r="P428"/>
      <c r="Q428"/>
      <c r="R428"/>
      <c r="S428"/>
      <c r="T428"/>
      <c r="U428"/>
      <c r="V428"/>
      <c r="X428"/>
      <c r="Y428"/>
      <c r="Z428" s="209"/>
      <c r="AD428"/>
      <c r="AE428"/>
    </row>
    <row r="429" spans="1:31" s="27" customFormat="1" x14ac:dyDescent="0.25">
      <c r="A429"/>
      <c r="B429"/>
      <c r="C429"/>
      <c r="D429"/>
      <c r="E429"/>
      <c r="F429"/>
      <c r="G429"/>
      <c r="H429"/>
      <c r="I429"/>
      <c r="J429"/>
      <c r="L429"/>
      <c r="M429"/>
      <c r="N429"/>
      <c r="O429"/>
      <c r="P429"/>
      <c r="Q429"/>
      <c r="R429"/>
      <c r="S429"/>
      <c r="T429"/>
      <c r="U429"/>
      <c r="V429"/>
      <c r="X429"/>
      <c r="Y429"/>
      <c r="Z429" s="209"/>
      <c r="AD429"/>
      <c r="AE429"/>
    </row>
    <row r="430" spans="1:31" s="27" customFormat="1" x14ac:dyDescent="0.25">
      <c r="A430"/>
      <c r="B430"/>
      <c r="C430"/>
      <c r="D430"/>
      <c r="E430"/>
      <c r="F430"/>
      <c r="G430"/>
      <c r="H430"/>
      <c r="I430"/>
      <c r="J430"/>
      <c r="L430"/>
      <c r="M430"/>
      <c r="N430"/>
      <c r="O430"/>
      <c r="P430"/>
      <c r="Q430"/>
      <c r="R430"/>
      <c r="S430"/>
      <c r="T430"/>
      <c r="U430"/>
      <c r="V430"/>
      <c r="X430"/>
      <c r="Y430"/>
      <c r="Z430" s="209"/>
      <c r="AD430"/>
      <c r="AE430"/>
    </row>
    <row r="431" spans="1:31" s="27" customFormat="1" x14ac:dyDescent="0.25">
      <c r="A431"/>
      <c r="B431"/>
      <c r="C431"/>
      <c r="D431"/>
      <c r="E431"/>
      <c r="F431"/>
      <c r="G431"/>
      <c r="H431"/>
      <c r="I431"/>
      <c r="J431"/>
      <c r="L431"/>
      <c r="M431"/>
      <c r="N431"/>
      <c r="O431"/>
      <c r="P431"/>
      <c r="Q431"/>
      <c r="R431"/>
      <c r="S431"/>
      <c r="T431"/>
      <c r="U431"/>
      <c r="V431"/>
      <c r="X431"/>
      <c r="Y431"/>
      <c r="Z431" s="209"/>
      <c r="AD431"/>
      <c r="AE431"/>
    </row>
    <row r="432" spans="1:31" s="27" customFormat="1" x14ac:dyDescent="0.25">
      <c r="A432"/>
      <c r="B432"/>
      <c r="C432"/>
      <c r="D432"/>
      <c r="E432"/>
      <c r="F432"/>
      <c r="G432"/>
      <c r="H432"/>
      <c r="I432"/>
      <c r="J432"/>
      <c r="L432"/>
      <c r="M432"/>
      <c r="N432"/>
      <c r="O432"/>
      <c r="P432"/>
      <c r="Q432"/>
      <c r="R432"/>
      <c r="S432"/>
      <c r="T432"/>
      <c r="U432"/>
      <c r="V432"/>
      <c r="X432"/>
      <c r="Y432"/>
      <c r="Z432" s="209"/>
      <c r="AD432"/>
      <c r="AE432"/>
    </row>
    <row r="433" spans="1:31" s="27" customFormat="1" x14ac:dyDescent="0.25">
      <c r="A433"/>
      <c r="B433"/>
      <c r="C433"/>
      <c r="D433"/>
      <c r="E433"/>
      <c r="F433"/>
      <c r="G433"/>
      <c r="H433"/>
      <c r="I433"/>
      <c r="J433"/>
      <c r="L433"/>
      <c r="M433"/>
      <c r="N433"/>
      <c r="O433"/>
      <c r="P433"/>
      <c r="Q433"/>
      <c r="R433"/>
      <c r="S433"/>
      <c r="T433"/>
      <c r="U433"/>
      <c r="V433"/>
      <c r="X433"/>
      <c r="Y433"/>
      <c r="Z433" s="209"/>
      <c r="AD433"/>
      <c r="AE433"/>
    </row>
    <row r="434" spans="1:31" s="27" customFormat="1" x14ac:dyDescent="0.25">
      <c r="A434"/>
      <c r="B434"/>
      <c r="C434"/>
      <c r="D434"/>
      <c r="E434"/>
      <c r="F434"/>
      <c r="G434"/>
      <c r="H434"/>
      <c r="I434"/>
      <c r="J434"/>
      <c r="L434"/>
      <c r="M434"/>
      <c r="N434"/>
      <c r="O434"/>
      <c r="P434"/>
      <c r="Q434"/>
      <c r="R434"/>
      <c r="S434"/>
      <c r="T434"/>
      <c r="U434"/>
      <c r="V434"/>
      <c r="X434"/>
      <c r="Y434"/>
      <c r="Z434" s="209"/>
      <c r="AD434"/>
      <c r="AE434"/>
    </row>
    <row r="435" spans="1:31" s="27" customFormat="1" x14ac:dyDescent="0.25">
      <c r="A435"/>
      <c r="B435"/>
      <c r="C435"/>
      <c r="D435"/>
      <c r="E435"/>
      <c r="F435"/>
      <c r="G435"/>
      <c r="H435"/>
      <c r="I435"/>
      <c r="J435"/>
      <c r="L435"/>
      <c r="M435"/>
      <c r="N435"/>
      <c r="O435"/>
      <c r="P435"/>
      <c r="Q435"/>
      <c r="R435"/>
      <c r="S435"/>
      <c r="T435"/>
      <c r="U435"/>
      <c r="V435"/>
      <c r="X435"/>
      <c r="Y435"/>
      <c r="Z435" s="209"/>
      <c r="AD435"/>
      <c r="AE435"/>
    </row>
    <row r="436" spans="1:31" s="27" customFormat="1" x14ac:dyDescent="0.25">
      <c r="A436"/>
      <c r="B436"/>
      <c r="C436"/>
      <c r="D436"/>
      <c r="E436"/>
      <c r="F436"/>
      <c r="G436"/>
      <c r="H436"/>
      <c r="I436"/>
      <c r="J436"/>
      <c r="L436"/>
      <c r="M436"/>
      <c r="N436"/>
      <c r="O436"/>
      <c r="P436"/>
      <c r="Q436"/>
      <c r="R436"/>
      <c r="S436"/>
      <c r="T436"/>
      <c r="U436"/>
      <c r="V436"/>
      <c r="X436"/>
      <c r="Y436"/>
      <c r="Z436" s="209"/>
      <c r="AD436"/>
      <c r="AE436"/>
    </row>
    <row r="437" spans="1:31" s="27" customFormat="1" x14ac:dyDescent="0.25">
      <c r="A437"/>
      <c r="B437"/>
      <c r="C437"/>
      <c r="D437"/>
      <c r="E437"/>
      <c r="F437"/>
      <c r="G437"/>
      <c r="H437"/>
      <c r="I437"/>
      <c r="J437"/>
      <c r="L437"/>
      <c r="M437"/>
      <c r="N437"/>
      <c r="O437"/>
      <c r="P437"/>
      <c r="Q437"/>
      <c r="R437"/>
      <c r="S437"/>
      <c r="T437"/>
      <c r="U437"/>
      <c r="V437"/>
      <c r="X437"/>
      <c r="Y437"/>
      <c r="Z437" s="209"/>
      <c r="AD437"/>
      <c r="AE437"/>
    </row>
    <row r="438" spans="1:31" s="27" customFormat="1" x14ac:dyDescent="0.25">
      <c r="A438"/>
      <c r="B438"/>
      <c r="C438"/>
      <c r="D438"/>
      <c r="E438"/>
      <c r="F438"/>
      <c r="G438"/>
      <c r="H438"/>
      <c r="I438"/>
      <c r="J438"/>
      <c r="L438"/>
      <c r="M438"/>
      <c r="N438"/>
      <c r="O438"/>
      <c r="P438"/>
      <c r="Q438"/>
      <c r="R438"/>
      <c r="S438"/>
      <c r="T438"/>
      <c r="U438"/>
      <c r="V438"/>
      <c r="X438"/>
      <c r="Y438"/>
      <c r="Z438" s="209"/>
      <c r="AD438"/>
      <c r="AE438"/>
    </row>
    <row r="439" spans="1:31" s="27" customFormat="1" x14ac:dyDescent="0.25">
      <c r="A439"/>
      <c r="B439"/>
      <c r="C439"/>
      <c r="D439"/>
      <c r="E439"/>
      <c r="F439"/>
      <c r="G439"/>
      <c r="H439"/>
      <c r="I439"/>
      <c r="J439"/>
      <c r="L439"/>
      <c r="M439"/>
      <c r="N439"/>
      <c r="O439"/>
      <c r="P439"/>
      <c r="Q439"/>
      <c r="R439"/>
      <c r="S439"/>
      <c r="T439"/>
      <c r="U439"/>
      <c r="V439"/>
      <c r="X439"/>
      <c r="Y439"/>
      <c r="Z439" s="209"/>
      <c r="AD439"/>
      <c r="AE439"/>
    </row>
    <row r="440" spans="1:31" s="27" customFormat="1" x14ac:dyDescent="0.25">
      <c r="A440"/>
      <c r="B440"/>
      <c r="C440"/>
      <c r="D440"/>
      <c r="E440"/>
      <c r="F440"/>
      <c r="G440"/>
      <c r="H440"/>
      <c r="I440"/>
      <c r="J440"/>
      <c r="L440"/>
      <c r="M440"/>
      <c r="N440"/>
      <c r="O440"/>
      <c r="P440"/>
      <c r="Q440"/>
      <c r="R440"/>
      <c r="S440"/>
      <c r="T440"/>
      <c r="U440"/>
      <c r="V440"/>
      <c r="X440"/>
      <c r="Y440"/>
      <c r="Z440" s="209"/>
      <c r="AD440"/>
      <c r="AE440"/>
    </row>
    <row r="441" spans="1:31" s="27" customFormat="1" x14ac:dyDescent="0.25">
      <c r="A441"/>
      <c r="B441"/>
      <c r="C441"/>
      <c r="D441"/>
      <c r="E441"/>
      <c r="F441"/>
      <c r="G441"/>
      <c r="H441"/>
      <c r="I441"/>
      <c r="J441"/>
      <c r="L441"/>
      <c r="M441"/>
      <c r="N441"/>
      <c r="O441"/>
      <c r="P441"/>
      <c r="Q441"/>
      <c r="R441"/>
      <c r="S441"/>
      <c r="T441"/>
      <c r="U441"/>
      <c r="V441"/>
      <c r="X441"/>
      <c r="Y441"/>
      <c r="Z441" s="209"/>
      <c r="AD441"/>
      <c r="AE441"/>
    </row>
    <row r="442" spans="1:31" s="27" customFormat="1" x14ac:dyDescent="0.25">
      <c r="A442"/>
      <c r="B442"/>
      <c r="C442"/>
      <c r="D442"/>
      <c r="E442"/>
      <c r="F442"/>
      <c r="G442"/>
      <c r="H442"/>
      <c r="I442"/>
      <c r="J442"/>
      <c r="L442"/>
      <c r="M442"/>
      <c r="N442"/>
      <c r="O442"/>
      <c r="P442"/>
      <c r="Q442"/>
      <c r="R442"/>
      <c r="S442"/>
      <c r="T442"/>
      <c r="U442"/>
      <c r="V442"/>
      <c r="X442"/>
      <c r="Y442"/>
      <c r="Z442" s="209"/>
      <c r="AD442"/>
      <c r="AE442"/>
    </row>
    <row r="443" spans="1:31" s="27" customFormat="1" x14ac:dyDescent="0.25">
      <c r="A443"/>
      <c r="B443"/>
      <c r="C443"/>
      <c r="D443"/>
      <c r="E443"/>
      <c r="F443"/>
      <c r="G443"/>
      <c r="H443"/>
      <c r="I443"/>
      <c r="J443"/>
      <c r="L443"/>
      <c r="M443"/>
      <c r="N443"/>
      <c r="O443"/>
      <c r="P443"/>
      <c r="Q443"/>
      <c r="R443"/>
      <c r="S443"/>
      <c r="T443"/>
      <c r="U443"/>
      <c r="V443"/>
      <c r="X443"/>
      <c r="Y443"/>
      <c r="Z443" s="209"/>
      <c r="AD443"/>
      <c r="AE443"/>
    </row>
    <row r="444" spans="1:31" s="27" customFormat="1" x14ac:dyDescent="0.25">
      <c r="A444"/>
      <c r="B444"/>
      <c r="C444"/>
      <c r="D444"/>
      <c r="E444"/>
      <c r="F444"/>
      <c r="G444"/>
      <c r="H444"/>
      <c r="I444"/>
      <c r="J444"/>
      <c r="L444"/>
      <c r="M444"/>
      <c r="N444"/>
      <c r="O444"/>
      <c r="P444"/>
      <c r="Q444"/>
      <c r="R444"/>
      <c r="S444"/>
      <c r="T444"/>
      <c r="U444"/>
      <c r="V444"/>
      <c r="X444"/>
      <c r="Y444"/>
      <c r="Z444" s="209"/>
      <c r="AD444"/>
      <c r="AE444"/>
    </row>
    <row r="445" spans="1:31" s="27" customFormat="1" x14ac:dyDescent="0.25">
      <c r="A445"/>
      <c r="B445"/>
      <c r="C445"/>
      <c r="D445"/>
      <c r="E445"/>
      <c r="F445"/>
      <c r="G445"/>
      <c r="H445"/>
      <c r="I445"/>
      <c r="J445"/>
      <c r="L445"/>
      <c r="M445"/>
      <c r="N445"/>
      <c r="O445"/>
      <c r="P445"/>
      <c r="Q445"/>
      <c r="R445"/>
      <c r="S445"/>
      <c r="T445"/>
      <c r="U445"/>
      <c r="V445"/>
      <c r="X445"/>
      <c r="Y445"/>
      <c r="Z445" s="209"/>
      <c r="AD445"/>
      <c r="AE445"/>
    </row>
    <row r="446" spans="1:31" s="27" customFormat="1" x14ac:dyDescent="0.25">
      <c r="A446"/>
      <c r="B446"/>
      <c r="C446"/>
      <c r="D446"/>
      <c r="E446"/>
      <c r="F446"/>
      <c r="G446"/>
      <c r="H446"/>
      <c r="I446"/>
      <c r="J446"/>
      <c r="L446"/>
      <c r="M446"/>
      <c r="N446"/>
      <c r="O446"/>
      <c r="P446"/>
      <c r="Q446"/>
      <c r="R446"/>
      <c r="S446"/>
      <c r="T446"/>
      <c r="U446"/>
      <c r="V446"/>
      <c r="X446"/>
      <c r="Y446"/>
      <c r="Z446" s="209"/>
      <c r="AD446"/>
      <c r="AE446"/>
    </row>
    <row r="447" spans="1:31" s="27" customFormat="1" x14ac:dyDescent="0.25">
      <c r="A447"/>
      <c r="B447"/>
      <c r="C447"/>
      <c r="D447"/>
      <c r="E447"/>
      <c r="F447"/>
      <c r="G447"/>
      <c r="H447"/>
      <c r="I447"/>
      <c r="J447"/>
      <c r="L447"/>
      <c r="M447"/>
      <c r="N447"/>
      <c r="O447"/>
      <c r="P447"/>
      <c r="Q447"/>
      <c r="R447"/>
      <c r="S447"/>
      <c r="T447"/>
      <c r="U447"/>
      <c r="V447"/>
      <c r="X447"/>
      <c r="Y447"/>
      <c r="Z447" s="209"/>
      <c r="AD447"/>
      <c r="AE447"/>
    </row>
    <row r="448" spans="1:31" s="27" customFormat="1" x14ac:dyDescent="0.25">
      <c r="A448"/>
      <c r="B448"/>
      <c r="C448"/>
      <c r="D448"/>
      <c r="E448"/>
      <c r="F448"/>
      <c r="G448"/>
      <c r="H448"/>
      <c r="I448"/>
      <c r="J448"/>
      <c r="L448"/>
      <c r="M448"/>
      <c r="N448"/>
      <c r="O448"/>
      <c r="P448"/>
      <c r="Q448"/>
      <c r="R448"/>
      <c r="S448"/>
      <c r="T448"/>
      <c r="U448"/>
      <c r="V448"/>
      <c r="X448"/>
      <c r="Y448"/>
      <c r="Z448" s="209"/>
      <c r="AD448"/>
      <c r="AE448"/>
    </row>
    <row r="449" spans="1:31" s="27" customFormat="1" x14ac:dyDescent="0.25">
      <c r="A449"/>
      <c r="B449"/>
      <c r="C449"/>
      <c r="D449"/>
      <c r="E449"/>
      <c r="F449"/>
      <c r="G449"/>
      <c r="H449"/>
      <c r="I449"/>
      <c r="J449"/>
      <c r="L449"/>
      <c r="M449"/>
      <c r="N449"/>
      <c r="O449"/>
      <c r="P449"/>
      <c r="Q449"/>
      <c r="R449"/>
      <c r="S449"/>
      <c r="T449"/>
      <c r="U449"/>
      <c r="V449"/>
      <c r="X449"/>
      <c r="Y449"/>
      <c r="Z449" s="209"/>
      <c r="AD449"/>
      <c r="AE449"/>
    </row>
    <row r="450" spans="1:31" s="27" customFormat="1" x14ac:dyDescent="0.25">
      <c r="A450"/>
      <c r="B450"/>
      <c r="C450"/>
      <c r="D450"/>
      <c r="E450"/>
      <c r="F450"/>
      <c r="G450"/>
      <c r="H450"/>
      <c r="I450"/>
      <c r="J450"/>
      <c r="L450"/>
      <c r="M450"/>
      <c r="N450"/>
      <c r="O450"/>
      <c r="P450"/>
      <c r="Q450"/>
      <c r="R450"/>
      <c r="S450"/>
      <c r="T450"/>
      <c r="U450"/>
      <c r="V450"/>
      <c r="X450"/>
      <c r="Y450"/>
      <c r="Z450" s="209"/>
      <c r="AD450"/>
      <c r="AE450"/>
    </row>
    <row r="451" spans="1:31" s="27" customFormat="1" x14ac:dyDescent="0.25">
      <c r="A451"/>
      <c r="B451"/>
      <c r="C451"/>
      <c r="D451"/>
      <c r="E451"/>
      <c r="F451"/>
      <c r="G451"/>
      <c r="H451"/>
      <c r="I451"/>
      <c r="J451"/>
      <c r="L451"/>
      <c r="M451"/>
      <c r="N451"/>
      <c r="O451"/>
      <c r="P451"/>
      <c r="Q451"/>
      <c r="R451"/>
      <c r="S451"/>
      <c r="T451"/>
      <c r="U451"/>
      <c r="V451"/>
      <c r="X451"/>
      <c r="Y451"/>
      <c r="Z451" s="209"/>
      <c r="AD451"/>
      <c r="AE451"/>
    </row>
    <row r="452" spans="1:31" s="27" customFormat="1" x14ac:dyDescent="0.25">
      <c r="A452"/>
      <c r="B452"/>
      <c r="C452"/>
      <c r="D452"/>
      <c r="E452"/>
      <c r="F452"/>
      <c r="G452"/>
      <c r="H452"/>
      <c r="I452"/>
      <c r="J452"/>
      <c r="L452"/>
      <c r="M452"/>
      <c r="N452"/>
      <c r="O452"/>
      <c r="P452"/>
      <c r="Q452"/>
      <c r="R452"/>
      <c r="S452"/>
      <c r="T452"/>
      <c r="U452"/>
      <c r="V452"/>
      <c r="X452"/>
      <c r="Y452"/>
      <c r="Z452" s="209"/>
      <c r="AD452"/>
      <c r="AE452"/>
    </row>
    <row r="453" spans="1:31" s="27" customFormat="1" x14ac:dyDescent="0.25">
      <c r="A453"/>
      <c r="B453"/>
      <c r="C453"/>
      <c r="D453"/>
      <c r="E453"/>
      <c r="F453"/>
      <c r="G453"/>
      <c r="H453"/>
      <c r="I453"/>
      <c r="J453"/>
      <c r="L453"/>
      <c r="M453"/>
      <c r="N453"/>
      <c r="O453"/>
      <c r="P453"/>
      <c r="Q453"/>
      <c r="R453"/>
      <c r="S453"/>
      <c r="T453"/>
      <c r="U453"/>
      <c r="V453"/>
      <c r="X453"/>
      <c r="Y453"/>
      <c r="Z453" s="209"/>
      <c r="AD453"/>
      <c r="AE453"/>
    </row>
    <row r="454" spans="1:31" s="27" customFormat="1" x14ac:dyDescent="0.25">
      <c r="A454"/>
      <c r="B454"/>
      <c r="C454"/>
      <c r="D454"/>
      <c r="E454"/>
      <c r="F454"/>
      <c r="G454"/>
      <c r="H454"/>
      <c r="I454"/>
      <c r="J454"/>
      <c r="L454"/>
      <c r="M454"/>
      <c r="N454"/>
      <c r="O454"/>
      <c r="P454"/>
      <c r="Q454"/>
      <c r="R454"/>
      <c r="S454"/>
      <c r="T454"/>
      <c r="U454"/>
      <c r="V454"/>
      <c r="X454"/>
      <c r="Y454"/>
      <c r="Z454" s="209"/>
      <c r="AD454"/>
      <c r="AE454"/>
    </row>
    <row r="455" spans="1:31" s="27" customFormat="1" x14ac:dyDescent="0.25">
      <c r="A455"/>
      <c r="B455"/>
      <c r="C455"/>
      <c r="D455"/>
      <c r="E455"/>
      <c r="F455"/>
      <c r="G455"/>
      <c r="H455"/>
      <c r="I455"/>
      <c r="J455"/>
      <c r="L455"/>
      <c r="M455"/>
      <c r="N455"/>
      <c r="O455"/>
      <c r="P455"/>
      <c r="Q455"/>
      <c r="R455"/>
      <c r="S455"/>
      <c r="T455"/>
      <c r="U455"/>
      <c r="V455"/>
      <c r="X455"/>
      <c r="Y455"/>
      <c r="Z455" s="209"/>
      <c r="AD455"/>
      <c r="AE455"/>
    </row>
    <row r="456" spans="1:31" s="27" customFormat="1" x14ac:dyDescent="0.25">
      <c r="A456"/>
      <c r="B456"/>
      <c r="C456"/>
      <c r="D456"/>
      <c r="E456"/>
      <c r="F456"/>
      <c r="G456"/>
      <c r="H456"/>
      <c r="I456"/>
      <c r="J456"/>
      <c r="L456"/>
      <c r="M456"/>
      <c r="N456"/>
      <c r="O456"/>
      <c r="P456"/>
      <c r="Q456"/>
      <c r="R456"/>
      <c r="S456"/>
      <c r="T456"/>
      <c r="U456"/>
      <c r="V456"/>
      <c r="X456"/>
      <c r="Y456"/>
      <c r="Z456" s="209"/>
      <c r="AD456"/>
      <c r="AE456"/>
    </row>
    <row r="457" spans="1:31" s="27" customFormat="1" x14ac:dyDescent="0.25">
      <c r="A457"/>
      <c r="B457"/>
      <c r="C457"/>
      <c r="D457"/>
      <c r="E457"/>
      <c r="F457"/>
      <c r="G457"/>
      <c r="H457"/>
      <c r="I457"/>
      <c r="J457"/>
      <c r="L457"/>
      <c r="M457"/>
      <c r="N457"/>
      <c r="O457"/>
      <c r="P457"/>
      <c r="Q457"/>
      <c r="R457"/>
      <c r="S457"/>
      <c r="T457"/>
      <c r="U457"/>
      <c r="V457"/>
      <c r="X457"/>
      <c r="Y457"/>
      <c r="Z457" s="209"/>
      <c r="AD457"/>
      <c r="AE457"/>
    </row>
    <row r="458" spans="1:31" s="27" customFormat="1" x14ac:dyDescent="0.25">
      <c r="A458"/>
      <c r="B458"/>
      <c r="C458"/>
      <c r="D458"/>
      <c r="E458"/>
      <c r="F458"/>
      <c r="G458"/>
      <c r="H458"/>
      <c r="I458"/>
      <c r="J458"/>
      <c r="L458"/>
      <c r="M458"/>
      <c r="N458"/>
      <c r="O458"/>
      <c r="P458"/>
      <c r="Q458"/>
      <c r="R458"/>
      <c r="S458"/>
      <c r="T458"/>
      <c r="U458"/>
      <c r="V458"/>
      <c r="X458"/>
      <c r="Y458"/>
      <c r="Z458" s="209"/>
      <c r="AD458"/>
      <c r="AE458"/>
    </row>
    <row r="459" spans="1:31" s="27" customFormat="1" x14ac:dyDescent="0.25">
      <c r="A459"/>
      <c r="B459"/>
      <c r="C459"/>
      <c r="D459"/>
      <c r="E459"/>
      <c r="F459"/>
      <c r="G459"/>
      <c r="H459"/>
      <c r="I459"/>
      <c r="J459"/>
      <c r="L459"/>
      <c r="M459"/>
      <c r="N459"/>
      <c r="O459"/>
      <c r="P459"/>
      <c r="Q459"/>
      <c r="R459"/>
      <c r="S459"/>
      <c r="T459"/>
      <c r="U459"/>
      <c r="V459"/>
      <c r="X459"/>
      <c r="Y459"/>
      <c r="Z459" s="209"/>
      <c r="AD459"/>
      <c r="AE459"/>
    </row>
    <row r="460" spans="1:31" s="27" customFormat="1" x14ac:dyDescent="0.25">
      <c r="A460"/>
      <c r="B460"/>
      <c r="C460"/>
      <c r="D460"/>
      <c r="E460"/>
      <c r="F460"/>
      <c r="G460"/>
      <c r="H460"/>
      <c r="I460"/>
      <c r="J460"/>
      <c r="L460"/>
      <c r="M460"/>
      <c r="N460"/>
      <c r="O460"/>
      <c r="P460"/>
      <c r="Q460"/>
      <c r="R460"/>
      <c r="S460"/>
      <c r="T460"/>
      <c r="U460"/>
      <c r="V460"/>
      <c r="X460"/>
      <c r="Y460"/>
      <c r="Z460" s="209"/>
      <c r="AD460"/>
      <c r="AE460"/>
    </row>
    <row r="461" spans="1:31" s="27" customFormat="1" x14ac:dyDescent="0.25">
      <c r="A461"/>
      <c r="B461"/>
      <c r="C461"/>
      <c r="D461"/>
      <c r="E461"/>
      <c r="F461"/>
      <c r="G461"/>
      <c r="H461"/>
      <c r="I461"/>
      <c r="J461"/>
      <c r="L461"/>
      <c r="M461"/>
      <c r="N461"/>
      <c r="O461"/>
      <c r="P461"/>
      <c r="Q461"/>
      <c r="R461"/>
      <c r="S461"/>
      <c r="T461"/>
      <c r="U461"/>
      <c r="V461"/>
      <c r="X461"/>
      <c r="Y461"/>
      <c r="Z461" s="209"/>
      <c r="AD461"/>
      <c r="AE461"/>
    </row>
    <row r="462" spans="1:31" s="27" customFormat="1" x14ac:dyDescent="0.25">
      <c r="A462"/>
      <c r="B462"/>
      <c r="C462"/>
      <c r="D462"/>
      <c r="E462"/>
      <c r="F462"/>
      <c r="G462"/>
      <c r="H462"/>
      <c r="I462"/>
      <c r="J462"/>
      <c r="L462"/>
      <c r="M462"/>
      <c r="N462"/>
      <c r="O462"/>
      <c r="P462"/>
      <c r="Q462"/>
      <c r="R462"/>
      <c r="S462"/>
      <c r="T462"/>
      <c r="U462"/>
      <c r="V462"/>
      <c r="X462"/>
      <c r="Y462"/>
      <c r="Z462" s="209"/>
      <c r="AD462"/>
      <c r="AE462"/>
    </row>
    <row r="463" spans="1:31" s="27" customFormat="1" x14ac:dyDescent="0.25">
      <c r="A463"/>
      <c r="B463"/>
      <c r="C463"/>
      <c r="D463"/>
      <c r="E463"/>
      <c r="F463"/>
      <c r="G463"/>
      <c r="H463"/>
      <c r="I463"/>
      <c r="J463"/>
      <c r="L463"/>
      <c r="M463"/>
      <c r="N463"/>
      <c r="O463"/>
      <c r="P463"/>
      <c r="Q463"/>
      <c r="R463"/>
      <c r="S463"/>
      <c r="T463"/>
      <c r="U463"/>
      <c r="V463"/>
      <c r="X463"/>
      <c r="Y463"/>
      <c r="Z463" s="209"/>
      <c r="AD463"/>
      <c r="AE463"/>
    </row>
    <row r="464" spans="1:31" s="27" customFormat="1" x14ac:dyDescent="0.25">
      <c r="A464"/>
      <c r="B464"/>
      <c r="C464"/>
      <c r="D464"/>
      <c r="E464"/>
      <c r="F464"/>
      <c r="G464"/>
      <c r="H464"/>
      <c r="I464"/>
      <c r="J464"/>
      <c r="L464"/>
      <c r="M464"/>
      <c r="N464"/>
      <c r="O464"/>
      <c r="P464"/>
      <c r="Q464"/>
      <c r="R464"/>
      <c r="S464"/>
      <c r="T464"/>
      <c r="U464"/>
      <c r="V464"/>
      <c r="X464"/>
      <c r="Y464"/>
      <c r="Z464" s="209"/>
      <c r="AD464"/>
      <c r="AE464"/>
    </row>
    <row r="465" spans="1:31" s="27" customFormat="1" x14ac:dyDescent="0.25">
      <c r="A465"/>
      <c r="B465"/>
      <c r="C465"/>
      <c r="D465"/>
      <c r="E465"/>
      <c r="F465"/>
      <c r="G465"/>
      <c r="H465"/>
      <c r="I465"/>
      <c r="J465"/>
      <c r="L465"/>
      <c r="M465"/>
      <c r="N465"/>
      <c r="O465"/>
      <c r="P465"/>
      <c r="Q465"/>
      <c r="R465"/>
      <c r="S465"/>
      <c r="T465"/>
      <c r="U465"/>
      <c r="V465"/>
      <c r="X465"/>
      <c r="Y465"/>
      <c r="Z465" s="209"/>
      <c r="AD465"/>
      <c r="AE465"/>
    </row>
    <row r="466" spans="1:31" s="27" customFormat="1" x14ac:dyDescent="0.25">
      <c r="A466"/>
      <c r="B466"/>
      <c r="C466"/>
      <c r="D466"/>
      <c r="E466"/>
      <c r="F466"/>
      <c r="G466"/>
      <c r="H466"/>
      <c r="I466"/>
      <c r="J466"/>
      <c r="L466"/>
      <c r="M466"/>
      <c r="N466"/>
      <c r="O466"/>
      <c r="P466"/>
      <c r="Q466"/>
      <c r="R466"/>
      <c r="S466"/>
      <c r="T466"/>
      <c r="U466"/>
      <c r="V466"/>
      <c r="X466"/>
      <c r="Y466"/>
      <c r="Z466" s="209"/>
      <c r="AD466"/>
      <c r="AE466"/>
    </row>
    <row r="467" spans="1:31" s="27" customFormat="1" x14ac:dyDescent="0.25">
      <c r="A467"/>
      <c r="B467"/>
      <c r="C467"/>
      <c r="D467"/>
      <c r="E467"/>
      <c r="F467"/>
      <c r="G467"/>
      <c r="H467"/>
      <c r="I467"/>
      <c r="J467"/>
      <c r="L467"/>
      <c r="M467"/>
      <c r="N467"/>
      <c r="O467"/>
      <c r="P467"/>
      <c r="Q467"/>
      <c r="R467"/>
      <c r="S467"/>
      <c r="T467"/>
      <c r="U467"/>
      <c r="V467"/>
      <c r="X467"/>
      <c r="Y467"/>
      <c r="Z467" s="209"/>
      <c r="AD467"/>
      <c r="AE467"/>
    </row>
    <row r="468" spans="1:31" s="27" customFormat="1" x14ac:dyDescent="0.25">
      <c r="A468"/>
      <c r="B468"/>
      <c r="C468"/>
      <c r="D468"/>
      <c r="E468"/>
      <c r="F468"/>
      <c r="G468"/>
      <c r="H468"/>
      <c r="I468"/>
      <c r="J468"/>
      <c r="L468"/>
      <c r="M468"/>
      <c r="N468"/>
      <c r="O468"/>
      <c r="P468"/>
      <c r="Q468"/>
      <c r="R468"/>
      <c r="S468"/>
      <c r="T468"/>
      <c r="U468"/>
      <c r="V468"/>
      <c r="X468"/>
      <c r="Y468"/>
      <c r="Z468" s="209"/>
      <c r="AD468"/>
      <c r="AE468"/>
    </row>
    <row r="469" spans="1:31" s="27" customFormat="1" x14ac:dyDescent="0.25">
      <c r="A469"/>
      <c r="B469"/>
      <c r="C469"/>
      <c r="D469"/>
      <c r="E469"/>
      <c r="F469"/>
      <c r="G469"/>
      <c r="H469"/>
      <c r="I469"/>
      <c r="J469"/>
      <c r="L469"/>
      <c r="M469"/>
      <c r="N469"/>
      <c r="O469"/>
      <c r="P469"/>
      <c r="Q469"/>
      <c r="R469"/>
      <c r="S469"/>
      <c r="T469"/>
      <c r="U469"/>
      <c r="V469"/>
      <c r="X469"/>
      <c r="Y469"/>
      <c r="Z469" s="209"/>
      <c r="AD469"/>
      <c r="AE469"/>
    </row>
    <row r="470" spans="1:31" s="27" customFormat="1" x14ac:dyDescent="0.25">
      <c r="A470"/>
      <c r="B470"/>
      <c r="C470"/>
      <c r="D470"/>
      <c r="E470"/>
      <c r="F470"/>
      <c r="G470"/>
      <c r="H470"/>
      <c r="I470"/>
      <c r="J470"/>
      <c r="L470"/>
      <c r="M470"/>
      <c r="N470"/>
      <c r="O470"/>
      <c r="P470"/>
      <c r="Q470"/>
      <c r="R470"/>
      <c r="S470"/>
      <c r="T470"/>
      <c r="U470"/>
      <c r="V470"/>
      <c r="X470"/>
      <c r="Y470"/>
      <c r="Z470" s="209"/>
      <c r="AD470"/>
      <c r="AE470"/>
    </row>
    <row r="471" spans="1:31" s="27" customFormat="1" x14ac:dyDescent="0.25">
      <c r="A471"/>
      <c r="B471"/>
      <c r="C471"/>
      <c r="D471"/>
      <c r="E471"/>
      <c r="F471"/>
      <c r="G471"/>
      <c r="H471"/>
      <c r="I471"/>
      <c r="J471"/>
      <c r="L471"/>
      <c r="M471"/>
      <c r="N471"/>
      <c r="O471"/>
      <c r="P471"/>
      <c r="Q471"/>
      <c r="R471"/>
      <c r="S471"/>
      <c r="T471"/>
      <c r="U471"/>
      <c r="V471"/>
      <c r="X471"/>
      <c r="Y471"/>
      <c r="Z471" s="209"/>
      <c r="AD471"/>
      <c r="AE471"/>
    </row>
    <row r="472" spans="1:31" s="27" customFormat="1" x14ac:dyDescent="0.25">
      <c r="A472"/>
      <c r="B472"/>
      <c r="C472"/>
      <c r="D472"/>
      <c r="E472"/>
      <c r="F472"/>
      <c r="G472"/>
      <c r="H472"/>
      <c r="I472"/>
      <c r="J472"/>
      <c r="L472"/>
      <c r="M472"/>
      <c r="N472"/>
      <c r="O472"/>
      <c r="P472"/>
      <c r="Q472"/>
      <c r="R472"/>
      <c r="S472"/>
      <c r="T472"/>
      <c r="U472"/>
      <c r="V472"/>
      <c r="X472"/>
      <c r="Y472"/>
      <c r="Z472" s="209"/>
      <c r="AD472"/>
      <c r="AE472"/>
    </row>
    <row r="473" spans="1:31" s="27" customFormat="1" x14ac:dyDescent="0.25">
      <c r="A473"/>
      <c r="B473"/>
      <c r="C473"/>
      <c r="D473"/>
      <c r="E473"/>
      <c r="F473"/>
      <c r="G473"/>
      <c r="H473"/>
      <c r="I473"/>
      <c r="J473"/>
      <c r="L473"/>
      <c r="M473"/>
      <c r="N473"/>
      <c r="O473"/>
      <c r="P473"/>
      <c r="Q473"/>
      <c r="R473"/>
      <c r="S473"/>
      <c r="T473"/>
      <c r="U473"/>
      <c r="V473"/>
      <c r="X473"/>
      <c r="Y473"/>
      <c r="Z473" s="209"/>
      <c r="AD473"/>
      <c r="AE473"/>
    </row>
    <row r="474" spans="1:31" s="27" customFormat="1" x14ac:dyDescent="0.25">
      <c r="A474"/>
      <c r="B474"/>
      <c r="C474"/>
      <c r="D474"/>
      <c r="E474"/>
      <c r="F474"/>
      <c r="G474"/>
      <c r="H474"/>
      <c r="I474"/>
      <c r="J474"/>
      <c r="L474"/>
      <c r="M474"/>
      <c r="N474"/>
      <c r="O474"/>
      <c r="P474"/>
      <c r="Q474"/>
      <c r="R474"/>
      <c r="S474"/>
      <c r="T474"/>
      <c r="U474"/>
      <c r="V474"/>
      <c r="X474"/>
      <c r="Y474"/>
      <c r="Z474" s="209"/>
      <c r="AD474"/>
      <c r="AE474"/>
    </row>
    <row r="475" spans="1:31" s="27" customFormat="1" x14ac:dyDescent="0.25">
      <c r="A475"/>
      <c r="B475"/>
      <c r="C475"/>
      <c r="D475"/>
      <c r="E475"/>
      <c r="F475"/>
      <c r="G475"/>
      <c r="H475"/>
      <c r="I475"/>
      <c r="J475"/>
      <c r="L475"/>
      <c r="M475"/>
      <c r="N475"/>
      <c r="O475"/>
      <c r="P475"/>
      <c r="Q475"/>
      <c r="R475"/>
      <c r="S475"/>
      <c r="T475"/>
      <c r="U475"/>
      <c r="V475"/>
      <c r="X475"/>
      <c r="Y475"/>
      <c r="Z475" s="209"/>
      <c r="AD475"/>
      <c r="AE475"/>
    </row>
    <row r="476" spans="1:31" s="27" customFormat="1" x14ac:dyDescent="0.25">
      <c r="A476"/>
      <c r="B476"/>
      <c r="C476"/>
      <c r="D476"/>
      <c r="E476"/>
      <c r="F476"/>
      <c r="G476"/>
      <c r="H476"/>
      <c r="I476"/>
      <c r="J476"/>
      <c r="L476"/>
      <c r="M476"/>
      <c r="N476"/>
      <c r="O476"/>
      <c r="P476"/>
      <c r="Q476"/>
      <c r="R476"/>
      <c r="S476"/>
      <c r="T476"/>
      <c r="U476"/>
      <c r="V476"/>
      <c r="X476"/>
      <c r="Y476"/>
      <c r="Z476" s="209"/>
      <c r="AD476"/>
      <c r="AE476"/>
    </row>
    <row r="477" spans="1:31" s="27" customFormat="1" x14ac:dyDescent="0.25">
      <c r="A477"/>
      <c r="B477"/>
      <c r="C477"/>
      <c r="D477"/>
      <c r="E477"/>
      <c r="F477"/>
      <c r="G477"/>
      <c r="H477"/>
      <c r="I477"/>
      <c r="J477"/>
      <c r="L477"/>
      <c r="M477"/>
      <c r="N477"/>
      <c r="O477"/>
      <c r="P477"/>
      <c r="Q477"/>
      <c r="R477"/>
      <c r="S477"/>
      <c r="T477"/>
      <c r="U477"/>
      <c r="V477"/>
      <c r="X477"/>
      <c r="Y477"/>
      <c r="Z477" s="209"/>
      <c r="AD477"/>
      <c r="AE477"/>
    </row>
    <row r="478" spans="1:31" s="27" customFormat="1" x14ac:dyDescent="0.25">
      <c r="A478"/>
      <c r="B478"/>
      <c r="C478"/>
      <c r="D478"/>
      <c r="E478"/>
      <c r="F478"/>
      <c r="G478"/>
      <c r="H478"/>
      <c r="I478"/>
      <c r="J478"/>
      <c r="L478"/>
      <c r="M478"/>
      <c r="N478"/>
      <c r="O478"/>
      <c r="P478"/>
      <c r="Q478"/>
      <c r="R478"/>
      <c r="S478"/>
      <c r="T478"/>
      <c r="U478"/>
      <c r="V478"/>
      <c r="X478"/>
      <c r="Y478"/>
      <c r="Z478" s="209"/>
      <c r="AD478"/>
      <c r="AE478"/>
    </row>
    <row r="479" spans="1:31" s="27" customFormat="1" x14ac:dyDescent="0.25">
      <c r="A479"/>
      <c r="B479"/>
      <c r="C479"/>
      <c r="D479"/>
      <c r="E479"/>
      <c r="F479"/>
      <c r="G479"/>
      <c r="H479"/>
      <c r="I479"/>
      <c r="J479"/>
      <c r="L479"/>
      <c r="M479"/>
      <c r="N479"/>
      <c r="O479"/>
      <c r="P479"/>
      <c r="Q479"/>
      <c r="R479"/>
      <c r="S479"/>
      <c r="T479"/>
      <c r="U479"/>
      <c r="V479"/>
      <c r="X479"/>
      <c r="Y479"/>
      <c r="Z479" s="209"/>
      <c r="AD479"/>
      <c r="AE479"/>
    </row>
    <row r="480" spans="1:31" s="27" customFormat="1" x14ac:dyDescent="0.25">
      <c r="A480"/>
      <c r="B480"/>
      <c r="C480"/>
      <c r="D480"/>
      <c r="E480"/>
      <c r="F480"/>
      <c r="G480"/>
      <c r="H480"/>
      <c r="I480"/>
      <c r="J480"/>
      <c r="L480"/>
      <c r="M480"/>
      <c r="N480"/>
      <c r="O480"/>
      <c r="P480"/>
      <c r="Q480"/>
      <c r="R480"/>
      <c r="S480"/>
      <c r="T480"/>
      <c r="U480"/>
      <c r="V480"/>
      <c r="X480"/>
      <c r="Y480"/>
      <c r="Z480" s="209"/>
      <c r="AD480"/>
      <c r="AE480"/>
    </row>
    <row r="481" spans="1:31" s="27" customFormat="1" x14ac:dyDescent="0.25">
      <c r="A481"/>
      <c r="B481"/>
      <c r="C481"/>
      <c r="D481"/>
      <c r="E481"/>
      <c r="F481"/>
      <c r="G481"/>
      <c r="H481"/>
      <c r="I481"/>
      <c r="J481"/>
      <c r="L481"/>
      <c r="M481"/>
      <c r="N481"/>
      <c r="O481"/>
      <c r="P481"/>
      <c r="Q481"/>
      <c r="R481"/>
      <c r="S481"/>
      <c r="T481"/>
      <c r="U481"/>
      <c r="V481"/>
      <c r="X481"/>
      <c r="Y481"/>
      <c r="Z481" s="209"/>
      <c r="AD481"/>
      <c r="AE481"/>
    </row>
    <row r="482" spans="1:31" s="27" customFormat="1" x14ac:dyDescent="0.25">
      <c r="A482"/>
      <c r="B482"/>
      <c r="C482"/>
      <c r="D482"/>
      <c r="E482"/>
      <c r="F482"/>
      <c r="G482"/>
      <c r="H482"/>
      <c r="I482"/>
      <c r="J482"/>
      <c r="L482"/>
      <c r="M482"/>
      <c r="N482"/>
      <c r="O482"/>
      <c r="P482"/>
      <c r="Q482"/>
      <c r="R482"/>
      <c r="S482"/>
      <c r="T482"/>
      <c r="U482"/>
      <c r="V482"/>
      <c r="X482"/>
      <c r="Y482"/>
      <c r="Z482" s="209"/>
      <c r="AD482"/>
      <c r="AE482"/>
    </row>
    <row r="483" spans="1:31" s="27" customFormat="1" x14ac:dyDescent="0.25">
      <c r="A483"/>
      <c r="B483"/>
      <c r="C483"/>
      <c r="D483"/>
      <c r="E483"/>
      <c r="F483"/>
      <c r="G483"/>
      <c r="H483"/>
      <c r="I483"/>
      <c r="J483"/>
      <c r="L483"/>
      <c r="M483"/>
      <c r="N483"/>
      <c r="O483"/>
      <c r="P483"/>
      <c r="Q483"/>
      <c r="R483"/>
      <c r="S483"/>
      <c r="T483"/>
      <c r="U483"/>
      <c r="V483"/>
      <c r="X483"/>
      <c r="Y483"/>
      <c r="Z483" s="209"/>
      <c r="AD483"/>
      <c r="AE483"/>
    </row>
    <row r="484" spans="1:31" s="27" customFormat="1" x14ac:dyDescent="0.25">
      <c r="A484"/>
      <c r="B484"/>
      <c r="C484"/>
      <c r="D484"/>
      <c r="E484"/>
      <c r="F484"/>
      <c r="G484"/>
      <c r="H484"/>
      <c r="I484"/>
      <c r="J484"/>
      <c r="L484"/>
      <c r="M484"/>
      <c r="N484"/>
      <c r="O484"/>
      <c r="P484"/>
      <c r="Q484"/>
      <c r="R484"/>
      <c r="S484"/>
      <c r="T484"/>
      <c r="U484"/>
      <c r="V484"/>
      <c r="X484"/>
      <c r="Y484"/>
      <c r="Z484" s="209"/>
      <c r="AD484"/>
      <c r="AE484"/>
    </row>
    <row r="485" spans="1:31" s="27" customFormat="1" x14ac:dyDescent="0.25">
      <c r="A485"/>
      <c r="B485"/>
      <c r="C485"/>
      <c r="D485"/>
      <c r="E485"/>
      <c r="F485"/>
      <c r="G485"/>
      <c r="H485"/>
      <c r="I485"/>
      <c r="J485"/>
      <c r="L485"/>
      <c r="M485"/>
      <c r="N485"/>
      <c r="O485"/>
      <c r="P485"/>
      <c r="Q485"/>
      <c r="R485"/>
      <c r="S485"/>
      <c r="T485"/>
      <c r="U485"/>
      <c r="V485"/>
      <c r="X485"/>
      <c r="Y485"/>
      <c r="Z485" s="209"/>
      <c r="AD485"/>
      <c r="AE485"/>
    </row>
    <row r="486" spans="1:31" s="27" customFormat="1" x14ac:dyDescent="0.25">
      <c r="A486"/>
      <c r="B486"/>
      <c r="C486"/>
      <c r="D486"/>
      <c r="E486"/>
      <c r="F486"/>
      <c r="G486"/>
      <c r="H486"/>
      <c r="I486"/>
      <c r="J486"/>
      <c r="L486"/>
      <c r="M486"/>
      <c r="N486"/>
      <c r="O486"/>
      <c r="P486"/>
      <c r="Q486"/>
      <c r="R486"/>
      <c r="S486"/>
      <c r="T486"/>
      <c r="U486"/>
      <c r="V486"/>
      <c r="X486"/>
      <c r="Y486"/>
      <c r="Z486" s="209"/>
      <c r="AD486"/>
      <c r="AE486"/>
    </row>
    <row r="487" spans="1:31" s="27" customFormat="1" x14ac:dyDescent="0.25">
      <c r="A487"/>
      <c r="B487"/>
      <c r="C487"/>
      <c r="D487"/>
      <c r="E487"/>
      <c r="F487"/>
      <c r="G487"/>
      <c r="H487"/>
      <c r="I487"/>
      <c r="J487"/>
      <c r="L487"/>
      <c r="M487"/>
      <c r="N487"/>
      <c r="O487"/>
      <c r="P487"/>
      <c r="Q487"/>
      <c r="R487"/>
      <c r="S487"/>
      <c r="T487"/>
      <c r="U487"/>
      <c r="V487"/>
      <c r="X487"/>
      <c r="Y487"/>
      <c r="Z487" s="209"/>
      <c r="AD487"/>
      <c r="AE487"/>
    </row>
    <row r="488" spans="1:31" s="27" customFormat="1" x14ac:dyDescent="0.25">
      <c r="A488"/>
      <c r="B488"/>
      <c r="C488"/>
      <c r="D488"/>
      <c r="E488"/>
      <c r="F488"/>
      <c r="G488"/>
      <c r="H488"/>
      <c r="I488"/>
      <c r="J488"/>
      <c r="L488"/>
      <c r="M488"/>
      <c r="N488"/>
      <c r="O488"/>
      <c r="P488"/>
      <c r="Q488"/>
      <c r="R488"/>
      <c r="S488"/>
      <c r="T488"/>
      <c r="U488"/>
      <c r="V488"/>
      <c r="X488"/>
      <c r="Y488"/>
      <c r="Z488" s="209"/>
      <c r="AD488"/>
      <c r="AE488"/>
    </row>
    <row r="489" spans="1:31" s="27" customFormat="1" x14ac:dyDescent="0.25">
      <c r="A489"/>
      <c r="B489"/>
      <c r="C489"/>
      <c r="D489"/>
      <c r="E489"/>
      <c r="F489"/>
      <c r="G489"/>
      <c r="H489"/>
      <c r="I489"/>
      <c r="J489"/>
      <c r="L489"/>
      <c r="M489"/>
      <c r="N489"/>
      <c r="O489"/>
      <c r="P489"/>
      <c r="Q489"/>
      <c r="R489"/>
      <c r="S489"/>
      <c r="T489"/>
      <c r="U489"/>
      <c r="V489"/>
      <c r="X489"/>
      <c r="Y489"/>
      <c r="Z489" s="209"/>
      <c r="AD489"/>
      <c r="AE489"/>
    </row>
    <row r="490" spans="1:31" s="27" customFormat="1" x14ac:dyDescent="0.25">
      <c r="A490"/>
      <c r="B490"/>
      <c r="C490"/>
      <c r="D490"/>
      <c r="E490"/>
      <c r="F490"/>
      <c r="G490"/>
      <c r="H490"/>
      <c r="I490"/>
      <c r="J490"/>
      <c r="L490"/>
      <c r="M490"/>
      <c r="N490"/>
      <c r="O490"/>
      <c r="P490"/>
      <c r="Q490"/>
      <c r="R490"/>
      <c r="S490"/>
      <c r="T490"/>
      <c r="U490"/>
      <c r="V490"/>
      <c r="X490"/>
      <c r="Y490"/>
      <c r="Z490" s="209"/>
      <c r="AD490"/>
      <c r="AE490"/>
    </row>
    <row r="491" spans="1:31" s="27" customFormat="1" x14ac:dyDescent="0.25">
      <c r="A491"/>
      <c r="B491"/>
      <c r="C491"/>
      <c r="D491"/>
      <c r="E491"/>
      <c r="F491"/>
      <c r="G491"/>
      <c r="H491"/>
      <c r="I491"/>
      <c r="J491"/>
      <c r="L491"/>
      <c r="M491"/>
      <c r="N491"/>
      <c r="O491"/>
      <c r="P491"/>
      <c r="Q491"/>
      <c r="R491"/>
      <c r="S491"/>
      <c r="T491"/>
      <c r="U491"/>
      <c r="V491"/>
      <c r="X491"/>
      <c r="Y491"/>
      <c r="Z491" s="209"/>
      <c r="AD491"/>
      <c r="AE491"/>
    </row>
    <row r="492" spans="1:31" s="27" customFormat="1" x14ac:dyDescent="0.25">
      <c r="A492"/>
      <c r="B492"/>
      <c r="C492"/>
      <c r="D492"/>
      <c r="E492"/>
      <c r="F492"/>
      <c r="G492"/>
      <c r="H492"/>
      <c r="I492"/>
      <c r="J492"/>
      <c r="L492"/>
      <c r="M492"/>
      <c r="N492"/>
      <c r="O492"/>
      <c r="P492"/>
      <c r="Q492"/>
      <c r="R492"/>
      <c r="S492"/>
      <c r="T492"/>
      <c r="U492"/>
      <c r="V492"/>
      <c r="X492"/>
      <c r="Y492"/>
      <c r="Z492" s="209"/>
      <c r="AD492"/>
      <c r="AE492"/>
    </row>
    <row r="493" spans="1:31" s="27" customFormat="1" x14ac:dyDescent="0.25">
      <c r="A493"/>
      <c r="B493"/>
      <c r="C493"/>
      <c r="D493"/>
      <c r="E493"/>
      <c r="F493"/>
      <c r="G493"/>
      <c r="H493"/>
      <c r="I493"/>
      <c r="J493"/>
      <c r="L493"/>
      <c r="M493"/>
      <c r="N493"/>
      <c r="O493"/>
      <c r="P493"/>
      <c r="Q493"/>
      <c r="R493"/>
      <c r="S493"/>
      <c r="T493"/>
      <c r="U493"/>
      <c r="V493"/>
      <c r="X493"/>
      <c r="Y493"/>
      <c r="Z493" s="209"/>
      <c r="AD493"/>
      <c r="AE493"/>
    </row>
    <row r="494" spans="1:31" s="27" customFormat="1" x14ac:dyDescent="0.25">
      <c r="A494"/>
      <c r="B494"/>
      <c r="C494"/>
      <c r="D494"/>
      <c r="E494"/>
      <c r="F494"/>
      <c r="G494"/>
      <c r="H494"/>
      <c r="I494"/>
      <c r="J494"/>
      <c r="L494"/>
      <c r="M494"/>
      <c r="N494"/>
      <c r="O494"/>
      <c r="P494"/>
      <c r="Q494"/>
      <c r="R494"/>
      <c r="S494"/>
      <c r="T494"/>
      <c r="U494"/>
      <c r="V494"/>
      <c r="X494"/>
      <c r="Y494"/>
      <c r="Z494"/>
      <c r="AD494"/>
      <c r="AE494"/>
    </row>
    <row r="495" spans="1:31" s="27" customFormat="1" x14ac:dyDescent="0.25">
      <c r="A495"/>
      <c r="B495"/>
      <c r="C495"/>
      <c r="D495"/>
      <c r="E495"/>
      <c r="F495"/>
      <c r="G495"/>
      <c r="H495"/>
      <c r="I495"/>
      <c r="J495"/>
      <c r="L495"/>
      <c r="M495"/>
      <c r="N495"/>
      <c r="O495"/>
      <c r="P495"/>
      <c r="Q495"/>
      <c r="R495"/>
      <c r="S495"/>
      <c r="T495"/>
      <c r="U495"/>
      <c r="V495"/>
      <c r="X495"/>
      <c r="Y495"/>
      <c r="Z495"/>
      <c r="AD495"/>
      <c r="AE495"/>
    </row>
    <row r="496" spans="1:31" s="27" customFormat="1" x14ac:dyDescent="0.25">
      <c r="A496"/>
      <c r="B496"/>
      <c r="C496"/>
      <c r="D496"/>
      <c r="E496"/>
      <c r="F496"/>
      <c r="G496"/>
      <c r="H496"/>
      <c r="I496"/>
      <c r="J496"/>
      <c r="L496"/>
      <c r="M496"/>
      <c r="N496"/>
      <c r="O496"/>
      <c r="P496"/>
      <c r="Q496"/>
      <c r="R496"/>
      <c r="S496"/>
      <c r="T496"/>
      <c r="U496"/>
      <c r="V496"/>
      <c r="X496"/>
      <c r="Y496"/>
      <c r="Z496"/>
      <c r="AD496"/>
      <c r="AE496"/>
    </row>
    <row r="497" spans="1:31" s="27" customFormat="1" x14ac:dyDescent="0.25">
      <c r="A497"/>
      <c r="B497"/>
      <c r="C497"/>
      <c r="D497"/>
      <c r="E497"/>
      <c r="F497"/>
      <c r="G497"/>
      <c r="H497"/>
      <c r="I497"/>
      <c r="J497"/>
      <c r="L497"/>
      <c r="M497"/>
      <c r="N497"/>
      <c r="O497"/>
      <c r="P497"/>
      <c r="Q497"/>
      <c r="R497"/>
      <c r="S497"/>
      <c r="T497"/>
      <c r="U497"/>
      <c r="V497"/>
      <c r="X497"/>
      <c r="Y497"/>
      <c r="Z497"/>
      <c r="AD497"/>
      <c r="AE497"/>
    </row>
    <row r="498" spans="1:31" s="27" customFormat="1" x14ac:dyDescent="0.25">
      <c r="A498"/>
      <c r="B498"/>
      <c r="C498"/>
      <c r="D498"/>
      <c r="E498"/>
      <c r="F498"/>
      <c r="G498"/>
      <c r="H498"/>
      <c r="I498"/>
      <c r="J498"/>
      <c r="L498"/>
      <c r="M498"/>
      <c r="N498"/>
      <c r="O498"/>
      <c r="P498"/>
      <c r="Q498"/>
      <c r="R498"/>
      <c r="S498"/>
      <c r="T498"/>
      <c r="U498"/>
      <c r="V498"/>
      <c r="X498"/>
      <c r="Y498"/>
      <c r="Z498"/>
      <c r="AD498"/>
      <c r="AE498"/>
    </row>
    <row r="499" spans="1:31" s="27" customFormat="1" x14ac:dyDescent="0.25">
      <c r="A499"/>
      <c r="B499"/>
      <c r="C499"/>
      <c r="D499"/>
      <c r="E499"/>
      <c r="F499"/>
      <c r="G499"/>
      <c r="H499"/>
      <c r="I499"/>
      <c r="J499"/>
      <c r="L499"/>
      <c r="M499"/>
      <c r="N499"/>
      <c r="O499"/>
      <c r="P499"/>
      <c r="Q499"/>
      <c r="R499"/>
      <c r="S499"/>
      <c r="T499"/>
      <c r="U499"/>
      <c r="V499"/>
      <c r="X499"/>
      <c r="Y499"/>
      <c r="Z499"/>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row r="503" spans="1:31" s="27" customFormat="1" x14ac:dyDescent="0.25">
      <c r="A503"/>
      <c r="B503"/>
      <c r="C503"/>
      <c r="D503"/>
      <c r="E503"/>
      <c r="F503"/>
      <c r="G503"/>
      <c r="H503"/>
      <c r="I503"/>
      <c r="J503"/>
      <c r="L503"/>
      <c r="M503"/>
      <c r="N503"/>
      <c r="O503"/>
      <c r="P503"/>
      <c r="Q503"/>
      <c r="R503"/>
      <c r="S503"/>
      <c r="T503"/>
      <c r="U503"/>
      <c r="V503"/>
      <c r="X503"/>
      <c r="Y503"/>
      <c r="Z503"/>
      <c r="AD503"/>
      <c r="AE503"/>
    </row>
  </sheetData>
  <sheetProtection algorithmName="SHA-512" hashValue="BiIMNaT/l0kgmd+UEeN3c4q244jWS45tpLSEMAyqIIWickjTl9XjB13Lp+3CDMOoxI3tr6blI/oEpoPKNprU+g==" saltValue="MHwUm+vmVoGRlrl6O89AJQ==" spinCount="100000" sheet="1" objects="1" scenarios="1"/>
  <mergeCells count="8">
    <mergeCell ref="A1:AC1"/>
    <mergeCell ref="B5:J5"/>
    <mergeCell ref="N5:V5"/>
    <mergeCell ref="N188:V188"/>
    <mergeCell ref="N189:V189"/>
    <mergeCell ref="A182:XFD182"/>
    <mergeCell ref="M151:M181"/>
    <mergeCell ref="M7:M150"/>
  </mergeCells>
  <conditionalFormatting sqref="N183:V183">
    <cfRule type="cellIs" dxfId="97" priority="4" operator="equal">
      <formula>$W$183</formula>
    </cfRule>
  </conditionalFormatting>
  <conditionalFormatting sqref="N184:V184">
    <cfRule type="cellIs" dxfId="96" priority="3" operator="equal">
      <formula>$W$184</formula>
    </cfRule>
  </conditionalFormatting>
  <conditionalFormatting sqref="N185:V185">
    <cfRule type="cellIs" dxfId="95" priority="1" operator="equal">
      <formula>$W$185</formula>
    </cfRule>
    <cfRule type="cellIs" dxfId="94" priority="2" operator="equal">
      <formula>$W$185</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1"/>
  <sheetViews>
    <sheetView topLeftCell="K1" zoomScale="85" zoomScaleNormal="85" workbookViewId="0">
      <selection activeCell="N2" sqref="N2"/>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2" t="str">
        <f>Mesures_Four!E27</f>
        <v>200°C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29" x14ac:dyDescent="0.25">
      <c r="M2" s="211" t="s">
        <v>87</v>
      </c>
      <c r="N2" s="44">
        <f>_xlfn.XLOOKUP(INT(SUBSTITUTE(N6,"Connecteur ", "")),Mesures_Four!C40:C48,Mesures_Four!E40:E48)</f>
        <v>0.31</v>
      </c>
      <c r="O2" s="44">
        <f>_xlfn.XLOOKUP(INT(SUBSTITUTE(O6,"Connecteur ", "")),Mesures_Four!C40:C48,Mesures_Four!E40:E48)</f>
        <v>0.12</v>
      </c>
      <c r="P2" s="44">
        <f>_xlfn.XLOOKUP(INT(SUBSTITUTE(P6,"Connecteur ", "")),Mesures_Four!C40:C48,Mesures_Four!E40:E48)</f>
        <v>0.25</v>
      </c>
      <c r="Q2" s="44">
        <f>_xlfn.XLOOKUP(INT(SUBSTITUTE(Q6,"Connecteur ", "")),Mesures_Four!C40:C48,Mesures_Four!E40:E48)</f>
        <v>0.17</v>
      </c>
      <c r="R2" s="44">
        <f>_xlfn.XLOOKUP(INT(SUBSTITUTE(R6,"Connecteur ", "")),Mesures_Four!C40:C48,Mesures_Four!E40:E48)</f>
        <v>0.16</v>
      </c>
      <c r="S2" s="44">
        <f>_xlfn.XLOOKUP(INT(SUBSTITUTE(S6,"Connecteur ", "")),Mesures_Four!C40:C48,Mesures_Four!E40:E48)</f>
        <v>0.15</v>
      </c>
      <c r="T2" s="44">
        <f>_xlfn.XLOOKUP(INT(SUBSTITUTE(T6,"Connecteur ", "")),Mesures_Four!C40:C48,Mesures_Four!E40:E48)</f>
        <v>0.08</v>
      </c>
      <c r="U2" s="44">
        <f>_xlfn.XLOOKUP(INT(SUBSTITUTE(U6,"Connecteur ", "")),Mesures_Four!C40:C48,Mesures_Four!E40:E48)</f>
        <v>0.17</v>
      </c>
      <c r="V2" s="44">
        <f>_xlfn.XLOOKUP(INT(SUBSTITUTE(V6,"Connecteur ", "")),Mesures_Four!C40:C48,Mesures_Four!E40:E48)</f>
        <v>0.26</v>
      </c>
      <c r="W2" s="158"/>
      <c r="X2" s="158"/>
      <c r="Y2" s="158"/>
    </row>
    <row r="3" spans="1:29" x14ac:dyDescent="0.25">
      <c r="M3" s="211" t="s">
        <v>23</v>
      </c>
      <c r="N3" s="44" cm="1">
        <f t="array" ref="N3">_xlfn.XLOOKUP(INT(SUBSTITUTE(N6,"Connecteur ", "")),INT(Mesures_Four!B28:B36),Mesures_Four!E28:E36)</f>
        <v>0.17</v>
      </c>
      <c r="O3" s="44" cm="1">
        <f t="array" ref="O3">_xlfn.XLOOKUP(INT(SUBSTITUTE(O6,"Connecteur ", "")),INT(Mesures_Four!B28:B36),Mesures_Four!E28:E36)</f>
        <v>0.17</v>
      </c>
      <c r="P3" s="44" cm="1">
        <f t="array" ref="P3">_xlfn.XLOOKUP(INT(SUBSTITUTE(P6,"Connecteur ", "")),INT(Mesures_Four!B28:B36),Mesures_Four!E28:E36)</f>
        <v>0.17</v>
      </c>
      <c r="Q3" s="44" cm="1">
        <f t="array" ref="Q3">_xlfn.XLOOKUP(INT(SUBSTITUTE(Q6,"Connecteur ", "")),INT(Mesures_Four!B28:B36),Mesures_Four!E28:E36)</f>
        <v>0.17</v>
      </c>
      <c r="R3" s="44" cm="1">
        <f t="array" ref="R3">_xlfn.XLOOKUP(INT(SUBSTITUTE(R6,"Connecteur ", "")),INT(Mesures_Four!B28:B36),Mesures_Four!E28:E36)</f>
        <v>0.47</v>
      </c>
      <c r="S3" s="44" cm="1">
        <f t="array" ref="S3">_xlfn.XLOOKUP(INT(SUBSTITUTE(S6,"Connecteur ", "")),INT(Mesures_Four!B28:B36),Mesures_Four!E28:E36)</f>
        <v>0.17</v>
      </c>
      <c r="T3" s="44" cm="1">
        <f t="array" ref="T3">_xlfn.XLOOKUP(INT(SUBSTITUTE(T6,"Connecteur ", "")),INT(Mesures_Four!B28:B36),Mesures_Four!E28:E36)</f>
        <v>0.17</v>
      </c>
      <c r="U3" s="44" cm="1">
        <f t="array" ref="U3">_xlfn.XLOOKUP(INT(SUBSTITUTE(U6,"Connecteur ", "")),INT(Mesures_Four!B28:B36),Mesures_Four!E28:E36)</f>
        <v>0.17</v>
      </c>
      <c r="V3" s="44" cm="1">
        <f t="array" ref="V3">_xlfn.XLOOKUP(INT(SUBSTITUTE(V6,"Connecteur ", "")),INT(Mesures_Four!B28:B36),Mesures_Four!E28:E36)</f>
        <v>0.17</v>
      </c>
      <c r="W3" s="158"/>
      <c r="X3" s="158"/>
      <c r="Y3" s="158"/>
    </row>
    <row r="4" spans="1:29" x14ac:dyDescent="0.25">
      <c r="M4" s="23"/>
      <c r="N4" s="210"/>
      <c r="O4" s="210"/>
      <c r="P4" s="210"/>
      <c r="Q4" s="210"/>
      <c r="R4" s="210"/>
      <c r="S4" s="210"/>
      <c r="T4" s="210"/>
      <c r="U4" s="210"/>
      <c r="V4" s="210"/>
      <c r="W4" s="158"/>
      <c r="X4" s="158"/>
      <c r="Y4" s="158"/>
    </row>
    <row r="5" spans="1:29" x14ac:dyDescent="0.25">
      <c r="A5" s="374" t="s">
        <v>330</v>
      </c>
      <c r="B5" s="374"/>
      <c r="C5" s="374"/>
      <c r="D5" s="374"/>
      <c r="E5" s="374"/>
      <c r="F5" s="374"/>
      <c r="G5" s="374"/>
      <c r="H5" s="374"/>
      <c r="I5" s="374"/>
      <c r="J5" s="374"/>
      <c r="M5" s="374" t="s">
        <v>88</v>
      </c>
      <c r="N5" s="374"/>
      <c r="O5" s="374"/>
      <c r="P5" s="374"/>
      <c r="Q5" s="374"/>
      <c r="R5" s="374"/>
      <c r="S5" s="374"/>
      <c r="T5" s="374"/>
      <c r="U5" s="374"/>
      <c r="V5" s="374"/>
      <c r="Z5" s="209"/>
    </row>
    <row r="6" spans="1:29" x14ac:dyDescent="0.25">
      <c r="A6" s="208" t="str" cm="1">
        <f t="array" ref="A6:J98">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98">tab_four200[[#All],[Consigne T°]]</f>
        <v>Consigne T°</v>
      </c>
      <c r="Z6" s="201" t="str" cm="1">
        <f t="array" ref="Z6:AC98">tab_four200[[#All],[Date/Heure]:[Pt Chaud]]</f>
        <v>Date/Heure</v>
      </c>
      <c r="AA6" s="201" t="str">
        <v>Pt Froid</v>
      </c>
      <c r="AB6" s="201" t="str">
        <v>Regulation</v>
      </c>
      <c r="AC6" s="201" t="str">
        <v>Pt Chaud</v>
      </c>
    </row>
    <row r="7" spans="1:29" ht="15" customHeight="1" x14ac:dyDescent="0.25">
      <c r="A7" s="23" t="str">
        <v>21/02/2024  01:06</v>
      </c>
      <c r="B7">
        <v>161.34</v>
      </c>
      <c r="C7">
        <v>159.86000000000001</v>
      </c>
      <c r="D7">
        <v>160.16999999999999</v>
      </c>
      <c r="E7">
        <v>162.84</v>
      </c>
      <c r="F7">
        <v>165.68</v>
      </c>
      <c r="G7">
        <v>164.69</v>
      </c>
      <c r="H7">
        <v>163.44999999999999</v>
      </c>
      <c r="I7">
        <v>166.72</v>
      </c>
      <c r="J7">
        <v>164.52</v>
      </c>
      <c r="K7" s="204"/>
      <c r="M7" s="504" t="s">
        <v>328</v>
      </c>
      <c r="N7" s="205" cm="1">
        <f t="array" ref="N7:V98">tab_transfert200[[Connecteur 1]:[Connecteur 9]]+N2:V2+N3:V3</f>
        <v>161.82</v>
      </c>
      <c r="O7" s="205">
        <v>160.15</v>
      </c>
      <c r="P7" s="205">
        <v>160.58999999999997</v>
      </c>
      <c r="Q7" s="205">
        <v>163.17999999999998</v>
      </c>
      <c r="R7" s="205">
        <v>166.31</v>
      </c>
      <c r="S7" s="205">
        <v>165.01</v>
      </c>
      <c r="T7" s="205">
        <v>163.69999999999999</v>
      </c>
      <c r="U7" s="205">
        <v>167.05999999999997</v>
      </c>
      <c r="V7" s="205">
        <v>164.95</v>
      </c>
      <c r="W7" s="202">
        <v>190</v>
      </c>
      <c r="Z7" s="23" t="str">
        <v>21/02/2024  01:06</v>
      </c>
      <c r="AA7">
        <v>163.19999999999999</v>
      </c>
      <c r="AB7">
        <v>153.1</v>
      </c>
      <c r="AC7">
        <v>160.6</v>
      </c>
    </row>
    <row r="8" spans="1:29" ht="15" customHeight="1" x14ac:dyDescent="0.25">
      <c r="A8" s="23" t="str">
        <v>21/02/2024  01:07</v>
      </c>
      <c r="B8">
        <v>166.14</v>
      </c>
      <c r="C8">
        <v>164.64</v>
      </c>
      <c r="D8">
        <v>164.76</v>
      </c>
      <c r="E8">
        <v>167.51</v>
      </c>
      <c r="F8">
        <v>170.11</v>
      </c>
      <c r="G8">
        <v>169.31</v>
      </c>
      <c r="H8">
        <v>167.91</v>
      </c>
      <c r="I8">
        <v>171.26</v>
      </c>
      <c r="J8">
        <v>169.03</v>
      </c>
      <c r="K8" s="204"/>
      <c r="M8" s="504"/>
      <c r="N8" s="205">
        <v>166.61999999999998</v>
      </c>
      <c r="O8" s="205">
        <v>164.92999999999998</v>
      </c>
      <c r="P8" s="205">
        <v>165.17999999999998</v>
      </c>
      <c r="Q8" s="205">
        <v>167.84999999999997</v>
      </c>
      <c r="R8" s="205">
        <v>170.74</v>
      </c>
      <c r="S8" s="205">
        <v>169.63</v>
      </c>
      <c r="T8" s="205">
        <v>168.16</v>
      </c>
      <c r="U8" s="205">
        <v>171.59999999999997</v>
      </c>
      <c r="V8" s="205">
        <v>169.45999999999998</v>
      </c>
      <c r="W8" s="202">
        <v>190</v>
      </c>
      <c r="Z8" s="23" t="str">
        <v>21/02/2024  01:07</v>
      </c>
      <c r="AA8">
        <v>167.6</v>
      </c>
      <c r="AB8">
        <v>157.69999999999999</v>
      </c>
      <c r="AC8">
        <v>164.8</v>
      </c>
    </row>
    <row r="9" spans="1:29" ht="15" customHeight="1" x14ac:dyDescent="0.25">
      <c r="A9" s="23" t="str">
        <v>21/02/2024  01:08</v>
      </c>
      <c r="B9">
        <v>170.57</v>
      </c>
      <c r="C9">
        <v>168.97</v>
      </c>
      <c r="D9">
        <v>169.28</v>
      </c>
      <c r="E9">
        <v>171.98</v>
      </c>
      <c r="F9">
        <v>174.72</v>
      </c>
      <c r="G9">
        <v>173.82</v>
      </c>
      <c r="H9">
        <v>172.48</v>
      </c>
      <c r="I9">
        <v>175.89</v>
      </c>
      <c r="J9">
        <v>173.64</v>
      </c>
      <c r="K9" s="204"/>
      <c r="M9" s="504"/>
      <c r="N9" s="205">
        <v>171.04999999999998</v>
      </c>
      <c r="O9" s="205">
        <v>169.26</v>
      </c>
      <c r="P9" s="205">
        <v>169.7</v>
      </c>
      <c r="Q9" s="205">
        <v>172.31999999999996</v>
      </c>
      <c r="R9" s="205">
        <v>175.35</v>
      </c>
      <c r="S9" s="205">
        <v>174.14</v>
      </c>
      <c r="T9" s="205">
        <v>172.73</v>
      </c>
      <c r="U9" s="205">
        <v>176.22999999999996</v>
      </c>
      <c r="V9" s="205">
        <v>174.06999999999996</v>
      </c>
      <c r="W9" s="202">
        <v>190</v>
      </c>
      <c r="Z9" s="23" t="str">
        <v>21/02/2024  01:08</v>
      </c>
      <c r="AA9">
        <v>172</v>
      </c>
      <c r="AB9">
        <v>162.4</v>
      </c>
      <c r="AC9">
        <v>169.5</v>
      </c>
    </row>
    <row r="10" spans="1:29" ht="15" customHeight="1" x14ac:dyDescent="0.25">
      <c r="A10" s="23" t="str">
        <v>21/02/2024  01:09</v>
      </c>
      <c r="B10">
        <v>175.43</v>
      </c>
      <c r="C10">
        <v>173.62</v>
      </c>
      <c r="D10">
        <v>173.71</v>
      </c>
      <c r="E10">
        <v>176.45</v>
      </c>
      <c r="F10">
        <v>179.15</v>
      </c>
      <c r="G10">
        <v>178.38</v>
      </c>
      <c r="H10">
        <v>176.86</v>
      </c>
      <c r="I10">
        <v>180.38</v>
      </c>
      <c r="J10">
        <v>178.19</v>
      </c>
      <c r="K10" s="204"/>
      <c r="M10" s="504"/>
      <c r="N10" s="205">
        <v>175.91</v>
      </c>
      <c r="O10" s="205">
        <v>173.91</v>
      </c>
      <c r="P10" s="205">
        <v>174.13</v>
      </c>
      <c r="Q10" s="205">
        <v>176.78999999999996</v>
      </c>
      <c r="R10" s="205">
        <v>179.78</v>
      </c>
      <c r="S10" s="205">
        <v>178.7</v>
      </c>
      <c r="T10" s="205">
        <v>177.11</v>
      </c>
      <c r="U10" s="205">
        <v>180.71999999999997</v>
      </c>
      <c r="V10" s="205">
        <v>178.61999999999998</v>
      </c>
      <c r="W10" s="202">
        <v>190</v>
      </c>
      <c r="Z10" s="23" t="str">
        <v>21/02/2024  01:09</v>
      </c>
      <c r="AA10">
        <v>176.4</v>
      </c>
      <c r="AB10">
        <v>166.9</v>
      </c>
      <c r="AC10">
        <v>174</v>
      </c>
    </row>
    <row r="11" spans="1:29" ht="15" customHeight="1" x14ac:dyDescent="0.25">
      <c r="A11" s="23" t="str">
        <v>21/02/2024  01:10</v>
      </c>
      <c r="B11">
        <v>179.69</v>
      </c>
      <c r="C11">
        <v>177.98</v>
      </c>
      <c r="D11">
        <v>178.11</v>
      </c>
      <c r="E11">
        <v>180.98</v>
      </c>
      <c r="F11">
        <v>183.4</v>
      </c>
      <c r="G11">
        <v>183.06</v>
      </c>
      <c r="H11">
        <v>181.33</v>
      </c>
      <c r="I11">
        <v>184.76</v>
      </c>
      <c r="J11">
        <v>182.38</v>
      </c>
      <c r="K11" s="204"/>
      <c r="M11" s="504"/>
      <c r="N11" s="205">
        <v>180.17</v>
      </c>
      <c r="O11" s="205">
        <v>178.26999999999998</v>
      </c>
      <c r="P11" s="205">
        <v>178.53</v>
      </c>
      <c r="Q11" s="205">
        <v>181.31999999999996</v>
      </c>
      <c r="R11" s="205">
        <v>184.03</v>
      </c>
      <c r="S11" s="205">
        <v>183.38</v>
      </c>
      <c r="T11" s="205">
        <v>181.58</v>
      </c>
      <c r="U11" s="205">
        <v>185.09999999999997</v>
      </c>
      <c r="V11" s="205">
        <v>182.80999999999997</v>
      </c>
      <c r="W11" s="202">
        <v>190</v>
      </c>
      <c r="Z11" s="23" t="str">
        <v>21/02/2024  01:10</v>
      </c>
      <c r="AA11">
        <v>180.8</v>
      </c>
      <c r="AB11">
        <v>171.5</v>
      </c>
      <c r="AC11">
        <v>178.3</v>
      </c>
    </row>
    <row r="12" spans="1:29" ht="15" customHeight="1" x14ac:dyDescent="0.25">
      <c r="A12" s="23" t="str">
        <v>21/02/2024  01:11</v>
      </c>
      <c r="B12">
        <v>184.03</v>
      </c>
      <c r="C12">
        <v>182.39</v>
      </c>
      <c r="D12">
        <v>182.53</v>
      </c>
      <c r="E12">
        <v>185.5</v>
      </c>
      <c r="F12">
        <v>187.89</v>
      </c>
      <c r="G12">
        <v>187.26</v>
      </c>
      <c r="H12">
        <v>185.75</v>
      </c>
      <c r="I12">
        <v>189.18</v>
      </c>
      <c r="J12">
        <v>186.88</v>
      </c>
      <c r="K12" s="204"/>
      <c r="M12" s="504"/>
      <c r="N12" s="205">
        <v>184.51</v>
      </c>
      <c r="O12" s="205">
        <v>182.67999999999998</v>
      </c>
      <c r="P12" s="205">
        <v>182.95</v>
      </c>
      <c r="Q12" s="205">
        <v>185.83999999999997</v>
      </c>
      <c r="R12" s="205">
        <v>188.51999999999998</v>
      </c>
      <c r="S12" s="205">
        <v>187.57999999999998</v>
      </c>
      <c r="T12" s="205">
        <v>186</v>
      </c>
      <c r="U12" s="205">
        <v>189.51999999999998</v>
      </c>
      <c r="V12" s="205">
        <v>187.30999999999997</v>
      </c>
      <c r="W12" s="202">
        <v>190</v>
      </c>
      <c r="Z12" s="23" t="str">
        <v>21/02/2024  01:11</v>
      </c>
      <c r="AA12">
        <v>185.2</v>
      </c>
      <c r="AB12">
        <v>176</v>
      </c>
      <c r="AC12">
        <v>182.9</v>
      </c>
    </row>
    <row r="13" spans="1:29" ht="15" customHeight="1" x14ac:dyDescent="0.25">
      <c r="A13" s="23" t="str">
        <v>21/02/2024  01:12</v>
      </c>
      <c r="B13">
        <v>188.43</v>
      </c>
      <c r="C13">
        <v>186.48</v>
      </c>
      <c r="D13">
        <v>186.78</v>
      </c>
      <c r="E13">
        <v>189.36</v>
      </c>
      <c r="F13">
        <v>192.23</v>
      </c>
      <c r="G13">
        <v>191.89</v>
      </c>
      <c r="H13">
        <v>190.04</v>
      </c>
      <c r="I13">
        <v>193.46</v>
      </c>
      <c r="J13">
        <v>191.04</v>
      </c>
      <c r="K13" s="204"/>
      <c r="M13" s="504"/>
      <c r="N13" s="205">
        <v>188.91</v>
      </c>
      <c r="O13" s="205">
        <v>186.76999999999998</v>
      </c>
      <c r="P13" s="205">
        <v>187.2</v>
      </c>
      <c r="Q13" s="205">
        <v>189.7</v>
      </c>
      <c r="R13" s="205">
        <v>192.85999999999999</v>
      </c>
      <c r="S13" s="205">
        <v>192.20999999999998</v>
      </c>
      <c r="T13" s="205">
        <v>190.29</v>
      </c>
      <c r="U13" s="205">
        <v>193.79999999999998</v>
      </c>
      <c r="V13" s="205">
        <v>191.46999999999997</v>
      </c>
      <c r="W13" s="202">
        <v>190</v>
      </c>
      <c r="Z13" s="23" t="str">
        <v>21/02/2024  01:12</v>
      </c>
      <c r="AA13">
        <v>189.6</v>
      </c>
      <c r="AB13">
        <v>180.4</v>
      </c>
      <c r="AC13">
        <v>187.4</v>
      </c>
    </row>
    <row r="14" spans="1:29" ht="15" customHeight="1" x14ac:dyDescent="0.25">
      <c r="A14" s="23" t="str">
        <v>21/02/2024  01:13</v>
      </c>
      <c r="B14">
        <v>190.59</v>
      </c>
      <c r="C14">
        <v>189.01</v>
      </c>
      <c r="D14">
        <v>189.02</v>
      </c>
      <c r="E14">
        <v>191.47</v>
      </c>
      <c r="F14">
        <v>193.33</v>
      </c>
      <c r="G14">
        <v>193.2</v>
      </c>
      <c r="H14">
        <v>192.06</v>
      </c>
      <c r="I14">
        <v>194.85</v>
      </c>
      <c r="J14">
        <v>192.86</v>
      </c>
      <c r="K14" s="204"/>
      <c r="M14" s="504"/>
      <c r="N14" s="205">
        <v>191.07</v>
      </c>
      <c r="O14" s="205">
        <v>189.29999999999998</v>
      </c>
      <c r="P14" s="205">
        <v>189.44</v>
      </c>
      <c r="Q14" s="205">
        <v>191.80999999999997</v>
      </c>
      <c r="R14" s="205">
        <v>193.96</v>
      </c>
      <c r="S14" s="205">
        <v>193.51999999999998</v>
      </c>
      <c r="T14" s="205">
        <v>192.31</v>
      </c>
      <c r="U14" s="205">
        <v>195.18999999999997</v>
      </c>
      <c r="V14" s="205">
        <v>193.29</v>
      </c>
      <c r="W14" s="202">
        <v>190</v>
      </c>
      <c r="Z14" s="23" t="str">
        <v>21/02/2024  01:13</v>
      </c>
      <c r="AA14">
        <v>193.4</v>
      </c>
      <c r="AB14">
        <v>184.4</v>
      </c>
      <c r="AC14">
        <v>190.8</v>
      </c>
    </row>
    <row r="15" spans="1:29" ht="15" customHeight="1" x14ac:dyDescent="0.25">
      <c r="A15" s="23" t="str">
        <v>21/02/2024  01:14</v>
      </c>
      <c r="B15">
        <v>191.16</v>
      </c>
      <c r="C15">
        <v>189.81</v>
      </c>
      <c r="D15">
        <v>189.79</v>
      </c>
      <c r="E15">
        <v>191.69</v>
      </c>
      <c r="F15">
        <v>192.99</v>
      </c>
      <c r="G15">
        <v>193.43</v>
      </c>
      <c r="H15">
        <v>192.46</v>
      </c>
      <c r="I15">
        <v>194.8</v>
      </c>
      <c r="J15">
        <v>192.95</v>
      </c>
      <c r="K15" s="204"/>
      <c r="M15" s="504"/>
      <c r="N15" s="205">
        <v>191.64</v>
      </c>
      <c r="O15" s="205">
        <v>190.1</v>
      </c>
      <c r="P15" s="205">
        <v>190.20999999999998</v>
      </c>
      <c r="Q15" s="205">
        <v>192.02999999999997</v>
      </c>
      <c r="R15" s="205">
        <v>193.62</v>
      </c>
      <c r="S15" s="205">
        <v>193.75</v>
      </c>
      <c r="T15" s="205">
        <v>192.71</v>
      </c>
      <c r="U15" s="205">
        <v>195.14</v>
      </c>
      <c r="V15" s="205">
        <v>193.37999999999997</v>
      </c>
      <c r="W15" s="202">
        <v>190</v>
      </c>
      <c r="Z15" s="23" t="str">
        <v>21/02/2024  01:14</v>
      </c>
      <c r="AA15">
        <v>195.1</v>
      </c>
      <c r="AB15">
        <v>187.1</v>
      </c>
      <c r="AC15">
        <v>192.6</v>
      </c>
    </row>
    <row r="16" spans="1:29" ht="15" customHeight="1" x14ac:dyDescent="0.25">
      <c r="A16" s="23" t="str">
        <v>21/02/2024  01:15</v>
      </c>
      <c r="B16">
        <v>191.38</v>
      </c>
      <c r="C16">
        <v>190.01</v>
      </c>
      <c r="D16">
        <v>189.93</v>
      </c>
      <c r="E16">
        <v>191.58</v>
      </c>
      <c r="F16">
        <v>192.44</v>
      </c>
      <c r="G16">
        <v>193.45</v>
      </c>
      <c r="H16">
        <v>192.6</v>
      </c>
      <c r="I16">
        <v>194.52</v>
      </c>
      <c r="J16">
        <v>192.73</v>
      </c>
      <c r="K16" s="204"/>
      <c r="M16" s="504"/>
      <c r="N16" s="205">
        <v>191.85999999999999</v>
      </c>
      <c r="O16" s="205">
        <v>190.29999999999998</v>
      </c>
      <c r="P16" s="205">
        <v>190.35</v>
      </c>
      <c r="Q16" s="205">
        <v>191.92</v>
      </c>
      <c r="R16" s="205">
        <v>193.07</v>
      </c>
      <c r="S16" s="205">
        <v>193.76999999999998</v>
      </c>
      <c r="T16" s="205">
        <v>192.85</v>
      </c>
      <c r="U16" s="205">
        <v>194.85999999999999</v>
      </c>
      <c r="V16" s="205">
        <v>193.15999999999997</v>
      </c>
      <c r="W16" s="202">
        <v>190</v>
      </c>
      <c r="Z16" s="23" t="str">
        <v>21/02/2024  01:15</v>
      </c>
      <c r="AA16">
        <v>195.5</v>
      </c>
      <c r="AB16">
        <v>188.7</v>
      </c>
      <c r="AC16">
        <v>193.1</v>
      </c>
    </row>
    <row r="17" spans="1:29" ht="15" customHeight="1" x14ac:dyDescent="0.25">
      <c r="A17" s="23" t="str">
        <v>21/02/2024  01:16</v>
      </c>
      <c r="B17">
        <v>191.51</v>
      </c>
      <c r="C17">
        <v>190.38</v>
      </c>
      <c r="D17">
        <v>190.25</v>
      </c>
      <c r="E17">
        <v>191.63</v>
      </c>
      <c r="F17">
        <v>192.09</v>
      </c>
      <c r="G17">
        <v>193.29</v>
      </c>
      <c r="H17">
        <v>192.5</v>
      </c>
      <c r="I17">
        <v>194.16</v>
      </c>
      <c r="J17">
        <v>192.46</v>
      </c>
      <c r="K17" s="204"/>
      <c r="M17" s="504"/>
      <c r="N17" s="205">
        <v>191.98999999999998</v>
      </c>
      <c r="O17" s="205">
        <v>190.67</v>
      </c>
      <c r="P17" s="205">
        <v>190.67</v>
      </c>
      <c r="Q17" s="205">
        <v>191.96999999999997</v>
      </c>
      <c r="R17" s="205">
        <v>192.72</v>
      </c>
      <c r="S17" s="205">
        <v>193.60999999999999</v>
      </c>
      <c r="T17" s="205">
        <v>192.75</v>
      </c>
      <c r="U17" s="205">
        <v>194.49999999999997</v>
      </c>
      <c r="V17" s="205">
        <v>192.89</v>
      </c>
      <c r="W17" s="202">
        <v>190</v>
      </c>
      <c r="Z17" s="23" t="str">
        <v>21/02/2024  01:16</v>
      </c>
      <c r="AA17">
        <v>195.3</v>
      </c>
      <c r="AB17">
        <v>189.6</v>
      </c>
      <c r="AC17">
        <v>193.2</v>
      </c>
    </row>
    <row r="18" spans="1:29" ht="15" customHeight="1" x14ac:dyDescent="0.25">
      <c r="A18" s="23" t="str">
        <v>21/02/2024  01:17</v>
      </c>
      <c r="B18">
        <v>191.59</v>
      </c>
      <c r="C18">
        <v>190.64</v>
      </c>
      <c r="D18">
        <v>190.42</v>
      </c>
      <c r="E18">
        <v>191.58</v>
      </c>
      <c r="F18">
        <v>191.69</v>
      </c>
      <c r="G18">
        <v>193.31</v>
      </c>
      <c r="H18">
        <v>192.43</v>
      </c>
      <c r="I18">
        <v>193.86</v>
      </c>
      <c r="J18">
        <v>192.28</v>
      </c>
      <c r="K18" s="204"/>
      <c r="M18" s="504"/>
      <c r="N18" s="205">
        <v>192.07</v>
      </c>
      <c r="O18" s="205">
        <v>190.92999999999998</v>
      </c>
      <c r="P18" s="205">
        <v>190.83999999999997</v>
      </c>
      <c r="Q18" s="205">
        <v>191.92</v>
      </c>
      <c r="R18" s="205">
        <v>192.32</v>
      </c>
      <c r="S18" s="205">
        <v>193.63</v>
      </c>
      <c r="T18" s="205">
        <v>192.68</v>
      </c>
      <c r="U18" s="205">
        <v>194.2</v>
      </c>
      <c r="V18" s="205">
        <v>192.70999999999998</v>
      </c>
      <c r="W18" s="202">
        <v>190</v>
      </c>
      <c r="Z18" s="23" t="str">
        <v>21/02/2024  01:17</v>
      </c>
      <c r="AA18">
        <v>194.8</v>
      </c>
      <c r="AB18">
        <v>190.2</v>
      </c>
      <c r="AC18">
        <v>193.3</v>
      </c>
    </row>
    <row r="19" spans="1:29" ht="15" customHeight="1" x14ac:dyDescent="0.25">
      <c r="A19" s="23" t="str">
        <v>21/02/2024  01:18</v>
      </c>
      <c r="B19">
        <v>191.44</v>
      </c>
      <c r="C19">
        <v>190.56</v>
      </c>
      <c r="D19">
        <v>190.39</v>
      </c>
      <c r="E19">
        <v>191.38</v>
      </c>
      <c r="F19">
        <v>191.12</v>
      </c>
      <c r="G19">
        <v>193.03</v>
      </c>
      <c r="H19">
        <v>192.24</v>
      </c>
      <c r="I19">
        <v>193.44</v>
      </c>
      <c r="J19">
        <v>191.95</v>
      </c>
      <c r="K19" s="204"/>
      <c r="M19" s="504"/>
      <c r="N19" s="205">
        <v>191.92</v>
      </c>
      <c r="O19" s="205">
        <v>190.85</v>
      </c>
      <c r="P19" s="205">
        <v>190.80999999999997</v>
      </c>
      <c r="Q19" s="205">
        <v>191.71999999999997</v>
      </c>
      <c r="R19" s="205">
        <v>191.75</v>
      </c>
      <c r="S19" s="205">
        <v>193.35</v>
      </c>
      <c r="T19" s="205">
        <v>192.49</v>
      </c>
      <c r="U19" s="205">
        <v>193.77999999999997</v>
      </c>
      <c r="V19" s="205">
        <v>192.37999999999997</v>
      </c>
      <c r="W19" s="202">
        <v>190</v>
      </c>
      <c r="Z19" s="23" t="str">
        <v>21/02/2024  01:18</v>
      </c>
      <c r="AA19">
        <v>194.3</v>
      </c>
      <c r="AB19">
        <v>190.5</v>
      </c>
      <c r="AC19">
        <v>193.1</v>
      </c>
    </row>
    <row r="20" spans="1:29" ht="15" customHeight="1" x14ac:dyDescent="0.25">
      <c r="A20" s="23" t="str">
        <v>21/02/2024  01:19</v>
      </c>
      <c r="B20">
        <v>191.33</v>
      </c>
      <c r="C20">
        <v>190.5</v>
      </c>
      <c r="D20">
        <v>190.4</v>
      </c>
      <c r="E20">
        <v>191.19</v>
      </c>
      <c r="F20">
        <v>190.85</v>
      </c>
      <c r="G20">
        <v>192.78</v>
      </c>
      <c r="H20">
        <v>192.07</v>
      </c>
      <c r="I20">
        <v>193.1</v>
      </c>
      <c r="J20">
        <v>191.66</v>
      </c>
      <c r="K20" s="204"/>
      <c r="M20" s="504"/>
      <c r="N20" s="205">
        <v>191.81</v>
      </c>
      <c r="O20" s="205">
        <v>190.79</v>
      </c>
      <c r="P20" s="205">
        <v>190.82</v>
      </c>
      <c r="Q20" s="205">
        <v>191.52999999999997</v>
      </c>
      <c r="R20" s="205">
        <v>191.48</v>
      </c>
      <c r="S20" s="205">
        <v>193.1</v>
      </c>
      <c r="T20" s="205">
        <v>192.32</v>
      </c>
      <c r="U20" s="205">
        <v>193.43999999999997</v>
      </c>
      <c r="V20" s="205">
        <v>192.08999999999997</v>
      </c>
      <c r="W20" s="202">
        <v>190</v>
      </c>
      <c r="Z20" s="23" t="str">
        <v>21/02/2024  01:19</v>
      </c>
      <c r="AA20">
        <v>193.7</v>
      </c>
      <c r="AB20">
        <v>190.7</v>
      </c>
      <c r="AC20">
        <v>193</v>
      </c>
    </row>
    <row r="21" spans="1:29" ht="15" customHeight="1" x14ac:dyDescent="0.25">
      <c r="A21" s="23" t="str">
        <v>21/02/2024  01:20</v>
      </c>
      <c r="B21">
        <v>191.43</v>
      </c>
      <c r="C21">
        <v>190.54</v>
      </c>
      <c r="D21">
        <v>190.45</v>
      </c>
      <c r="E21">
        <v>191.12</v>
      </c>
      <c r="F21">
        <v>190.55</v>
      </c>
      <c r="G21">
        <v>192.68</v>
      </c>
      <c r="H21">
        <v>191.93</v>
      </c>
      <c r="I21">
        <v>192.83</v>
      </c>
      <c r="J21">
        <v>191.52</v>
      </c>
      <c r="K21" s="204"/>
      <c r="M21" s="504"/>
      <c r="N21" s="205">
        <v>191.91</v>
      </c>
      <c r="O21" s="205">
        <v>190.82999999999998</v>
      </c>
      <c r="P21" s="205">
        <v>190.86999999999998</v>
      </c>
      <c r="Q21" s="205">
        <v>191.45999999999998</v>
      </c>
      <c r="R21" s="205">
        <v>191.18</v>
      </c>
      <c r="S21" s="205">
        <v>193</v>
      </c>
      <c r="T21" s="205">
        <v>192.18</v>
      </c>
      <c r="U21" s="205">
        <v>193.17</v>
      </c>
      <c r="V21" s="205">
        <v>191.95</v>
      </c>
      <c r="W21" s="202">
        <v>190</v>
      </c>
      <c r="Z21" s="23" t="str">
        <v>21/02/2024  01:20</v>
      </c>
      <c r="AA21">
        <v>193.1</v>
      </c>
      <c r="AB21">
        <v>190.8</v>
      </c>
      <c r="AC21">
        <v>192.8</v>
      </c>
    </row>
    <row r="22" spans="1:29" ht="15" customHeight="1" x14ac:dyDescent="0.25">
      <c r="A22" s="23" t="str">
        <v>21/02/2024  01:21</v>
      </c>
      <c r="B22">
        <v>191.26</v>
      </c>
      <c r="C22">
        <v>190.52</v>
      </c>
      <c r="D22">
        <v>190.36</v>
      </c>
      <c r="E22">
        <v>190.99</v>
      </c>
      <c r="F22">
        <v>190.29</v>
      </c>
      <c r="G22">
        <v>192.49</v>
      </c>
      <c r="H22">
        <v>191.74</v>
      </c>
      <c r="I22">
        <v>192.55</v>
      </c>
      <c r="J22">
        <v>191.27</v>
      </c>
      <c r="K22" s="204"/>
      <c r="M22" s="504"/>
      <c r="N22" s="205">
        <v>191.73999999999998</v>
      </c>
      <c r="O22" s="205">
        <v>190.81</v>
      </c>
      <c r="P22" s="205">
        <v>190.78</v>
      </c>
      <c r="Q22" s="205">
        <v>191.32999999999998</v>
      </c>
      <c r="R22" s="205">
        <v>190.92</v>
      </c>
      <c r="S22" s="205">
        <v>192.81</v>
      </c>
      <c r="T22" s="205">
        <v>191.99</v>
      </c>
      <c r="U22" s="205">
        <v>192.89</v>
      </c>
      <c r="V22" s="205">
        <v>191.7</v>
      </c>
      <c r="W22" s="202">
        <v>190</v>
      </c>
      <c r="Z22" s="23" t="str">
        <v>21/02/2024  01:21</v>
      </c>
      <c r="AA22">
        <v>192.7</v>
      </c>
      <c r="AB22">
        <v>190.7</v>
      </c>
      <c r="AC22">
        <v>192.6</v>
      </c>
    </row>
    <row r="23" spans="1:29" ht="15" customHeight="1" x14ac:dyDescent="0.25">
      <c r="A23" s="23" t="str">
        <v>21/02/2024  01:22</v>
      </c>
      <c r="B23">
        <v>191.11</v>
      </c>
      <c r="C23">
        <v>190.53</v>
      </c>
      <c r="D23">
        <v>190.33</v>
      </c>
      <c r="E23">
        <v>190.92</v>
      </c>
      <c r="F23">
        <v>190.08</v>
      </c>
      <c r="G23">
        <v>192.31</v>
      </c>
      <c r="H23">
        <v>191.66</v>
      </c>
      <c r="I23">
        <v>192.33</v>
      </c>
      <c r="J23">
        <v>191.11</v>
      </c>
      <c r="K23" s="204"/>
      <c r="M23" s="504"/>
      <c r="N23" s="205">
        <v>191.59</v>
      </c>
      <c r="O23" s="205">
        <v>190.82</v>
      </c>
      <c r="P23" s="205">
        <v>190.75</v>
      </c>
      <c r="Q23" s="205">
        <v>191.25999999999996</v>
      </c>
      <c r="R23" s="205">
        <v>190.71</v>
      </c>
      <c r="S23" s="205">
        <v>192.63</v>
      </c>
      <c r="T23" s="205">
        <v>191.91</v>
      </c>
      <c r="U23" s="205">
        <v>192.67</v>
      </c>
      <c r="V23" s="205">
        <v>191.54</v>
      </c>
      <c r="W23" s="202">
        <v>190</v>
      </c>
      <c r="Z23" s="23" t="str">
        <v>21/02/2024  01:22</v>
      </c>
      <c r="AA23">
        <v>192.4</v>
      </c>
      <c r="AB23">
        <v>190.7</v>
      </c>
      <c r="AC23">
        <v>192.4</v>
      </c>
    </row>
    <row r="24" spans="1:29" ht="15" customHeight="1" x14ac:dyDescent="0.25">
      <c r="A24" s="23" t="str">
        <v>21/02/2024  01:23</v>
      </c>
      <c r="B24">
        <v>191.15</v>
      </c>
      <c r="C24">
        <v>190.55</v>
      </c>
      <c r="D24">
        <v>190.41</v>
      </c>
      <c r="E24">
        <v>190.85</v>
      </c>
      <c r="F24">
        <v>189.89</v>
      </c>
      <c r="G24">
        <v>192.25</v>
      </c>
      <c r="H24">
        <v>191.58</v>
      </c>
      <c r="I24">
        <v>192.2</v>
      </c>
      <c r="J24">
        <v>190.96</v>
      </c>
      <c r="K24" s="204"/>
      <c r="M24" s="504"/>
      <c r="N24" s="205">
        <v>191.63</v>
      </c>
      <c r="O24" s="205">
        <v>190.84</v>
      </c>
      <c r="P24" s="205">
        <v>190.82999999999998</v>
      </c>
      <c r="Q24" s="205">
        <v>191.18999999999997</v>
      </c>
      <c r="R24" s="205">
        <v>190.51999999999998</v>
      </c>
      <c r="S24" s="205">
        <v>192.57</v>
      </c>
      <c r="T24" s="205">
        <v>191.83</v>
      </c>
      <c r="U24" s="205">
        <v>192.53999999999996</v>
      </c>
      <c r="V24" s="205">
        <v>191.39</v>
      </c>
      <c r="W24" s="202">
        <v>190</v>
      </c>
      <c r="Z24" s="23" t="str">
        <v>21/02/2024  01:23</v>
      </c>
      <c r="AA24">
        <v>192</v>
      </c>
      <c r="AB24">
        <v>190.7</v>
      </c>
      <c r="AC24">
        <v>192.3</v>
      </c>
    </row>
    <row r="25" spans="1:29" ht="15" customHeight="1" x14ac:dyDescent="0.25">
      <c r="A25" s="23" t="str">
        <v>21/02/2024  01:24</v>
      </c>
      <c r="B25">
        <v>191.08</v>
      </c>
      <c r="C25">
        <v>190.54</v>
      </c>
      <c r="D25">
        <v>190.4</v>
      </c>
      <c r="E25">
        <v>190.83</v>
      </c>
      <c r="F25">
        <v>189.83</v>
      </c>
      <c r="G25">
        <v>192.13</v>
      </c>
      <c r="H25">
        <v>191.46</v>
      </c>
      <c r="I25">
        <v>191.99</v>
      </c>
      <c r="J25">
        <v>190.88</v>
      </c>
      <c r="K25" s="204"/>
      <c r="M25" s="504"/>
      <c r="N25" s="205">
        <v>191.56</v>
      </c>
      <c r="O25" s="205">
        <v>190.82999999999998</v>
      </c>
      <c r="P25" s="205">
        <v>190.82</v>
      </c>
      <c r="Q25" s="205">
        <v>191.17</v>
      </c>
      <c r="R25" s="205">
        <v>190.46</v>
      </c>
      <c r="S25" s="205">
        <v>192.45</v>
      </c>
      <c r="T25" s="205">
        <v>191.71</v>
      </c>
      <c r="U25" s="205">
        <v>192.32999999999998</v>
      </c>
      <c r="V25" s="205">
        <v>191.30999999999997</v>
      </c>
      <c r="W25" s="202">
        <v>190</v>
      </c>
      <c r="Z25" s="23" t="str">
        <v>21/02/2024  01:24</v>
      </c>
      <c r="AA25">
        <v>191.7</v>
      </c>
      <c r="AB25">
        <v>190.6</v>
      </c>
      <c r="AC25">
        <v>192.2</v>
      </c>
    </row>
    <row r="26" spans="1:29" ht="15" customHeight="1" x14ac:dyDescent="0.25">
      <c r="A26" s="23" t="str">
        <v>21/02/2024  01:25</v>
      </c>
      <c r="B26">
        <v>191.09</v>
      </c>
      <c r="C26">
        <v>190.54</v>
      </c>
      <c r="D26">
        <v>190.42</v>
      </c>
      <c r="E26">
        <v>190.78</v>
      </c>
      <c r="F26">
        <v>189.62</v>
      </c>
      <c r="G26">
        <v>192.05</v>
      </c>
      <c r="H26">
        <v>191.41</v>
      </c>
      <c r="I26">
        <v>191.92</v>
      </c>
      <c r="J26">
        <v>190.79</v>
      </c>
      <c r="K26" s="204"/>
      <c r="M26" s="504"/>
      <c r="N26" s="205">
        <v>191.57</v>
      </c>
      <c r="O26" s="205">
        <v>190.82999999999998</v>
      </c>
      <c r="P26" s="205">
        <v>190.83999999999997</v>
      </c>
      <c r="Q26" s="205">
        <v>191.11999999999998</v>
      </c>
      <c r="R26" s="205">
        <v>190.25</v>
      </c>
      <c r="S26" s="205">
        <v>192.37</v>
      </c>
      <c r="T26" s="205">
        <v>191.66</v>
      </c>
      <c r="U26" s="205">
        <v>192.25999999999996</v>
      </c>
      <c r="V26" s="205">
        <v>191.21999999999997</v>
      </c>
      <c r="W26" s="202">
        <v>190</v>
      </c>
      <c r="Z26" s="23" t="str">
        <v>21/02/2024  01:25</v>
      </c>
      <c r="AA26">
        <v>191.5</v>
      </c>
      <c r="AB26">
        <v>190.5</v>
      </c>
      <c r="AC26">
        <v>192.1</v>
      </c>
    </row>
    <row r="27" spans="1:29" ht="15" customHeight="1" x14ac:dyDescent="0.25">
      <c r="A27" s="23" t="str">
        <v>21/02/2024  01:26</v>
      </c>
      <c r="B27">
        <v>191.02</v>
      </c>
      <c r="C27">
        <v>190.57</v>
      </c>
      <c r="D27">
        <v>190.47</v>
      </c>
      <c r="E27">
        <v>190.75</v>
      </c>
      <c r="F27">
        <v>189.6</v>
      </c>
      <c r="G27">
        <v>192.03</v>
      </c>
      <c r="H27">
        <v>191.35</v>
      </c>
      <c r="I27">
        <v>191.77</v>
      </c>
      <c r="J27">
        <v>190.71</v>
      </c>
      <c r="K27" s="204"/>
      <c r="M27" s="504"/>
      <c r="N27" s="205">
        <v>191.5</v>
      </c>
      <c r="O27" s="205">
        <v>190.85999999999999</v>
      </c>
      <c r="P27" s="205">
        <v>190.89</v>
      </c>
      <c r="Q27" s="205">
        <v>191.08999999999997</v>
      </c>
      <c r="R27" s="205">
        <v>190.23</v>
      </c>
      <c r="S27" s="205">
        <v>192.35</v>
      </c>
      <c r="T27" s="205">
        <v>191.6</v>
      </c>
      <c r="U27" s="205">
        <v>192.10999999999999</v>
      </c>
      <c r="V27" s="205">
        <v>191.14</v>
      </c>
      <c r="W27" s="202">
        <v>190</v>
      </c>
      <c r="Z27" s="23" t="str">
        <v>21/02/2024  01:26</v>
      </c>
      <c r="AA27">
        <v>191.3</v>
      </c>
      <c r="AB27">
        <v>190.5</v>
      </c>
      <c r="AC27">
        <v>192.1</v>
      </c>
    </row>
    <row r="28" spans="1:29" ht="15" customHeight="1" x14ac:dyDescent="0.25">
      <c r="A28" s="23" t="str">
        <v>21/02/2024  01:27</v>
      </c>
      <c r="B28">
        <v>190.99</v>
      </c>
      <c r="C28">
        <v>190.59</v>
      </c>
      <c r="D28">
        <v>190.47</v>
      </c>
      <c r="E28">
        <v>190.73</v>
      </c>
      <c r="F28">
        <v>189.55</v>
      </c>
      <c r="G28">
        <v>191.94</v>
      </c>
      <c r="H28">
        <v>191.33</v>
      </c>
      <c r="I28">
        <v>191.74</v>
      </c>
      <c r="J28">
        <v>190.66</v>
      </c>
      <c r="K28" s="204"/>
      <c r="M28" s="504"/>
      <c r="N28" s="205">
        <v>191.47</v>
      </c>
      <c r="O28" s="205">
        <v>190.88</v>
      </c>
      <c r="P28" s="205">
        <v>190.89</v>
      </c>
      <c r="Q28" s="205">
        <v>191.06999999999996</v>
      </c>
      <c r="R28" s="205">
        <v>190.18</v>
      </c>
      <c r="S28" s="205">
        <v>192.26</v>
      </c>
      <c r="T28" s="205">
        <v>191.58</v>
      </c>
      <c r="U28" s="205">
        <v>192.07999999999998</v>
      </c>
      <c r="V28" s="205">
        <v>191.08999999999997</v>
      </c>
      <c r="W28" s="202">
        <v>190</v>
      </c>
      <c r="Z28" s="23" t="str">
        <v>21/02/2024  01:27</v>
      </c>
      <c r="AA28">
        <v>191.2</v>
      </c>
      <c r="AB28">
        <v>190.4</v>
      </c>
      <c r="AC28">
        <v>192</v>
      </c>
    </row>
    <row r="29" spans="1:29" ht="15" customHeight="1" x14ac:dyDescent="0.25">
      <c r="A29" s="23" t="str">
        <v>21/02/2024  01:28</v>
      </c>
      <c r="B29">
        <v>190.92</v>
      </c>
      <c r="C29">
        <v>190.55</v>
      </c>
      <c r="D29">
        <v>190.39</v>
      </c>
      <c r="E29">
        <v>190.68</v>
      </c>
      <c r="F29">
        <v>189.42</v>
      </c>
      <c r="G29">
        <v>191.82</v>
      </c>
      <c r="H29">
        <v>191.24</v>
      </c>
      <c r="I29">
        <v>191.56</v>
      </c>
      <c r="J29">
        <v>190.57</v>
      </c>
      <c r="K29" s="204"/>
      <c r="M29" s="504"/>
      <c r="N29" s="205">
        <v>191.39999999999998</v>
      </c>
      <c r="O29" s="205">
        <v>190.84</v>
      </c>
      <c r="P29" s="205">
        <v>190.80999999999997</v>
      </c>
      <c r="Q29" s="205">
        <v>191.01999999999998</v>
      </c>
      <c r="R29" s="205">
        <v>190.04999999999998</v>
      </c>
      <c r="S29" s="205">
        <v>192.14</v>
      </c>
      <c r="T29" s="205">
        <v>191.49</v>
      </c>
      <c r="U29" s="205">
        <v>191.89999999999998</v>
      </c>
      <c r="V29" s="205">
        <v>190.99999999999997</v>
      </c>
      <c r="W29" s="202">
        <v>190</v>
      </c>
      <c r="Z29" s="23" t="str">
        <v>21/02/2024  01:28</v>
      </c>
      <c r="AA29">
        <v>191</v>
      </c>
      <c r="AB29">
        <v>190.4</v>
      </c>
      <c r="AC29">
        <v>192</v>
      </c>
    </row>
    <row r="30" spans="1:29" ht="15" customHeight="1" x14ac:dyDescent="0.25">
      <c r="A30" s="23" t="str">
        <v>21/02/2024  01:29</v>
      </c>
      <c r="B30">
        <v>190.92</v>
      </c>
      <c r="C30">
        <v>190.53</v>
      </c>
      <c r="D30">
        <v>190.4</v>
      </c>
      <c r="E30">
        <v>190.6</v>
      </c>
      <c r="F30">
        <v>189.34</v>
      </c>
      <c r="G30">
        <v>191.8</v>
      </c>
      <c r="H30">
        <v>191.17</v>
      </c>
      <c r="I30">
        <v>191.5</v>
      </c>
      <c r="J30">
        <v>190.52</v>
      </c>
      <c r="K30" s="204"/>
      <c r="M30" s="504"/>
      <c r="N30" s="205">
        <v>191.39999999999998</v>
      </c>
      <c r="O30" s="205">
        <v>190.82</v>
      </c>
      <c r="P30" s="205">
        <v>190.82</v>
      </c>
      <c r="Q30" s="205">
        <v>190.93999999999997</v>
      </c>
      <c r="R30" s="205">
        <v>189.97</v>
      </c>
      <c r="S30" s="205">
        <v>192.12</v>
      </c>
      <c r="T30" s="205">
        <v>191.42</v>
      </c>
      <c r="U30" s="205">
        <v>191.83999999999997</v>
      </c>
      <c r="V30" s="205">
        <v>190.95</v>
      </c>
      <c r="W30" s="202">
        <v>190</v>
      </c>
      <c r="Z30" s="23" t="str">
        <v>21/02/2024  01:29</v>
      </c>
      <c r="AA30">
        <v>190.9</v>
      </c>
      <c r="AB30">
        <v>190.3</v>
      </c>
      <c r="AC30">
        <v>191.9</v>
      </c>
    </row>
    <row r="31" spans="1:29" ht="15" customHeight="1" x14ac:dyDescent="0.25">
      <c r="A31" s="23" t="str">
        <v>21/02/2024  01:30</v>
      </c>
      <c r="B31">
        <v>190.94</v>
      </c>
      <c r="C31">
        <v>190.58</v>
      </c>
      <c r="D31">
        <v>190.43</v>
      </c>
      <c r="E31">
        <v>190.68</v>
      </c>
      <c r="F31">
        <v>189.37</v>
      </c>
      <c r="G31">
        <v>191.81</v>
      </c>
      <c r="H31">
        <v>191.18</v>
      </c>
      <c r="I31">
        <v>191.52</v>
      </c>
      <c r="J31">
        <v>190.58</v>
      </c>
      <c r="K31" s="204"/>
      <c r="M31" s="504"/>
      <c r="N31" s="205">
        <v>191.42</v>
      </c>
      <c r="O31" s="205">
        <v>190.87</v>
      </c>
      <c r="P31" s="205">
        <v>190.85</v>
      </c>
      <c r="Q31" s="205">
        <v>191.01999999999998</v>
      </c>
      <c r="R31" s="205">
        <v>190</v>
      </c>
      <c r="S31" s="205">
        <v>192.13</v>
      </c>
      <c r="T31" s="205">
        <v>191.43</v>
      </c>
      <c r="U31" s="205">
        <v>191.85999999999999</v>
      </c>
      <c r="V31" s="205">
        <v>191.01</v>
      </c>
      <c r="W31" s="202">
        <v>190</v>
      </c>
      <c r="Z31" s="23" t="str">
        <v>21/02/2024  01:30</v>
      </c>
      <c r="AA31">
        <v>190.7</v>
      </c>
      <c r="AB31">
        <v>190.3</v>
      </c>
      <c r="AC31">
        <v>191.9</v>
      </c>
    </row>
    <row r="32" spans="1:29" ht="15" customHeight="1" x14ac:dyDescent="0.25">
      <c r="A32" s="23" t="str">
        <v>21/02/2024  01:31</v>
      </c>
      <c r="B32">
        <v>190.98</v>
      </c>
      <c r="C32">
        <v>190.61</v>
      </c>
      <c r="D32">
        <v>190.5</v>
      </c>
      <c r="E32">
        <v>190.74</v>
      </c>
      <c r="F32">
        <v>189.28</v>
      </c>
      <c r="G32">
        <v>191.79</v>
      </c>
      <c r="H32">
        <v>191.22</v>
      </c>
      <c r="I32">
        <v>191.52</v>
      </c>
      <c r="J32">
        <v>190.52</v>
      </c>
      <c r="K32" s="204"/>
      <c r="M32" s="504"/>
      <c r="N32" s="205">
        <v>191.45999999999998</v>
      </c>
      <c r="O32" s="205">
        <v>190.9</v>
      </c>
      <c r="P32" s="205">
        <v>190.92</v>
      </c>
      <c r="Q32" s="205">
        <v>191.07999999999998</v>
      </c>
      <c r="R32" s="205">
        <v>189.91</v>
      </c>
      <c r="S32" s="205">
        <v>192.10999999999999</v>
      </c>
      <c r="T32" s="205">
        <v>191.47</v>
      </c>
      <c r="U32" s="205">
        <v>191.85999999999999</v>
      </c>
      <c r="V32" s="205">
        <v>190.95</v>
      </c>
      <c r="W32" s="202">
        <v>190</v>
      </c>
      <c r="Z32" s="23" t="str">
        <v>21/02/2024  01:31</v>
      </c>
      <c r="AA32">
        <v>190.7</v>
      </c>
      <c r="AB32">
        <v>190.2</v>
      </c>
      <c r="AC32">
        <v>191.8</v>
      </c>
    </row>
    <row r="33" spans="1:29" ht="15" customHeight="1" x14ac:dyDescent="0.25">
      <c r="A33" s="23" t="str">
        <v>21/02/2024  01:32</v>
      </c>
      <c r="B33">
        <v>190.86</v>
      </c>
      <c r="C33">
        <v>190.58</v>
      </c>
      <c r="D33">
        <v>190.48</v>
      </c>
      <c r="E33">
        <v>190.65</v>
      </c>
      <c r="F33">
        <v>189.32</v>
      </c>
      <c r="G33">
        <v>191.72</v>
      </c>
      <c r="H33">
        <v>191.12</v>
      </c>
      <c r="I33">
        <v>191.4</v>
      </c>
      <c r="J33">
        <v>190.48</v>
      </c>
      <c r="K33" s="204"/>
      <c r="M33" s="504"/>
      <c r="N33" s="205">
        <v>191.34</v>
      </c>
      <c r="O33" s="205">
        <v>190.87</v>
      </c>
      <c r="P33" s="205">
        <v>190.89999999999998</v>
      </c>
      <c r="Q33" s="205">
        <v>190.98999999999998</v>
      </c>
      <c r="R33" s="205">
        <v>189.95</v>
      </c>
      <c r="S33" s="205">
        <v>192.04</v>
      </c>
      <c r="T33" s="205">
        <v>191.37</v>
      </c>
      <c r="U33" s="205">
        <v>191.73999999999998</v>
      </c>
      <c r="V33" s="205">
        <v>190.90999999999997</v>
      </c>
      <c r="W33" s="202">
        <v>190</v>
      </c>
      <c r="Z33" s="23" t="str">
        <v>21/02/2024  01:32</v>
      </c>
      <c r="AA33">
        <v>190.7</v>
      </c>
      <c r="AB33">
        <v>190.2</v>
      </c>
      <c r="AC33">
        <v>191.8</v>
      </c>
    </row>
    <row r="34" spans="1:29" ht="15" customHeight="1" x14ac:dyDescent="0.25">
      <c r="A34" s="23" t="str">
        <v>21/02/2024  01:33</v>
      </c>
      <c r="B34">
        <v>190.9</v>
      </c>
      <c r="C34">
        <v>190.61</v>
      </c>
      <c r="D34">
        <v>190.46</v>
      </c>
      <c r="E34">
        <v>190.65</v>
      </c>
      <c r="F34">
        <v>189.37</v>
      </c>
      <c r="G34">
        <v>191.76</v>
      </c>
      <c r="H34">
        <v>191.13</v>
      </c>
      <c r="I34">
        <v>191.38</v>
      </c>
      <c r="J34">
        <v>190.44</v>
      </c>
      <c r="K34" s="204"/>
      <c r="M34" s="504"/>
      <c r="N34" s="205">
        <v>191.38</v>
      </c>
      <c r="O34" s="205">
        <v>190.9</v>
      </c>
      <c r="P34" s="205">
        <v>190.88</v>
      </c>
      <c r="Q34" s="205">
        <v>190.98999999999998</v>
      </c>
      <c r="R34" s="205">
        <v>190</v>
      </c>
      <c r="S34" s="205">
        <v>192.07999999999998</v>
      </c>
      <c r="T34" s="205">
        <v>191.38</v>
      </c>
      <c r="U34" s="205">
        <v>191.71999999999997</v>
      </c>
      <c r="V34" s="205">
        <v>190.86999999999998</v>
      </c>
      <c r="W34" s="202">
        <v>190</v>
      </c>
      <c r="Z34" s="23" t="str">
        <v>21/02/2024  01:33</v>
      </c>
      <c r="AA34">
        <v>190.6</v>
      </c>
      <c r="AB34">
        <v>190.2</v>
      </c>
      <c r="AC34">
        <v>191.8</v>
      </c>
    </row>
    <row r="35" spans="1:29" ht="15" customHeight="1" x14ac:dyDescent="0.25">
      <c r="A35" s="23" t="str">
        <v>21/02/2024  01:34</v>
      </c>
      <c r="B35">
        <v>190.84</v>
      </c>
      <c r="C35">
        <v>190.63</v>
      </c>
      <c r="D35">
        <v>190.51</v>
      </c>
      <c r="E35">
        <v>190.66</v>
      </c>
      <c r="F35">
        <v>189.28</v>
      </c>
      <c r="G35">
        <v>191.7</v>
      </c>
      <c r="H35">
        <v>191.11</v>
      </c>
      <c r="I35">
        <v>191.39</v>
      </c>
      <c r="J35">
        <v>190.44</v>
      </c>
      <c r="K35" s="204"/>
      <c r="M35" s="504"/>
      <c r="N35" s="205">
        <v>191.32</v>
      </c>
      <c r="O35" s="205">
        <v>190.92</v>
      </c>
      <c r="P35" s="205">
        <v>190.92999999999998</v>
      </c>
      <c r="Q35" s="205">
        <v>190.99999999999997</v>
      </c>
      <c r="R35" s="205">
        <v>189.91</v>
      </c>
      <c r="S35" s="205">
        <v>192.01999999999998</v>
      </c>
      <c r="T35" s="205">
        <v>191.36</v>
      </c>
      <c r="U35" s="205">
        <v>191.72999999999996</v>
      </c>
      <c r="V35" s="205">
        <v>190.86999999999998</v>
      </c>
      <c r="W35" s="202">
        <v>190</v>
      </c>
      <c r="Z35" s="23" t="str">
        <v>21/02/2024  01:34</v>
      </c>
      <c r="AA35">
        <v>190.6</v>
      </c>
      <c r="AB35">
        <v>190.2</v>
      </c>
      <c r="AC35">
        <v>191.8</v>
      </c>
    </row>
    <row r="36" spans="1:29" ht="15" customHeight="1" x14ac:dyDescent="0.25">
      <c r="A36" s="23" t="str">
        <v>21/02/2024  01:35</v>
      </c>
      <c r="B36">
        <v>190.87</v>
      </c>
      <c r="C36">
        <v>190.65</v>
      </c>
      <c r="D36">
        <v>190.51</v>
      </c>
      <c r="E36">
        <v>190.64</v>
      </c>
      <c r="F36">
        <v>189.31</v>
      </c>
      <c r="G36">
        <v>191.68</v>
      </c>
      <c r="H36">
        <v>191.13</v>
      </c>
      <c r="I36">
        <v>191.36</v>
      </c>
      <c r="J36">
        <v>190.46</v>
      </c>
      <c r="K36" s="204"/>
      <c r="M36" s="504"/>
      <c r="N36" s="205">
        <v>191.35</v>
      </c>
      <c r="O36" s="205">
        <v>190.94</v>
      </c>
      <c r="P36" s="205">
        <v>190.92999999999998</v>
      </c>
      <c r="Q36" s="205">
        <v>190.97999999999996</v>
      </c>
      <c r="R36" s="205">
        <v>189.94</v>
      </c>
      <c r="S36" s="205">
        <v>192</v>
      </c>
      <c r="T36" s="205">
        <v>191.38</v>
      </c>
      <c r="U36" s="205">
        <v>191.7</v>
      </c>
      <c r="V36" s="205">
        <v>190.89</v>
      </c>
      <c r="W36" s="202">
        <v>190</v>
      </c>
      <c r="Z36" s="23" t="str">
        <v>21/02/2024  01:35</v>
      </c>
      <c r="AA36">
        <v>190.4</v>
      </c>
      <c r="AB36">
        <v>190.2</v>
      </c>
      <c r="AC36">
        <v>191.7</v>
      </c>
    </row>
    <row r="37" spans="1:29" ht="15" customHeight="1" x14ac:dyDescent="0.25">
      <c r="A37" s="23" t="str">
        <v>21/02/2024  01:36</v>
      </c>
      <c r="B37">
        <v>190.93</v>
      </c>
      <c r="C37">
        <v>190.67</v>
      </c>
      <c r="D37">
        <v>190.57</v>
      </c>
      <c r="E37">
        <v>190.72</v>
      </c>
      <c r="F37">
        <v>189.23</v>
      </c>
      <c r="G37">
        <v>191.68</v>
      </c>
      <c r="H37">
        <v>191.1</v>
      </c>
      <c r="I37">
        <v>191.39</v>
      </c>
      <c r="J37">
        <v>190.42</v>
      </c>
      <c r="K37" s="204"/>
      <c r="M37" s="504"/>
      <c r="N37" s="205">
        <v>191.41</v>
      </c>
      <c r="O37" s="205">
        <v>190.95999999999998</v>
      </c>
      <c r="P37" s="205">
        <v>190.98999999999998</v>
      </c>
      <c r="Q37" s="205">
        <v>191.05999999999997</v>
      </c>
      <c r="R37" s="205">
        <v>189.85999999999999</v>
      </c>
      <c r="S37" s="205">
        <v>192</v>
      </c>
      <c r="T37" s="205">
        <v>191.35</v>
      </c>
      <c r="U37" s="205">
        <v>191.72999999999996</v>
      </c>
      <c r="V37" s="205">
        <v>190.84999999999997</v>
      </c>
      <c r="W37" s="202">
        <v>190</v>
      </c>
      <c r="Z37" s="23" t="str">
        <v>21/02/2024  01:36</v>
      </c>
      <c r="AA37">
        <v>190.5</v>
      </c>
      <c r="AB37">
        <v>190.1</v>
      </c>
      <c r="AC37">
        <v>191.7</v>
      </c>
    </row>
    <row r="38" spans="1:29" ht="15" customHeight="1" x14ac:dyDescent="0.25">
      <c r="A38" s="23" t="str">
        <v>21/02/2024  01:37</v>
      </c>
      <c r="B38">
        <v>190.83</v>
      </c>
      <c r="C38">
        <v>190.61</v>
      </c>
      <c r="D38">
        <v>190.48</v>
      </c>
      <c r="E38">
        <v>190.63</v>
      </c>
      <c r="F38">
        <v>189.2</v>
      </c>
      <c r="G38">
        <v>191.57</v>
      </c>
      <c r="H38">
        <v>191.01</v>
      </c>
      <c r="I38">
        <v>191.23</v>
      </c>
      <c r="J38">
        <v>190.36</v>
      </c>
      <c r="K38" s="204"/>
      <c r="M38" s="504"/>
      <c r="N38" s="205">
        <v>191.31</v>
      </c>
      <c r="O38" s="205">
        <v>190.9</v>
      </c>
      <c r="P38" s="205">
        <v>190.89999999999998</v>
      </c>
      <c r="Q38" s="205">
        <v>190.96999999999997</v>
      </c>
      <c r="R38" s="205">
        <v>189.82999999999998</v>
      </c>
      <c r="S38" s="205">
        <v>191.89</v>
      </c>
      <c r="T38" s="205">
        <v>191.26</v>
      </c>
      <c r="U38" s="205">
        <v>191.56999999999996</v>
      </c>
      <c r="V38" s="205">
        <v>190.79</v>
      </c>
      <c r="W38" s="202">
        <v>190</v>
      </c>
      <c r="Z38" s="23" t="str">
        <v>21/02/2024  01:37</v>
      </c>
      <c r="AA38">
        <v>190.4</v>
      </c>
      <c r="AB38">
        <v>190.1</v>
      </c>
      <c r="AC38">
        <v>191.7</v>
      </c>
    </row>
    <row r="39" spans="1:29" ht="15" customHeight="1" x14ac:dyDescent="0.25">
      <c r="A39" s="23" t="str">
        <v>21/02/2024  01:38</v>
      </c>
      <c r="B39">
        <v>190.82</v>
      </c>
      <c r="C39">
        <v>190.64</v>
      </c>
      <c r="D39">
        <v>190.48</v>
      </c>
      <c r="E39">
        <v>190.65</v>
      </c>
      <c r="F39">
        <v>189.07</v>
      </c>
      <c r="G39">
        <v>191.56</v>
      </c>
      <c r="H39">
        <v>191.08</v>
      </c>
      <c r="I39">
        <v>191.26</v>
      </c>
      <c r="J39">
        <v>190.39</v>
      </c>
      <c r="K39" s="204"/>
      <c r="M39" s="504"/>
      <c r="N39" s="205">
        <v>191.29999999999998</v>
      </c>
      <c r="O39" s="205">
        <v>190.92999999999998</v>
      </c>
      <c r="P39" s="205">
        <v>190.89999999999998</v>
      </c>
      <c r="Q39" s="205">
        <v>190.98999999999998</v>
      </c>
      <c r="R39" s="205">
        <v>189.7</v>
      </c>
      <c r="S39" s="205">
        <v>191.88</v>
      </c>
      <c r="T39" s="205">
        <v>191.33</v>
      </c>
      <c r="U39" s="205">
        <v>191.59999999999997</v>
      </c>
      <c r="V39" s="205">
        <v>190.81999999999996</v>
      </c>
      <c r="W39" s="202">
        <v>190</v>
      </c>
      <c r="Z39" s="23" t="str">
        <v>21/02/2024  01:38</v>
      </c>
      <c r="AA39">
        <v>190.4</v>
      </c>
      <c r="AB39">
        <v>190.1</v>
      </c>
      <c r="AC39">
        <v>191.7</v>
      </c>
    </row>
    <row r="40" spans="1:29" ht="15" customHeight="1" x14ac:dyDescent="0.25">
      <c r="A40" s="23" t="str">
        <v>21/02/2024  01:39</v>
      </c>
      <c r="B40">
        <v>190.86</v>
      </c>
      <c r="C40">
        <v>190.65</v>
      </c>
      <c r="D40">
        <v>190.53</v>
      </c>
      <c r="E40">
        <v>190.69</v>
      </c>
      <c r="F40">
        <v>189.18</v>
      </c>
      <c r="G40">
        <v>191.58</v>
      </c>
      <c r="H40">
        <v>191.05</v>
      </c>
      <c r="I40">
        <v>191.24</v>
      </c>
      <c r="J40">
        <v>190.38</v>
      </c>
      <c r="K40" s="204"/>
      <c r="M40" s="504"/>
      <c r="N40" s="205">
        <v>191.34</v>
      </c>
      <c r="O40" s="205">
        <v>190.94</v>
      </c>
      <c r="P40" s="205">
        <v>190.95</v>
      </c>
      <c r="Q40" s="205">
        <v>191.02999999999997</v>
      </c>
      <c r="R40" s="205">
        <v>189.81</v>
      </c>
      <c r="S40" s="205">
        <v>191.9</v>
      </c>
      <c r="T40" s="205">
        <v>191.3</v>
      </c>
      <c r="U40" s="205">
        <v>191.57999999999998</v>
      </c>
      <c r="V40" s="205">
        <v>190.80999999999997</v>
      </c>
      <c r="W40" s="202">
        <v>190</v>
      </c>
      <c r="Z40" s="23" t="str">
        <v>21/02/2024  01:39</v>
      </c>
      <c r="AA40">
        <v>190.3</v>
      </c>
      <c r="AB40">
        <v>190.1</v>
      </c>
      <c r="AC40">
        <v>191.6</v>
      </c>
    </row>
    <row r="41" spans="1:29" ht="15" customHeight="1" x14ac:dyDescent="0.25">
      <c r="A41" s="23" t="str">
        <v>21/02/2024  01:40</v>
      </c>
      <c r="B41">
        <v>190.84</v>
      </c>
      <c r="C41">
        <v>190.65</v>
      </c>
      <c r="D41">
        <v>190.53</v>
      </c>
      <c r="E41">
        <v>190.68</v>
      </c>
      <c r="F41">
        <v>189.12</v>
      </c>
      <c r="G41">
        <v>191.57</v>
      </c>
      <c r="H41">
        <v>191.06</v>
      </c>
      <c r="I41">
        <v>191.23</v>
      </c>
      <c r="J41">
        <v>190.41</v>
      </c>
      <c r="K41" s="204"/>
      <c r="M41" s="504"/>
      <c r="N41" s="205">
        <v>191.32</v>
      </c>
      <c r="O41" s="205">
        <v>190.94</v>
      </c>
      <c r="P41" s="205">
        <v>190.95</v>
      </c>
      <c r="Q41" s="205">
        <v>191.01999999999998</v>
      </c>
      <c r="R41" s="205">
        <v>189.75</v>
      </c>
      <c r="S41" s="205">
        <v>191.89</v>
      </c>
      <c r="T41" s="205">
        <v>191.31</v>
      </c>
      <c r="U41" s="205">
        <v>191.56999999999996</v>
      </c>
      <c r="V41" s="205">
        <v>190.83999999999997</v>
      </c>
      <c r="W41" s="202">
        <v>190</v>
      </c>
      <c r="Z41" s="23" t="str">
        <v>21/02/2024  01:40</v>
      </c>
      <c r="AA41">
        <v>190.3</v>
      </c>
      <c r="AB41">
        <v>190.1</v>
      </c>
      <c r="AC41">
        <v>191.6</v>
      </c>
    </row>
    <row r="42" spans="1:29" ht="15" customHeight="1" x14ac:dyDescent="0.25">
      <c r="A42" s="23" t="str">
        <v>21/02/2024  01:41</v>
      </c>
      <c r="B42">
        <v>190.81</v>
      </c>
      <c r="C42">
        <v>190.63</v>
      </c>
      <c r="D42">
        <v>190.47</v>
      </c>
      <c r="E42">
        <v>190.61</v>
      </c>
      <c r="F42">
        <v>189.02</v>
      </c>
      <c r="G42">
        <v>191.52</v>
      </c>
      <c r="H42">
        <v>191.02</v>
      </c>
      <c r="I42">
        <v>191.17</v>
      </c>
      <c r="J42">
        <v>190.31</v>
      </c>
      <c r="K42" s="204"/>
      <c r="M42" s="504"/>
      <c r="N42" s="205">
        <v>191.29</v>
      </c>
      <c r="O42" s="205">
        <v>190.92</v>
      </c>
      <c r="P42" s="205">
        <v>190.89</v>
      </c>
      <c r="Q42" s="205">
        <v>190.95</v>
      </c>
      <c r="R42" s="205">
        <v>189.65</v>
      </c>
      <c r="S42" s="205">
        <v>191.84</v>
      </c>
      <c r="T42" s="205">
        <v>191.27</v>
      </c>
      <c r="U42" s="205">
        <v>191.50999999999996</v>
      </c>
      <c r="V42" s="205">
        <v>190.73999999999998</v>
      </c>
      <c r="W42" s="202">
        <v>190</v>
      </c>
      <c r="Z42" s="23" t="str">
        <v>21/02/2024  01:41</v>
      </c>
      <c r="AA42">
        <v>190.3</v>
      </c>
      <c r="AB42">
        <v>190.1</v>
      </c>
      <c r="AC42">
        <v>191.6</v>
      </c>
    </row>
    <row r="43" spans="1:29" ht="15" customHeight="1" x14ac:dyDescent="0.25">
      <c r="A43" s="23" t="str">
        <v>21/02/2024  01:42</v>
      </c>
      <c r="B43">
        <v>190.8</v>
      </c>
      <c r="C43">
        <v>190.65</v>
      </c>
      <c r="D43">
        <v>190.51</v>
      </c>
      <c r="E43">
        <v>190.65</v>
      </c>
      <c r="F43">
        <v>189.11</v>
      </c>
      <c r="G43">
        <v>191.53</v>
      </c>
      <c r="H43">
        <v>190.98</v>
      </c>
      <c r="I43">
        <v>191.22</v>
      </c>
      <c r="J43">
        <v>190.34</v>
      </c>
      <c r="K43" s="204"/>
      <c r="M43" s="504"/>
      <c r="N43" s="205">
        <v>191.28</v>
      </c>
      <c r="O43" s="205">
        <v>190.94</v>
      </c>
      <c r="P43" s="205">
        <v>190.92999999999998</v>
      </c>
      <c r="Q43" s="205">
        <v>190.98999999999998</v>
      </c>
      <c r="R43" s="205">
        <v>189.74</v>
      </c>
      <c r="S43" s="205">
        <v>191.85</v>
      </c>
      <c r="T43" s="205">
        <v>191.23</v>
      </c>
      <c r="U43" s="205">
        <v>191.55999999999997</v>
      </c>
      <c r="V43" s="205">
        <v>190.76999999999998</v>
      </c>
      <c r="W43" s="202">
        <v>190</v>
      </c>
      <c r="Z43" s="23" t="str">
        <v>21/02/2024  01:42</v>
      </c>
      <c r="AA43">
        <v>190.2</v>
      </c>
      <c r="AB43">
        <v>190.1</v>
      </c>
      <c r="AC43">
        <v>191.6</v>
      </c>
    </row>
    <row r="44" spans="1:29" ht="15" customHeight="1" x14ac:dyDescent="0.25">
      <c r="A44" s="23" t="str">
        <v>21/02/2024  01:43</v>
      </c>
      <c r="B44">
        <v>190.9</v>
      </c>
      <c r="C44">
        <v>190.71</v>
      </c>
      <c r="D44">
        <v>190.57</v>
      </c>
      <c r="E44">
        <v>190.7</v>
      </c>
      <c r="F44">
        <v>189.11</v>
      </c>
      <c r="G44">
        <v>191.57</v>
      </c>
      <c r="H44">
        <v>191.08</v>
      </c>
      <c r="I44">
        <v>191.2</v>
      </c>
      <c r="J44">
        <v>190.36</v>
      </c>
      <c r="K44" s="204"/>
      <c r="M44" s="504"/>
      <c r="N44" s="205">
        <v>191.38</v>
      </c>
      <c r="O44" s="205">
        <v>191</v>
      </c>
      <c r="P44" s="205">
        <v>190.98999999999998</v>
      </c>
      <c r="Q44" s="205">
        <v>191.03999999999996</v>
      </c>
      <c r="R44" s="205">
        <v>189.74</v>
      </c>
      <c r="S44" s="205">
        <v>191.89</v>
      </c>
      <c r="T44" s="205">
        <v>191.33</v>
      </c>
      <c r="U44" s="205">
        <v>191.53999999999996</v>
      </c>
      <c r="V44" s="205">
        <v>190.79</v>
      </c>
      <c r="W44" s="202">
        <v>190</v>
      </c>
      <c r="Z44" s="23" t="str">
        <v>21/02/2024  01:43</v>
      </c>
      <c r="AA44">
        <v>190.3</v>
      </c>
      <c r="AB44">
        <v>190.1</v>
      </c>
      <c r="AC44">
        <v>191.6</v>
      </c>
    </row>
    <row r="45" spans="1:29" ht="15" customHeight="1" x14ac:dyDescent="0.25">
      <c r="A45" s="23" t="str">
        <v>21/02/2024  01:44</v>
      </c>
      <c r="B45">
        <v>191.33</v>
      </c>
      <c r="C45">
        <v>191.1</v>
      </c>
      <c r="D45">
        <v>191.02</v>
      </c>
      <c r="E45">
        <v>191.23</v>
      </c>
      <c r="F45">
        <v>189.78</v>
      </c>
      <c r="G45">
        <v>192.16</v>
      </c>
      <c r="H45">
        <v>191.52</v>
      </c>
      <c r="I45">
        <v>191.78</v>
      </c>
      <c r="J45">
        <v>190.85</v>
      </c>
      <c r="K45" s="204"/>
      <c r="M45" s="504"/>
      <c r="N45" s="205">
        <v>191.81</v>
      </c>
      <c r="O45" s="205">
        <v>191.39</v>
      </c>
      <c r="P45" s="205">
        <v>191.44</v>
      </c>
      <c r="Q45" s="205">
        <v>191.56999999999996</v>
      </c>
      <c r="R45" s="205">
        <v>190.41</v>
      </c>
      <c r="S45" s="205">
        <v>192.48</v>
      </c>
      <c r="T45" s="205">
        <v>191.77</v>
      </c>
      <c r="U45" s="205">
        <v>192.11999999999998</v>
      </c>
      <c r="V45" s="205">
        <v>191.27999999999997</v>
      </c>
      <c r="W45" s="202">
        <v>190.8</v>
      </c>
      <c r="Z45" s="23" t="str">
        <v>21/02/2024  01:44</v>
      </c>
      <c r="AA45">
        <v>190.3</v>
      </c>
      <c r="AB45">
        <v>190.1</v>
      </c>
      <c r="AC45">
        <v>191.7</v>
      </c>
    </row>
    <row r="46" spans="1:29" ht="15" customHeight="1" x14ac:dyDescent="0.25">
      <c r="A46" s="23" t="str">
        <v>21/02/2024  01:45</v>
      </c>
      <c r="B46">
        <v>192.56</v>
      </c>
      <c r="C46">
        <v>192.24</v>
      </c>
      <c r="D46">
        <v>192.14</v>
      </c>
      <c r="E46">
        <v>192.48</v>
      </c>
      <c r="F46">
        <v>191.25</v>
      </c>
      <c r="G46">
        <v>193.49</v>
      </c>
      <c r="H46">
        <v>192.79</v>
      </c>
      <c r="I46">
        <v>193.26</v>
      </c>
      <c r="J46">
        <v>192.19</v>
      </c>
      <c r="K46" s="204"/>
      <c r="M46" s="504"/>
      <c r="N46" s="205">
        <v>193.04</v>
      </c>
      <c r="O46" s="205">
        <v>192.53</v>
      </c>
      <c r="P46" s="205">
        <v>192.55999999999997</v>
      </c>
      <c r="Q46" s="205">
        <v>192.81999999999996</v>
      </c>
      <c r="R46" s="205">
        <v>191.88</v>
      </c>
      <c r="S46" s="205">
        <v>193.81</v>
      </c>
      <c r="T46" s="205">
        <v>193.04</v>
      </c>
      <c r="U46" s="205">
        <v>193.59999999999997</v>
      </c>
      <c r="V46" s="205">
        <v>192.61999999999998</v>
      </c>
      <c r="W46" s="202">
        <v>191.8</v>
      </c>
      <c r="Z46" s="23" t="str">
        <v>21/02/2024  01:45</v>
      </c>
      <c r="AA46">
        <v>190.9</v>
      </c>
      <c r="AB46">
        <v>190.5</v>
      </c>
      <c r="AC46">
        <v>192.3</v>
      </c>
    </row>
    <row r="47" spans="1:29" ht="15" customHeight="1" x14ac:dyDescent="0.25">
      <c r="A47" s="23" t="str">
        <v>21/02/2024  01:46</v>
      </c>
      <c r="B47">
        <v>193.75</v>
      </c>
      <c r="C47">
        <v>193.42</v>
      </c>
      <c r="D47">
        <v>193.41</v>
      </c>
      <c r="E47">
        <v>193.81</v>
      </c>
      <c r="F47">
        <v>192.68</v>
      </c>
      <c r="G47">
        <v>194.88</v>
      </c>
      <c r="H47">
        <v>194.17</v>
      </c>
      <c r="I47">
        <v>194.7</v>
      </c>
      <c r="J47">
        <v>193.66</v>
      </c>
      <c r="K47" s="204"/>
      <c r="M47" s="504"/>
      <c r="N47" s="205">
        <v>194.23</v>
      </c>
      <c r="O47" s="205">
        <v>193.70999999999998</v>
      </c>
      <c r="P47" s="205">
        <v>193.82999999999998</v>
      </c>
      <c r="Q47" s="205">
        <v>194.14999999999998</v>
      </c>
      <c r="R47" s="205">
        <v>193.31</v>
      </c>
      <c r="S47" s="205">
        <v>195.2</v>
      </c>
      <c r="T47" s="205">
        <v>194.42</v>
      </c>
      <c r="U47" s="205">
        <v>195.03999999999996</v>
      </c>
      <c r="V47" s="205">
        <v>194.08999999999997</v>
      </c>
      <c r="W47" s="202">
        <v>192.8</v>
      </c>
      <c r="Z47" s="23" t="str">
        <v>21/02/2024  01:46</v>
      </c>
      <c r="AA47">
        <v>192.1</v>
      </c>
      <c r="AB47">
        <v>191.4</v>
      </c>
      <c r="AC47">
        <v>193.4</v>
      </c>
    </row>
    <row r="48" spans="1:29" ht="15" customHeight="1" x14ac:dyDescent="0.25">
      <c r="A48" s="23" t="str">
        <v>21/02/2024  01:47</v>
      </c>
      <c r="B48">
        <v>194.93</v>
      </c>
      <c r="C48">
        <v>194.57</v>
      </c>
      <c r="D48">
        <v>194.51</v>
      </c>
      <c r="E48">
        <v>195.01</v>
      </c>
      <c r="F48">
        <v>194.01</v>
      </c>
      <c r="G48">
        <v>196.06</v>
      </c>
      <c r="H48">
        <v>195.36</v>
      </c>
      <c r="I48">
        <v>195.93</v>
      </c>
      <c r="J48">
        <v>194.84</v>
      </c>
      <c r="K48" s="204"/>
      <c r="M48" s="504"/>
      <c r="N48" s="205">
        <v>195.41</v>
      </c>
      <c r="O48" s="205">
        <v>194.85999999999999</v>
      </c>
      <c r="P48" s="205">
        <v>194.92999999999998</v>
      </c>
      <c r="Q48" s="205">
        <v>195.34999999999997</v>
      </c>
      <c r="R48" s="205">
        <v>194.64</v>
      </c>
      <c r="S48" s="205">
        <v>196.38</v>
      </c>
      <c r="T48" s="205">
        <v>195.61</v>
      </c>
      <c r="U48" s="205">
        <v>196.26999999999998</v>
      </c>
      <c r="V48" s="205">
        <v>195.26999999999998</v>
      </c>
      <c r="W48" s="202">
        <v>193.8</v>
      </c>
      <c r="Z48" s="23" t="str">
        <v>21/02/2024  01:47</v>
      </c>
      <c r="AA48">
        <v>193.5</v>
      </c>
      <c r="AB48">
        <v>192.4</v>
      </c>
      <c r="AC48">
        <v>194.6</v>
      </c>
    </row>
    <row r="49" spans="1:29" ht="15" customHeight="1" x14ac:dyDescent="0.25">
      <c r="A49" s="23" t="str">
        <v>21/02/2024  01:48</v>
      </c>
      <c r="B49">
        <v>196.03</v>
      </c>
      <c r="C49">
        <v>195.68</v>
      </c>
      <c r="D49">
        <v>195.6</v>
      </c>
      <c r="E49">
        <v>196.16</v>
      </c>
      <c r="F49">
        <v>195.29</v>
      </c>
      <c r="G49">
        <v>197.31</v>
      </c>
      <c r="H49">
        <v>196.54</v>
      </c>
      <c r="I49">
        <v>197.22</v>
      </c>
      <c r="J49">
        <v>196.05</v>
      </c>
      <c r="K49" s="204"/>
      <c r="M49" s="504"/>
      <c r="N49" s="205">
        <v>196.51</v>
      </c>
      <c r="O49" s="205">
        <v>195.97</v>
      </c>
      <c r="P49" s="205">
        <v>196.01999999999998</v>
      </c>
      <c r="Q49" s="205">
        <v>196.49999999999997</v>
      </c>
      <c r="R49" s="205">
        <v>195.92</v>
      </c>
      <c r="S49" s="205">
        <v>197.63</v>
      </c>
      <c r="T49" s="205">
        <v>196.79</v>
      </c>
      <c r="U49" s="205">
        <v>197.55999999999997</v>
      </c>
      <c r="V49" s="205">
        <v>196.48</v>
      </c>
      <c r="W49" s="202">
        <v>194.8</v>
      </c>
      <c r="Z49" s="23" t="str">
        <v>21/02/2024  01:48</v>
      </c>
      <c r="AA49">
        <v>194.8</v>
      </c>
      <c r="AB49">
        <v>193.4</v>
      </c>
      <c r="AC49">
        <v>195.8</v>
      </c>
    </row>
    <row r="50" spans="1:29" ht="15" customHeight="1" x14ac:dyDescent="0.25">
      <c r="A50" s="23" t="str">
        <v>21/02/2024  01:49</v>
      </c>
      <c r="B50">
        <v>197.18</v>
      </c>
      <c r="C50">
        <v>196.8</v>
      </c>
      <c r="D50">
        <v>196.72</v>
      </c>
      <c r="E50">
        <v>197.34</v>
      </c>
      <c r="F50">
        <v>196.43</v>
      </c>
      <c r="G50">
        <v>198.47</v>
      </c>
      <c r="H50">
        <v>197.76</v>
      </c>
      <c r="I50">
        <v>198.4</v>
      </c>
      <c r="J50">
        <v>197.24</v>
      </c>
      <c r="K50" s="204"/>
      <c r="M50" s="504"/>
      <c r="N50" s="205">
        <v>197.66</v>
      </c>
      <c r="O50" s="205">
        <v>197.09</v>
      </c>
      <c r="P50" s="205">
        <v>197.14</v>
      </c>
      <c r="Q50" s="205">
        <v>197.67999999999998</v>
      </c>
      <c r="R50" s="205">
        <v>197.06</v>
      </c>
      <c r="S50" s="205">
        <v>198.79</v>
      </c>
      <c r="T50" s="205">
        <v>198.01</v>
      </c>
      <c r="U50" s="205">
        <v>198.73999999999998</v>
      </c>
      <c r="V50" s="205">
        <v>197.67</v>
      </c>
      <c r="W50" s="202">
        <v>195.8</v>
      </c>
      <c r="Z50" s="23" t="str">
        <v>21/02/2024  01:49</v>
      </c>
      <c r="AA50">
        <v>196</v>
      </c>
      <c r="AB50">
        <v>194.5</v>
      </c>
      <c r="AC50">
        <v>196.9</v>
      </c>
    </row>
    <row r="51" spans="1:29" ht="15" customHeight="1" x14ac:dyDescent="0.25">
      <c r="A51" s="23" t="str">
        <v>21/02/2024  01:50</v>
      </c>
      <c r="B51">
        <v>198.21</v>
      </c>
      <c r="C51">
        <v>197.81</v>
      </c>
      <c r="D51">
        <v>197.78</v>
      </c>
      <c r="E51">
        <v>198.38</v>
      </c>
      <c r="F51">
        <v>197.58</v>
      </c>
      <c r="G51">
        <v>199.46</v>
      </c>
      <c r="H51">
        <v>198.79</v>
      </c>
      <c r="I51">
        <v>199.55</v>
      </c>
      <c r="J51">
        <v>198.37</v>
      </c>
      <c r="K51" s="204"/>
      <c r="M51" s="504"/>
      <c r="N51" s="205">
        <v>198.69</v>
      </c>
      <c r="O51" s="205">
        <v>198.1</v>
      </c>
      <c r="P51" s="205">
        <v>198.2</v>
      </c>
      <c r="Q51" s="205">
        <v>198.71999999999997</v>
      </c>
      <c r="R51" s="205">
        <v>198.21</v>
      </c>
      <c r="S51" s="205">
        <v>199.78</v>
      </c>
      <c r="T51" s="205">
        <v>199.04</v>
      </c>
      <c r="U51" s="205">
        <v>199.89</v>
      </c>
      <c r="V51" s="205">
        <v>198.79999999999998</v>
      </c>
      <c r="W51" s="202">
        <v>196.8</v>
      </c>
      <c r="Z51" s="23" t="str">
        <v>21/02/2024  01:50</v>
      </c>
      <c r="AA51">
        <v>197.3</v>
      </c>
      <c r="AB51">
        <v>195.6</v>
      </c>
      <c r="AC51">
        <v>198</v>
      </c>
    </row>
    <row r="52" spans="1:29" ht="15" customHeight="1" x14ac:dyDescent="0.25">
      <c r="A52" s="23" t="str">
        <v>21/02/2024  01:51</v>
      </c>
      <c r="B52">
        <v>199.33</v>
      </c>
      <c r="C52">
        <v>198.91</v>
      </c>
      <c r="D52">
        <v>198.89</v>
      </c>
      <c r="E52">
        <v>199.56</v>
      </c>
      <c r="F52">
        <v>198.61</v>
      </c>
      <c r="G52">
        <v>200.62</v>
      </c>
      <c r="H52">
        <v>199.9</v>
      </c>
      <c r="I52">
        <v>200.61</v>
      </c>
      <c r="J52">
        <v>199.42</v>
      </c>
      <c r="K52" s="204"/>
      <c r="M52" s="504"/>
      <c r="N52" s="205">
        <v>199.81</v>
      </c>
      <c r="O52" s="205">
        <v>199.2</v>
      </c>
      <c r="P52" s="205">
        <v>199.30999999999997</v>
      </c>
      <c r="Q52" s="205">
        <v>199.89999999999998</v>
      </c>
      <c r="R52" s="205">
        <v>199.24</v>
      </c>
      <c r="S52" s="205">
        <v>200.94</v>
      </c>
      <c r="T52" s="205">
        <v>200.15</v>
      </c>
      <c r="U52" s="205">
        <v>200.95</v>
      </c>
      <c r="V52" s="205">
        <v>199.84999999999997</v>
      </c>
      <c r="W52" s="202">
        <v>197.8</v>
      </c>
      <c r="Z52" s="23" t="str">
        <v>21/02/2024  01:51</v>
      </c>
      <c r="AA52">
        <v>198.5</v>
      </c>
      <c r="AB52">
        <v>196.6</v>
      </c>
      <c r="AC52">
        <v>199.1</v>
      </c>
    </row>
    <row r="53" spans="1:29" ht="15" customHeight="1" x14ac:dyDescent="0.25">
      <c r="A53" s="23" t="str">
        <v>21/02/2024  01:52</v>
      </c>
      <c r="B53">
        <v>200.01</v>
      </c>
      <c r="C53">
        <v>199.71</v>
      </c>
      <c r="D53">
        <v>199.6</v>
      </c>
      <c r="E53">
        <v>200.22</v>
      </c>
      <c r="F53">
        <v>199.29</v>
      </c>
      <c r="G53">
        <v>201.25</v>
      </c>
      <c r="H53">
        <v>200.62</v>
      </c>
      <c r="I53">
        <v>201.28</v>
      </c>
      <c r="J53">
        <v>200.18</v>
      </c>
      <c r="K53" s="204"/>
      <c r="M53" s="504"/>
      <c r="N53" s="205">
        <v>200.48999999999998</v>
      </c>
      <c r="O53" s="205">
        <v>200</v>
      </c>
      <c r="P53" s="205">
        <v>200.01999999999998</v>
      </c>
      <c r="Q53" s="205">
        <v>200.55999999999997</v>
      </c>
      <c r="R53" s="205">
        <v>199.92</v>
      </c>
      <c r="S53" s="205">
        <v>201.57</v>
      </c>
      <c r="T53" s="205">
        <v>200.87</v>
      </c>
      <c r="U53" s="205">
        <v>201.61999999999998</v>
      </c>
      <c r="V53" s="205">
        <v>200.60999999999999</v>
      </c>
      <c r="W53" s="202">
        <v>198.3</v>
      </c>
      <c r="Z53" s="23" t="str">
        <v>21/02/2024  01:52</v>
      </c>
      <c r="AA53">
        <v>199.6</v>
      </c>
      <c r="AB53">
        <v>197.7</v>
      </c>
      <c r="AC53">
        <v>200.2</v>
      </c>
    </row>
    <row r="54" spans="1:29" ht="15" customHeight="1" x14ac:dyDescent="0.25">
      <c r="A54" s="23" t="str">
        <v>21/02/2024  01:53</v>
      </c>
      <c r="B54">
        <v>200.29</v>
      </c>
      <c r="C54">
        <v>199.97</v>
      </c>
      <c r="D54">
        <v>199.83</v>
      </c>
      <c r="E54">
        <v>200.39</v>
      </c>
      <c r="F54">
        <v>199.27</v>
      </c>
      <c r="G54">
        <v>201.34</v>
      </c>
      <c r="H54">
        <v>200.83</v>
      </c>
      <c r="I54">
        <v>201.33</v>
      </c>
      <c r="J54">
        <v>200.33</v>
      </c>
      <c r="K54" s="204"/>
      <c r="M54" s="504"/>
      <c r="N54" s="205">
        <v>200.76999999999998</v>
      </c>
      <c r="O54" s="205">
        <v>200.26</v>
      </c>
      <c r="P54" s="205">
        <v>200.25</v>
      </c>
      <c r="Q54" s="205">
        <v>200.72999999999996</v>
      </c>
      <c r="R54" s="205">
        <v>199.9</v>
      </c>
      <c r="S54" s="205">
        <v>201.66</v>
      </c>
      <c r="T54" s="205">
        <v>201.08</v>
      </c>
      <c r="U54" s="205">
        <v>201.67</v>
      </c>
      <c r="V54" s="205">
        <v>200.76</v>
      </c>
      <c r="W54" s="202">
        <v>198.6</v>
      </c>
      <c r="Z54" s="23" t="str">
        <v>21/02/2024  01:53</v>
      </c>
      <c r="AA54">
        <v>200.2</v>
      </c>
      <c r="AB54">
        <v>198.4</v>
      </c>
      <c r="AC54">
        <v>200.7</v>
      </c>
    </row>
    <row r="55" spans="1:29" ht="15" customHeight="1" x14ac:dyDescent="0.25">
      <c r="A55" s="23" t="str">
        <v>21/02/2024  01:54</v>
      </c>
      <c r="B55">
        <v>200.54</v>
      </c>
      <c r="C55">
        <v>200.23</v>
      </c>
      <c r="D55">
        <v>200.11</v>
      </c>
      <c r="E55">
        <v>200.62</v>
      </c>
      <c r="F55">
        <v>199.51</v>
      </c>
      <c r="G55">
        <v>201.61</v>
      </c>
      <c r="H55">
        <v>201.04</v>
      </c>
      <c r="I55">
        <v>201.55</v>
      </c>
      <c r="J55">
        <v>200.49</v>
      </c>
      <c r="K55" s="204"/>
      <c r="M55" s="504"/>
      <c r="N55" s="205">
        <v>201.01999999999998</v>
      </c>
      <c r="O55" s="205">
        <v>200.51999999999998</v>
      </c>
      <c r="P55" s="205">
        <v>200.53</v>
      </c>
      <c r="Q55" s="205">
        <v>200.95999999999998</v>
      </c>
      <c r="R55" s="205">
        <v>200.14</v>
      </c>
      <c r="S55" s="205">
        <v>201.93</v>
      </c>
      <c r="T55" s="205">
        <v>201.29</v>
      </c>
      <c r="U55" s="205">
        <v>201.89</v>
      </c>
      <c r="V55" s="205">
        <v>200.92</v>
      </c>
      <c r="W55" s="202">
        <v>198.9</v>
      </c>
      <c r="Z55" s="23" t="str">
        <v>21/02/2024  01:54</v>
      </c>
      <c r="AA55">
        <v>200.6</v>
      </c>
      <c r="AB55">
        <v>198.9</v>
      </c>
      <c r="AC55">
        <v>201.1</v>
      </c>
    </row>
    <row r="56" spans="1:29" ht="15" customHeight="1" x14ac:dyDescent="0.25">
      <c r="A56" s="23" t="str">
        <v>21/02/2024  01:55</v>
      </c>
      <c r="B56">
        <v>200.75</v>
      </c>
      <c r="C56">
        <v>200.43</v>
      </c>
      <c r="D56">
        <v>200.31</v>
      </c>
      <c r="E56">
        <v>200.78</v>
      </c>
      <c r="F56">
        <v>199.66</v>
      </c>
      <c r="G56">
        <v>201.74</v>
      </c>
      <c r="H56">
        <v>201.2</v>
      </c>
      <c r="I56">
        <v>201.66</v>
      </c>
      <c r="J56">
        <v>200.65</v>
      </c>
      <c r="K56" s="204"/>
      <c r="M56" s="504"/>
      <c r="N56" s="205">
        <v>201.23</v>
      </c>
      <c r="O56" s="205">
        <v>200.72</v>
      </c>
      <c r="P56" s="205">
        <v>200.73</v>
      </c>
      <c r="Q56" s="205">
        <v>201.11999999999998</v>
      </c>
      <c r="R56" s="205">
        <v>200.29</v>
      </c>
      <c r="S56" s="205">
        <v>202.06</v>
      </c>
      <c r="T56" s="205">
        <v>201.45</v>
      </c>
      <c r="U56" s="205">
        <v>201.99999999999997</v>
      </c>
      <c r="V56" s="205">
        <v>201.07999999999998</v>
      </c>
      <c r="W56" s="202">
        <v>199.3</v>
      </c>
      <c r="Z56" s="23" t="str">
        <v>21/02/2024  01:55</v>
      </c>
      <c r="AA56">
        <v>200.7</v>
      </c>
      <c r="AB56">
        <v>199.3</v>
      </c>
      <c r="AC56">
        <v>201.4</v>
      </c>
    </row>
    <row r="57" spans="1:29" ht="15" customHeight="1" x14ac:dyDescent="0.25">
      <c r="A57" s="23" t="str">
        <v>21/02/2024  01:56</v>
      </c>
      <c r="B57">
        <v>201.01</v>
      </c>
      <c r="C57">
        <v>200.74</v>
      </c>
      <c r="D57">
        <v>200.59</v>
      </c>
      <c r="E57">
        <v>200.98</v>
      </c>
      <c r="F57">
        <v>199.78</v>
      </c>
      <c r="G57">
        <v>201.99</v>
      </c>
      <c r="H57">
        <v>201.41</v>
      </c>
      <c r="I57">
        <v>201.87</v>
      </c>
      <c r="J57">
        <v>200.89</v>
      </c>
      <c r="K57" s="204"/>
      <c r="M57" s="504"/>
      <c r="N57" s="205">
        <v>201.48999999999998</v>
      </c>
      <c r="O57" s="205">
        <v>201.03</v>
      </c>
      <c r="P57" s="205">
        <v>201.01</v>
      </c>
      <c r="Q57" s="205">
        <v>201.31999999999996</v>
      </c>
      <c r="R57" s="205">
        <v>200.41</v>
      </c>
      <c r="S57" s="205">
        <v>202.31</v>
      </c>
      <c r="T57" s="205">
        <v>201.66</v>
      </c>
      <c r="U57" s="205">
        <v>202.20999999999998</v>
      </c>
      <c r="V57" s="205">
        <v>201.31999999999996</v>
      </c>
      <c r="W57" s="202">
        <v>199.6</v>
      </c>
      <c r="Z57" s="23" t="str">
        <v>21/02/2024  01:56</v>
      </c>
      <c r="AA57">
        <v>200.9</v>
      </c>
      <c r="AB57">
        <v>199.6</v>
      </c>
      <c r="AC57">
        <v>201.5</v>
      </c>
    </row>
    <row r="58" spans="1:29" ht="15" customHeight="1" x14ac:dyDescent="0.25">
      <c r="A58" s="23" t="str">
        <v>21/02/2024  01:57</v>
      </c>
      <c r="B58">
        <v>201.33</v>
      </c>
      <c r="C58">
        <v>201.02</v>
      </c>
      <c r="D58">
        <v>200.9</v>
      </c>
      <c r="E58">
        <v>201.28</v>
      </c>
      <c r="F58">
        <v>200.05</v>
      </c>
      <c r="G58">
        <v>202.27</v>
      </c>
      <c r="H58">
        <v>201.68</v>
      </c>
      <c r="I58">
        <v>202.12</v>
      </c>
      <c r="J58">
        <v>201.16</v>
      </c>
      <c r="K58" s="204"/>
      <c r="M58" s="504"/>
      <c r="N58" s="205">
        <v>201.81</v>
      </c>
      <c r="O58" s="205">
        <v>201.31</v>
      </c>
      <c r="P58" s="205">
        <v>201.32</v>
      </c>
      <c r="Q58" s="205">
        <v>201.61999999999998</v>
      </c>
      <c r="R58" s="205">
        <v>200.68</v>
      </c>
      <c r="S58" s="205">
        <v>202.59</v>
      </c>
      <c r="T58" s="205">
        <v>201.93</v>
      </c>
      <c r="U58" s="205">
        <v>202.45999999999998</v>
      </c>
      <c r="V58" s="205">
        <v>201.58999999999997</v>
      </c>
      <c r="W58" s="202">
        <v>199.9</v>
      </c>
      <c r="Z58" s="23" t="str">
        <v>21/02/2024  01:57</v>
      </c>
      <c r="AA58">
        <v>201.1</v>
      </c>
      <c r="AB58">
        <v>199.9</v>
      </c>
      <c r="AC58">
        <v>201.8</v>
      </c>
    </row>
    <row r="59" spans="1:29" ht="15" customHeight="1" x14ac:dyDescent="0.25">
      <c r="A59" s="23" t="str">
        <v>21/02/2024  01:58</v>
      </c>
      <c r="B59">
        <v>201.46</v>
      </c>
      <c r="C59">
        <v>201.16</v>
      </c>
      <c r="D59">
        <v>201.07</v>
      </c>
      <c r="E59">
        <v>201.47</v>
      </c>
      <c r="F59">
        <v>200.01</v>
      </c>
      <c r="G59">
        <v>202.3</v>
      </c>
      <c r="H59">
        <v>201.83</v>
      </c>
      <c r="I59">
        <v>202.17</v>
      </c>
      <c r="J59">
        <v>201.26</v>
      </c>
      <c r="K59" s="204"/>
      <c r="M59" s="504"/>
      <c r="N59" s="205">
        <v>201.94</v>
      </c>
      <c r="O59" s="205">
        <v>201.45</v>
      </c>
      <c r="P59" s="205">
        <v>201.48999999999998</v>
      </c>
      <c r="Q59" s="205">
        <v>201.80999999999997</v>
      </c>
      <c r="R59" s="205">
        <v>200.64</v>
      </c>
      <c r="S59" s="205">
        <v>202.62</v>
      </c>
      <c r="T59" s="205">
        <v>202.08</v>
      </c>
      <c r="U59" s="205">
        <v>202.50999999999996</v>
      </c>
      <c r="V59" s="205">
        <v>201.68999999999997</v>
      </c>
      <c r="W59" s="202">
        <v>200</v>
      </c>
      <c r="Z59" s="23" t="str">
        <v>21/02/2024  01:58</v>
      </c>
      <c r="AA59">
        <v>201.3</v>
      </c>
      <c r="AB59">
        <v>200.2</v>
      </c>
      <c r="AC59">
        <v>202</v>
      </c>
    </row>
    <row r="60" spans="1:29" ht="15" customHeight="1" x14ac:dyDescent="0.25">
      <c r="A60" s="23" t="str">
        <v>21/02/2024  01:59</v>
      </c>
      <c r="B60">
        <v>201.37</v>
      </c>
      <c r="C60">
        <v>201.13</v>
      </c>
      <c r="D60">
        <v>200.95</v>
      </c>
      <c r="E60">
        <v>201.22</v>
      </c>
      <c r="F60">
        <v>199.9</v>
      </c>
      <c r="G60">
        <v>202.16</v>
      </c>
      <c r="H60">
        <v>201.68</v>
      </c>
      <c r="I60">
        <v>201.96</v>
      </c>
      <c r="J60">
        <v>201.07</v>
      </c>
      <c r="K60" s="204"/>
      <c r="M60" s="504"/>
      <c r="N60" s="205">
        <v>201.85</v>
      </c>
      <c r="O60" s="205">
        <v>201.42</v>
      </c>
      <c r="P60" s="205">
        <v>201.36999999999998</v>
      </c>
      <c r="Q60" s="205">
        <v>201.55999999999997</v>
      </c>
      <c r="R60" s="205">
        <v>200.53</v>
      </c>
      <c r="S60" s="205">
        <v>202.48</v>
      </c>
      <c r="T60" s="205">
        <v>201.93</v>
      </c>
      <c r="U60" s="205">
        <v>202.29999999999998</v>
      </c>
      <c r="V60" s="205">
        <v>201.49999999999997</v>
      </c>
      <c r="W60" s="202">
        <v>200</v>
      </c>
      <c r="Z60" s="23" t="str">
        <v>21/02/2024  01:59</v>
      </c>
      <c r="AA60">
        <v>201.3</v>
      </c>
      <c r="AB60">
        <v>200.4</v>
      </c>
      <c r="AC60">
        <v>202.1</v>
      </c>
    </row>
    <row r="61" spans="1:29" ht="15" customHeight="1" x14ac:dyDescent="0.25">
      <c r="A61" s="23" t="str">
        <v>21/02/2024  02:00</v>
      </c>
      <c r="B61">
        <v>201.3</v>
      </c>
      <c r="C61">
        <v>201.01</v>
      </c>
      <c r="D61">
        <v>200.85</v>
      </c>
      <c r="E61">
        <v>201.16</v>
      </c>
      <c r="F61">
        <v>199.62</v>
      </c>
      <c r="G61">
        <v>201.99</v>
      </c>
      <c r="H61">
        <v>201.48</v>
      </c>
      <c r="I61">
        <v>201.76</v>
      </c>
      <c r="J61">
        <v>200.88</v>
      </c>
      <c r="K61" s="204"/>
      <c r="M61" s="504"/>
      <c r="N61" s="205">
        <v>201.78</v>
      </c>
      <c r="O61" s="205">
        <v>201.29999999999998</v>
      </c>
      <c r="P61" s="205">
        <v>201.26999999999998</v>
      </c>
      <c r="Q61" s="205">
        <v>201.49999999999997</v>
      </c>
      <c r="R61" s="205">
        <v>200.25</v>
      </c>
      <c r="S61" s="205">
        <v>202.31</v>
      </c>
      <c r="T61" s="205">
        <v>201.73</v>
      </c>
      <c r="U61" s="205">
        <v>202.09999999999997</v>
      </c>
      <c r="V61" s="205">
        <v>201.30999999999997</v>
      </c>
      <c r="W61" s="202">
        <v>200</v>
      </c>
      <c r="Z61" s="23" t="str">
        <v>21/02/2024  02:00</v>
      </c>
      <c r="AA61">
        <v>201.1</v>
      </c>
      <c r="AB61">
        <v>200.4</v>
      </c>
      <c r="AC61">
        <v>202</v>
      </c>
    </row>
    <row r="62" spans="1:29" ht="15" customHeight="1" x14ac:dyDescent="0.25">
      <c r="A62" s="23" t="str">
        <v>21/02/2024  02:01</v>
      </c>
      <c r="B62">
        <v>201.19</v>
      </c>
      <c r="C62">
        <v>200.98</v>
      </c>
      <c r="D62">
        <v>200.85</v>
      </c>
      <c r="E62">
        <v>201.1</v>
      </c>
      <c r="F62">
        <v>199.56</v>
      </c>
      <c r="G62">
        <v>201.95</v>
      </c>
      <c r="H62">
        <v>201.46</v>
      </c>
      <c r="I62">
        <v>201.7</v>
      </c>
      <c r="J62">
        <v>200.83</v>
      </c>
      <c r="K62" s="204"/>
      <c r="M62" s="504"/>
      <c r="N62" s="205">
        <v>201.67</v>
      </c>
      <c r="O62" s="205">
        <v>201.26999999999998</v>
      </c>
      <c r="P62" s="205">
        <v>201.26999999999998</v>
      </c>
      <c r="Q62" s="205">
        <v>201.43999999999997</v>
      </c>
      <c r="R62" s="205">
        <v>200.19</v>
      </c>
      <c r="S62" s="205">
        <v>202.26999999999998</v>
      </c>
      <c r="T62" s="205">
        <v>201.71</v>
      </c>
      <c r="U62" s="205">
        <v>202.03999999999996</v>
      </c>
      <c r="V62" s="205">
        <v>201.26</v>
      </c>
      <c r="W62" s="202">
        <v>200</v>
      </c>
      <c r="Z62" s="23" t="str">
        <v>21/02/2024  02:01</v>
      </c>
      <c r="AA62">
        <v>201</v>
      </c>
      <c r="AB62">
        <v>200.3</v>
      </c>
      <c r="AC62">
        <v>201.9</v>
      </c>
    </row>
    <row r="63" spans="1:29" ht="15" customHeight="1" x14ac:dyDescent="0.25">
      <c r="A63" s="23" t="str">
        <v>21/02/2024  02:02</v>
      </c>
      <c r="B63">
        <v>201.13</v>
      </c>
      <c r="C63">
        <v>200.92</v>
      </c>
      <c r="D63">
        <v>200.79</v>
      </c>
      <c r="E63">
        <v>201</v>
      </c>
      <c r="F63">
        <v>199.4</v>
      </c>
      <c r="G63">
        <v>201.87</v>
      </c>
      <c r="H63">
        <v>201.36</v>
      </c>
      <c r="I63">
        <v>201.57</v>
      </c>
      <c r="J63">
        <v>200.73</v>
      </c>
      <c r="K63" s="204"/>
      <c r="M63" s="504"/>
      <c r="N63" s="205">
        <v>201.60999999999999</v>
      </c>
      <c r="O63" s="205">
        <v>201.20999999999998</v>
      </c>
      <c r="P63" s="205">
        <v>201.20999999999998</v>
      </c>
      <c r="Q63" s="205">
        <v>201.33999999999997</v>
      </c>
      <c r="R63" s="205">
        <v>200.03</v>
      </c>
      <c r="S63" s="205">
        <v>202.19</v>
      </c>
      <c r="T63" s="205">
        <v>201.61</v>
      </c>
      <c r="U63" s="205">
        <v>201.90999999999997</v>
      </c>
      <c r="V63" s="205">
        <v>201.15999999999997</v>
      </c>
      <c r="W63" s="202">
        <v>200</v>
      </c>
      <c r="Z63" s="23" t="str">
        <v>21/02/2024  02:02</v>
      </c>
      <c r="AA63">
        <v>200.8</v>
      </c>
      <c r="AB63">
        <v>200.3</v>
      </c>
      <c r="AC63">
        <v>201.9</v>
      </c>
    </row>
    <row r="64" spans="1:29" ht="15" customHeight="1" x14ac:dyDescent="0.25">
      <c r="A64" s="23" t="str">
        <v>21/02/2024  02:03</v>
      </c>
      <c r="B64">
        <v>201.03</v>
      </c>
      <c r="C64">
        <v>200.87</v>
      </c>
      <c r="D64">
        <v>200.72</v>
      </c>
      <c r="E64">
        <v>200.9</v>
      </c>
      <c r="F64">
        <v>199.33</v>
      </c>
      <c r="G64">
        <v>201.75</v>
      </c>
      <c r="H64">
        <v>201.26</v>
      </c>
      <c r="I64">
        <v>201.47</v>
      </c>
      <c r="J64">
        <v>200.63</v>
      </c>
      <c r="K64" s="204"/>
      <c r="M64" s="504"/>
      <c r="N64" s="205">
        <v>201.51</v>
      </c>
      <c r="O64" s="205">
        <v>201.16</v>
      </c>
      <c r="P64" s="205">
        <v>201.14</v>
      </c>
      <c r="Q64" s="205">
        <v>201.23999999999998</v>
      </c>
      <c r="R64" s="205">
        <v>199.96</v>
      </c>
      <c r="S64" s="205">
        <v>202.07</v>
      </c>
      <c r="T64" s="205">
        <v>201.51</v>
      </c>
      <c r="U64" s="205">
        <v>201.80999999999997</v>
      </c>
      <c r="V64" s="205">
        <v>201.05999999999997</v>
      </c>
      <c r="W64" s="202">
        <v>200</v>
      </c>
      <c r="Z64" s="23" t="str">
        <v>21/02/2024  02:03</v>
      </c>
      <c r="AA64">
        <v>200.7</v>
      </c>
      <c r="AB64">
        <v>200.3</v>
      </c>
      <c r="AC64">
        <v>201.8</v>
      </c>
    </row>
    <row r="65" spans="1:29" ht="15" customHeight="1" x14ac:dyDescent="0.25">
      <c r="A65" s="23" t="str">
        <v>21/02/2024  02:04</v>
      </c>
      <c r="B65">
        <v>201.08</v>
      </c>
      <c r="C65">
        <v>200.91</v>
      </c>
      <c r="D65">
        <v>200.73</v>
      </c>
      <c r="E65">
        <v>200.92</v>
      </c>
      <c r="F65">
        <v>199.4</v>
      </c>
      <c r="G65">
        <v>201.72</v>
      </c>
      <c r="H65">
        <v>201.26</v>
      </c>
      <c r="I65">
        <v>201.41</v>
      </c>
      <c r="J65">
        <v>200.65</v>
      </c>
      <c r="K65" s="204"/>
      <c r="M65" s="504"/>
      <c r="N65" s="205">
        <v>201.56</v>
      </c>
      <c r="O65" s="205">
        <v>201.2</v>
      </c>
      <c r="P65" s="205">
        <v>201.14999999999998</v>
      </c>
      <c r="Q65" s="205">
        <v>201.25999999999996</v>
      </c>
      <c r="R65" s="205">
        <v>200.03</v>
      </c>
      <c r="S65" s="205">
        <v>202.04</v>
      </c>
      <c r="T65" s="205">
        <v>201.51</v>
      </c>
      <c r="U65" s="205">
        <v>201.74999999999997</v>
      </c>
      <c r="V65" s="205">
        <v>201.07999999999998</v>
      </c>
      <c r="W65" s="202">
        <v>200</v>
      </c>
      <c r="Z65" s="23" t="str">
        <v>21/02/2024  02:04</v>
      </c>
      <c r="AA65">
        <v>200.6</v>
      </c>
      <c r="AB65">
        <v>200.2</v>
      </c>
      <c r="AC65">
        <v>201.7</v>
      </c>
    </row>
    <row r="66" spans="1:29" ht="15" customHeight="1" x14ac:dyDescent="0.25">
      <c r="A66" s="23" t="str">
        <v>21/02/2024  02:05</v>
      </c>
      <c r="B66">
        <v>201.09</v>
      </c>
      <c r="C66">
        <v>200.87</v>
      </c>
      <c r="D66">
        <v>200.77</v>
      </c>
      <c r="E66">
        <v>200.93</v>
      </c>
      <c r="F66">
        <v>199.37</v>
      </c>
      <c r="G66">
        <v>201.73</v>
      </c>
      <c r="H66">
        <v>201.23</v>
      </c>
      <c r="I66">
        <v>201.41</v>
      </c>
      <c r="J66">
        <v>200.63</v>
      </c>
      <c r="K66" s="204"/>
      <c r="M66" s="504"/>
      <c r="N66" s="205">
        <v>201.57</v>
      </c>
      <c r="O66" s="205">
        <v>201.16</v>
      </c>
      <c r="P66" s="205">
        <v>201.19</v>
      </c>
      <c r="Q66" s="205">
        <v>201.26999999999998</v>
      </c>
      <c r="R66" s="205">
        <v>200</v>
      </c>
      <c r="S66" s="205">
        <v>202.04999999999998</v>
      </c>
      <c r="T66" s="205">
        <v>201.48</v>
      </c>
      <c r="U66" s="205">
        <v>201.74999999999997</v>
      </c>
      <c r="V66" s="205">
        <v>201.05999999999997</v>
      </c>
      <c r="W66" s="202">
        <v>200</v>
      </c>
      <c r="Z66" s="23" t="str">
        <v>21/02/2024  02:05</v>
      </c>
      <c r="AA66">
        <v>200.5</v>
      </c>
      <c r="AB66">
        <v>200.2</v>
      </c>
      <c r="AC66">
        <v>201.7</v>
      </c>
    </row>
    <row r="67" spans="1:29" ht="15" customHeight="1" x14ac:dyDescent="0.25">
      <c r="A67" s="23" t="str">
        <v>21/02/2024  02:06</v>
      </c>
      <c r="B67">
        <v>201.08</v>
      </c>
      <c r="C67">
        <v>200.88</v>
      </c>
      <c r="D67">
        <v>200.74</v>
      </c>
      <c r="E67">
        <v>200.88</v>
      </c>
      <c r="F67">
        <v>199.27</v>
      </c>
      <c r="G67">
        <v>201.72</v>
      </c>
      <c r="H67">
        <v>201.24</v>
      </c>
      <c r="I67">
        <v>201.37</v>
      </c>
      <c r="J67">
        <v>200.58</v>
      </c>
      <c r="K67" s="204"/>
      <c r="M67" s="504"/>
      <c r="N67" s="205">
        <v>201.56</v>
      </c>
      <c r="O67" s="205">
        <v>201.17</v>
      </c>
      <c r="P67" s="205">
        <v>201.16</v>
      </c>
      <c r="Q67" s="205">
        <v>201.21999999999997</v>
      </c>
      <c r="R67" s="205">
        <v>199.9</v>
      </c>
      <c r="S67" s="205">
        <v>202.04</v>
      </c>
      <c r="T67" s="205">
        <v>201.49</v>
      </c>
      <c r="U67" s="205">
        <v>201.70999999999998</v>
      </c>
      <c r="V67" s="205">
        <v>201.01</v>
      </c>
      <c r="W67" s="202">
        <v>200</v>
      </c>
      <c r="Z67" s="23" t="str">
        <v>21/02/2024  02:06</v>
      </c>
      <c r="AA67">
        <v>200.5</v>
      </c>
      <c r="AB67">
        <v>200.2</v>
      </c>
      <c r="AC67">
        <v>201.7</v>
      </c>
    </row>
    <row r="68" spans="1:29" ht="15" customHeight="1" x14ac:dyDescent="0.25">
      <c r="A68" s="23" t="str">
        <v>21/02/2024  02:07</v>
      </c>
      <c r="B68">
        <v>201.07</v>
      </c>
      <c r="C68">
        <v>200.87</v>
      </c>
      <c r="D68">
        <v>200.71</v>
      </c>
      <c r="E68">
        <v>200.87</v>
      </c>
      <c r="F68">
        <v>199.19</v>
      </c>
      <c r="G68">
        <v>201.67</v>
      </c>
      <c r="H68">
        <v>201.14</v>
      </c>
      <c r="I68">
        <v>201.3</v>
      </c>
      <c r="J68">
        <v>200.51</v>
      </c>
      <c r="K68" s="204"/>
      <c r="M68" s="503" t="s">
        <v>327</v>
      </c>
      <c r="N68" s="203">
        <v>201.54999999999998</v>
      </c>
      <c r="O68" s="203">
        <v>201.16</v>
      </c>
      <c r="P68" s="203">
        <v>201.13</v>
      </c>
      <c r="Q68" s="203">
        <v>201.20999999999998</v>
      </c>
      <c r="R68" s="203">
        <v>199.82</v>
      </c>
      <c r="S68" s="203">
        <v>201.98999999999998</v>
      </c>
      <c r="T68" s="203">
        <v>201.39</v>
      </c>
      <c r="U68" s="203">
        <v>201.64</v>
      </c>
      <c r="V68" s="203">
        <v>200.93999999999997</v>
      </c>
      <c r="W68" s="322">
        <v>200</v>
      </c>
      <c r="Z68" s="23" t="str">
        <v>21/02/2024  02:07</v>
      </c>
      <c r="AA68">
        <v>200.4</v>
      </c>
      <c r="AB68">
        <v>200.1</v>
      </c>
      <c r="AC68">
        <v>201.6</v>
      </c>
    </row>
    <row r="69" spans="1:29" ht="15" customHeight="1" x14ac:dyDescent="0.25">
      <c r="A69" s="23" t="str">
        <v>21/02/2024  02:08</v>
      </c>
      <c r="B69">
        <v>201.03</v>
      </c>
      <c r="C69">
        <v>200.85</v>
      </c>
      <c r="D69">
        <v>200.73</v>
      </c>
      <c r="E69">
        <v>200.88</v>
      </c>
      <c r="F69">
        <v>199.21</v>
      </c>
      <c r="G69">
        <v>201.67</v>
      </c>
      <c r="H69">
        <v>201.16</v>
      </c>
      <c r="I69">
        <v>201.3</v>
      </c>
      <c r="J69">
        <v>200.55</v>
      </c>
      <c r="K69" s="204"/>
      <c r="M69" s="503"/>
      <c r="N69" s="203">
        <v>201.51</v>
      </c>
      <c r="O69" s="203">
        <v>201.14</v>
      </c>
      <c r="P69" s="203">
        <v>201.14999999999998</v>
      </c>
      <c r="Q69" s="203">
        <v>201.21999999999997</v>
      </c>
      <c r="R69" s="203">
        <v>199.84</v>
      </c>
      <c r="S69" s="203">
        <v>201.98999999999998</v>
      </c>
      <c r="T69" s="203">
        <v>201.41</v>
      </c>
      <c r="U69" s="203">
        <v>201.64</v>
      </c>
      <c r="V69" s="203">
        <v>200.98</v>
      </c>
      <c r="W69" s="322">
        <v>200</v>
      </c>
      <c r="Z69" s="23" t="str">
        <v>21/02/2024  02:08</v>
      </c>
      <c r="AA69">
        <v>200.3</v>
      </c>
      <c r="AB69">
        <v>200.1</v>
      </c>
      <c r="AC69">
        <v>201.6</v>
      </c>
    </row>
    <row r="70" spans="1:29" ht="15" customHeight="1" x14ac:dyDescent="0.25">
      <c r="A70" s="23" t="str">
        <v>21/02/2024  02:09</v>
      </c>
      <c r="B70">
        <v>201.03</v>
      </c>
      <c r="C70">
        <v>200.83</v>
      </c>
      <c r="D70">
        <v>200.7</v>
      </c>
      <c r="E70">
        <v>200.82</v>
      </c>
      <c r="F70">
        <v>199.04</v>
      </c>
      <c r="G70">
        <v>201.6</v>
      </c>
      <c r="H70">
        <v>201.12</v>
      </c>
      <c r="I70">
        <v>201.27</v>
      </c>
      <c r="J70">
        <v>200.48</v>
      </c>
      <c r="K70" s="204"/>
      <c r="M70" s="503"/>
      <c r="N70" s="203">
        <v>201.51</v>
      </c>
      <c r="O70" s="203">
        <v>201.12</v>
      </c>
      <c r="P70" s="203">
        <v>201.11999999999998</v>
      </c>
      <c r="Q70" s="203">
        <v>201.15999999999997</v>
      </c>
      <c r="R70" s="203">
        <v>199.67</v>
      </c>
      <c r="S70" s="203">
        <v>201.92</v>
      </c>
      <c r="T70" s="203">
        <v>201.37</v>
      </c>
      <c r="U70" s="203">
        <v>201.60999999999999</v>
      </c>
      <c r="V70" s="203">
        <v>200.90999999999997</v>
      </c>
      <c r="W70" s="322">
        <v>200</v>
      </c>
      <c r="Z70" s="23" t="str">
        <v>21/02/2024  02:09</v>
      </c>
      <c r="AA70">
        <v>200.3</v>
      </c>
      <c r="AB70">
        <v>200.1</v>
      </c>
      <c r="AC70">
        <v>201.6</v>
      </c>
    </row>
    <row r="71" spans="1:29" ht="15" customHeight="1" x14ac:dyDescent="0.25">
      <c r="A71" s="23" t="str">
        <v>21/02/2024  02:10</v>
      </c>
      <c r="B71">
        <v>201</v>
      </c>
      <c r="C71">
        <v>200.79</v>
      </c>
      <c r="D71">
        <v>200.68</v>
      </c>
      <c r="E71">
        <v>200.76</v>
      </c>
      <c r="F71">
        <v>199.19</v>
      </c>
      <c r="G71">
        <v>201.62</v>
      </c>
      <c r="H71">
        <v>201.14</v>
      </c>
      <c r="I71">
        <v>201.27</v>
      </c>
      <c r="J71">
        <v>200.5</v>
      </c>
      <c r="K71" s="204"/>
      <c r="M71" s="503"/>
      <c r="N71" s="203">
        <v>201.48</v>
      </c>
      <c r="O71" s="203">
        <v>201.07999999999998</v>
      </c>
      <c r="P71" s="203">
        <v>201.1</v>
      </c>
      <c r="Q71" s="203">
        <v>201.09999999999997</v>
      </c>
      <c r="R71" s="203">
        <v>199.82</v>
      </c>
      <c r="S71" s="203">
        <v>201.94</v>
      </c>
      <c r="T71" s="203">
        <v>201.39</v>
      </c>
      <c r="U71" s="203">
        <v>201.60999999999999</v>
      </c>
      <c r="V71" s="203">
        <v>200.92999999999998</v>
      </c>
      <c r="W71" s="322">
        <v>200</v>
      </c>
      <c r="Z71" s="23" t="str">
        <v>21/02/2024  02:10</v>
      </c>
      <c r="AA71">
        <v>200.3</v>
      </c>
      <c r="AB71">
        <v>200.1</v>
      </c>
      <c r="AC71">
        <v>201.5</v>
      </c>
    </row>
    <row r="72" spans="1:29" ht="15" customHeight="1" x14ac:dyDescent="0.25">
      <c r="A72" s="23" t="str">
        <v>21/02/2024  02:11</v>
      </c>
      <c r="B72">
        <v>201.03</v>
      </c>
      <c r="C72">
        <v>200.85</v>
      </c>
      <c r="D72">
        <v>200.74</v>
      </c>
      <c r="E72">
        <v>200.9</v>
      </c>
      <c r="F72">
        <v>199.19</v>
      </c>
      <c r="G72">
        <v>201.65</v>
      </c>
      <c r="H72">
        <v>201.11</v>
      </c>
      <c r="I72">
        <v>201.25</v>
      </c>
      <c r="J72">
        <v>200.5</v>
      </c>
      <c r="K72" s="204"/>
      <c r="M72" s="503"/>
      <c r="N72" s="203">
        <v>201.51</v>
      </c>
      <c r="O72" s="203">
        <v>201.14</v>
      </c>
      <c r="P72" s="203">
        <v>201.16</v>
      </c>
      <c r="Q72" s="203">
        <v>201.23999999999998</v>
      </c>
      <c r="R72" s="203">
        <v>199.82</v>
      </c>
      <c r="S72" s="203">
        <v>201.97</v>
      </c>
      <c r="T72" s="203">
        <v>201.36</v>
      </c>
      <c r="U72" s="203">
        <v>201.58999999999997</v>
      </c>
      <c r="V72" s="203">
        <v>200.92999999999998</v>
      </c>
      <c r="W72" s="322">
        <v>200</v>
      </c>
      <c r="Z72" s="23" t="str">
        <v>21/02/2024  02:11</v>
      </c>
      <c r="AA72">
        <v>200.3</v>
      </c>
      <c r="AB72">
        <v>200.1</v>
      </c>
      <c r="AC72">
        <v>201.6</v>
      </c>
    </row>
    <row r="73" spans="1:29" ht="15" customHeight="1" x14ac:dyDescent="0.25">
      <c r="A73" s="23" t="str">
        <v>21/02/2024  02:12</v>
      </c>
      <c r="B73">
        <v>201.04</v>
      </c>
      <c r="C73">
        <v>200.86</v>
      </c>
      <c r="D73">
        <v>200.73</v>
      </c>
      <c r="E73">
        <v>200.86</v>
      </c>
      <c r="F73">
        <v>199.26</v>
      </c>
      <c r="G73">
        <v>201.67</v>
      </c>
      <c r="H73">
        <v>201.19</v>
      </c>
      <c r="I73">
        <v>201.29</v>
      </c>
      <c r="J73">
        <v>200.52</v>
      </c>
      <c r="K73" s="204"/>
      <c r="M73" s="503"/>
      <c r="N73" s="203">
        <v>201.51999999999998</v>
      </c>
      <c r="O73" s="203">
        <v>201.15</v>
      </c>
      <c r="P73" s="203">
        <v>201.14999999999998</v>
      </c>
      <c r="Q73" s="203">
        <v>201.2</v>
      </c>
      <c r="R73" s="203">
        <v>199.89</v>
      </c>
      <c r="S73" s="203">
        <v>201.98999999999998</v>
      </c>
      <c r="T73" s="203">
        <v>201.44</v>
      </c>
      <c r="U73" s="203">
        <v>201.62999999999997</v>
      </c>
      <c r="V73" s="203">
        <v>200.95</v>
      </c>
      <c r="W73" s="322">
        <v>200</v>
      </c>
      <c r="Z73" s="23" t="str">
        <v>21/02/2024  02:12</v>
      </c>
      <c r="AA73">
        <v>200.2</v>
      </c>
      <c r="AB73">
        <v>200</v>
      </c>
      <c r="AC73">
        <v>201.6</v>
      </c>
    </row>
    <row r="74" spans="1:29" ht="15" customHeight="1" x14ac:dyDescent="0.25">
      <c r="A74" s="23" t="str">
        <v>21/02/2024  02:13</v>
      </c>
      <c r="B74">
        <v>200.99</v>
      </c>
      <c r="C74">
        <v>200.85</v>
      </c>
      <c r="D74">
        <v>200.72</v>
      </c>
      <c r="E74">
        <v>200.85</v>
      </c>
      <c r="F74">
        <v>199.18</v>
      </c>
      <c r="G74">
        <v>201.61</v>
      </c>
      <c r="H74">
        <v>201.17</v>
      </c>
      <c r="I74">
        <v>201.24</v>
      </c>
      <c r="J74">
        <v>200.5</v>
      </c>
      <c r="K74" s="204"/>
      <c r="M74" s="503"/>
      <c r="N74" s="203">
        <v>201.47</v>
      </c>
      <c r="O74" s="203">
        <v>201.14</v>
      </c>
      <c r="P74" s="203">
        <v>201.14</v>
      </c>
      <c r="Q74" s="203">
        <v>201.18999999999997</v>
      </c>
      <c r="R74" s="203">
        <v>199.81</v>
      </c>
      <c r="S74" s="203">
        <v>201.93</v>
      </c>
      <c r="T74" s="203">
        <v>201.42</v>
      </c>
      <c r="U74" s="203">
        <v>201.57999999999998</v>
      </c>
      <c r="V74" s="203">
        <v>200.92999999999998</v>
      </c>
      <c r="W74" s="322">
        <v>200</v>
      </c>
      <c r="Z74" s="23" t="str">
        <v>21/02/2024  02:13</v>
      </c>
      <c r="AA74">
        <v>200.2</v>
      </c>
      <c r="AB74">
        <v>200.1</v>
      </c>
      <c r="AC74">
        <v>201.6</v>
      </c>
    </row>
    <row r="75" spans="1:29" ht="15" customHeight="1" x14ac:dyDescent="0.25">
      <c r="A75" s="23" t="str">
        <v>21/02/2024  02:14</v>
      </c>
      <c r="B75">
        <v>201.01</v>
      </c>
      <c r="C75">
        <v>200.86</v>
      </c>
      <c r="D75">
        <v>200.75</v>
      </c>
      <c r="E75">
        <v>200.88</v>
      </c>
      <c r="F75">
        <v>199.2</v>
      </c>
      <c r="G75">
        <v>201.62</v>
      </c>
      <c r="H75">
        <v>201.16</v>
      </c>
      <c r="I75">
        <v>201.29</v>
      </c>
      <c r="J75">
        <v>200.52</v>
      </c>
      <c r="K75" s="204"/>
      <c r="M75" s="503"/>
      <c r="N75" s="203">
        <v>201.48999999999998</v>
      </c>
      <c r="O75" s="203">
        <v>201.15</v>
      </c>
      <c r="P75" s="203">
        <v>201.17</v>
      </c>
      <c r="Q75" s="203">
        <v>201.21999999999997</v>
      </c>
      <c r="R75" s="203">
        <v>199.82999999999998</v>
      </c>
      <c r="S75" s="203">
        <v>201.94</v>
      </c>
      <c r="T75" s="203">
        <v>201.41</v>
      </c>
      <c r="U75" s="203">
        <v>201.62999999999997</v>
      </c>
      <c r="V75" s="203">
        <v>200.95</v>
      </c>
      <c r="W75" s="322">
        <v>200</v>
      </c>
      <c r="Z75" s="23" t="str">
        <v>21/02/2024  02:14</v>
      </c>
      <c r="AA75">
        <v>200.3</v>
      </c>
      <c r="AB75">
        <v>200.1</v>
      </c>
      <c r="AC75">
        <v>201.6</v>
      </c>
    </row>
    <row r="76" spans="1:29" ht="15" customHeight="1" x14ac:dyDescent="0.25">
      <c r="A76" s="23" t="str">
        <v>21/02/2024  02:15</v>
      </c>
      <c r="B76">
        <v>200.98</v>
      </c>
      <c r="C76">
        <v>200.8</v>
      </c>
      <c r="D76">
        <v>200.68</v>
      </c>
      <c r="E76">
        <v>200.83</v>
      </c>
      <c r="F76">
        <v>199.11</v>
      </c>
      <c r="G76">
        <v>201.56</v>
      </c>
      <c r="H76">
        <v>201.1</v>
      </c>
      <c r="I76">
        <v>201.29</v>
      </c>
      <c r="J76">
        <v>200.48</v>
      </c>
      <c r="K76" s="204"/>
      <c r="M76" s="503"/>
      <c r="N76" s="203">
        <v>201.45999999999998</v>
      </c>
      <c r="O76" s="203">
        <v>201.09</v>
      </c>
      <c r="P76" s="203">
        <v>201.1</v>
      </c>
      <c r="Q76" s="203">
        <v>201.17</v>
      </c>
      <c r="R76" s="203">
        <v>199.74</v>
      </c>
      <c r="S76" s="203">
        <v>201.88</v>
      </c>
      <c r="T76" s="203">
        <v>201.35</v>
      </c>
      <c r="U76" s="203">
        <v>201.62999999999997</v>
      </c>
      <c r="V76" s="203">
        <v>200.90999999999997</v>
      </c>
      <c r="W76" s="322">
        <v>200</v>
      </c>
      <c r="Z76" s="23" t="str">
        <v>21/02/2024  02:15</v>
      </c>
      <c r="AA76">
        <v>200.2</v>
      </c>
      <c r="AB76">
        <v>200.1</v>
      </c>
      <c r="AC76">
        <v>201.5</v>
      </c>
    </row>
    <row r="77" spans="1:29" ht="15" customHeight="1" x14ac:dyDescent="0.25">
      <c r="A77" s="23" t="str">
        <v>21/02/2024  02:16</v>
      </c>
      <c r="B77">
        <v>200.96</v>
      </c>
      <c r="C77">
        <v>200.78</v>
      </c>
      <c r="D77">
        <v>200.69</v>
      </c>
      <c r="E77">
        <v>200.82</v>
      </c>
      <c r="F77">
        <v>199.06</v>
      </c>
      <c r="G77">
        <v>201.52</v>
      </c>
      <c r="H77">
        <v>201.06</v>
      </c>
      <c r="I77">
        <v>201.17</v>
      </c>
      <c r="J77">
        <v>200.45</v>
      </c>
      <c r="K77" s="204"/>
      <c r="M77" s="503"/>
      <c r="N77" s="203">
        <v>201.44</v>
      </c>
      <c r="O77" s="203">
        <v>201.07</v>
      </c>
      <c r="P77" s="203">
        <v>201.10999999999999</v>
      </c>
      <c r="Q77" s="203">
        <v>201.15999999999997</v>
      </c>
      <c r="R77" s="203">
        <v>199.69</v>
      </c>
      <c r="S77" s="203">
        <v>201.84</v>
      </c>
      <c r="T77" s="203">
        <v>201.31</v>
      </c>
      <c r="U77" s="203">
        <v>201.50999999999996</v>
      </c>
      <c r="V77" s="203">
        <v>200.87999999999997</v>
      </c>
      <c r="W77" s="322">
        <v>200</v>
      </c>
      <c r="Z77" s="23" t="str">
        <v>21/02/2024  02:16</v>
      </c>
      <c r="AA77">
        <v>200.2</v>
      </c>
      <c r="AB77">
        <v>200.1</v>
      </c>
      <c r="AC77">
        <v>201.5</v>
      </c>
    </row>
    <row r="78" spans="1:29" ht="15" customHeight="1" x14ac:dyDescent="0.25">
      <c r="A78" s="23" t="str">
        <v>21/02/2024  02:17</v>
      </c>
      <c r="B78">
        <v>200.96</v>
      </c>
      <c r="C78">
        <v>200.83</v>
      </c>
      <c r="D78">
        <v>200.7</v>
      </c>
      <c r="E78">
        <v>200.83</v>
      </c>
      <c r="F78">
        <v>199.22</v>
      </c>
      <c r="G78">
        <v>201.56</v>
      </c>
      <c r="H78">
        <v>201.1</v>
      </c>
      <c r="I78">
        <v>201.19</v>
      </c>
      <c r="J78">
        <v>200.48</v>
      </c>
      <c r="K78" s="204"/>
      <c r="M78" s="503"/>
      <c r="N78" s="203">
        <v>201.44</v>
      </c>
      <c r="O78" s="203">
        <v>201.12</v>
      </c>
      <c r="P78" s="203">
        <v>201.11999999999998</v>
      </c>
      <c r="Q78" s="203">
        <v>201.17</v>
      </c>
      <c r="R78" s="203">
        <v>199.85</v>
      </c>
      <c r="S78" s="203">
        <v>201.88</v>
      </c>
      <c r="T78" s="203">
        <v>201.35</v>
      </c>
      <c r="U78" s="203">
        <v>201.52999999999997</v>
      </c>
      <c r="V78" s="203">
        <v>200.90999999999997</v>
      </c>
      <c r="W78" s="322">
        <v>200</v>
      </c>
      <c r="Z78" s="23" t="str">
        <v>21/02/2024  02:17</v>
      </c>
      <c r="AA78">
        <v>200.2</v>
      </c>
      <c r="AB78">
        <v>200</v>
      </c>
      <c r="AC78">
        <v>201.5</v>
      </c>
    </row>
    <row r="79" spans="1:29" ht="15" customHeight="1" x14ac:dyDescent="0.25">
      <c r="A79" s="23" t="str">
        <v>21/02/2024  02:18</v>
      </c>
      <c r="B79">
        <v>201.01</v>
      </c>
      <c r="C79">
        <v>200.83</v>
      </c>
      <c r="D79">
        <v>200.7</v>
      </c>
      <c r="E79">
        <v>200.86</v>
      </c>
      <c r="F79">
        <v>199.2</v>
      </c>
      <c r="G79">
        <v>201.57</v>
      </c>
      <c r="H79">
        <v>201.12</v>
      </c>
      <c r="I79">
        <v>201.2</v>
      </c>
      <c r="J79">
        <v>200.47</v>
      </c>
      <c r="K79" s="204"/>
      <c r="M79" s="503"/>
      <c r="N79" s="203">
        <v>201.48999999999998</v>
      </c>
      <c r="O79" s="203">
        <v>201.12</v>
      </c>
      <c r="P79" s="203">
        <v>201.11999999999998</v>
      </c>
      <c r="Q79" s="203">
        <v>201.2</v>
      </c>
      <c r="R79" s="203">
        <v>199.82999999999998</v>
      </c>
      <c r="S79" s="203">
        <v>201.89</v>
      </c>
      <c r="T79" s="203">
        <v>201.37</v>
      </c>
      <c r="U79" s="203">
        <v>201.53999999999996</v>
      </c>
      <c r="V79" s="203">
        <v>200.89999999999998</v>
      </c>
      <c r="W79" s="322">
        <v>200</v>
      </c>
      <c r="Z79" s="23" t="str">
        <v>21/02/2024  02:18</v>
      </c>
      <c r="AA79">
        <v>200.2</v>
      </c>
      <c r="AB79">
        <v>200</v>
      </c>
      <c r="AC79">
        <v>201.5</v>
      </c>
    </row>
    <row r="80" spans="1:29" ht="15" customHeight="1" x14ac:dyDescent="0.25">
      <c r="A80" s="23" t="str">
        <v>21/02/2024  02:19</v>
      </c>
      <c r="B80">
        <v>201.05</v>
      </c>
      <c r="C80">
        <v>200.84</v>
      </c>
      <c r="D80">
        <v>200.76</v>
      </c>
      <c r="E80">
        <v>200.86</v>
      </c>
      <c r="F80">
        <v>199.23</v>
      </c>
      <c r="G80">
        <v>201.59</v>
      </c>
      <c r="H80">
        <v>201.13</v>
      </c>
      <c r="I80">
        <v>201.23</v>
      </c>
      <c r="J80">
        <v>200.56</v>
      </c>
      <c r="K80" s="204"/>
      <c r="M80" s="503"/>
      <c r="N80" s="203">
        <v>201.53</v>
      </c>
      <c r="O80" s="203">
        <v>201.13</v>
      </c>
      <c r="P80" s="203">
        <v>201.17999999999998</v>
      </c>
      <c r="Q80" s="203">
        <v>201.2</v>
      </c>
      <c r="R80" s="203">
        <v>199.85999999999999</v>
      </c>
      <c r="S80" s="203">
        <v>201.91</v>
      </c>
      <c r="T80" s="203">
        <v>201.38</v>
      </c>
      <c r="U80" s="203">
        <v>201.56999999999996</v>
      </c>
      <c r="V80" s="203">
        <v>200.98999999999998</v>
      </c>
      <c r="W80" s="322">
        <v>200</v>
      </c>
      <c r="Z80" s="23" t="str">
        <v>21/02/2024  02:19</v>
      </c>
      <c r="AA80">
        <v>200.2</v>
      </c>
      <c r="AB80">
        <v>200</v>
      </c>
      <c r="AC80">
        <v>201.6</v>
      </c>
    </row>
    <row r="81" spans="1:29" ht="15" customHeight="1" x14ac:dyDescent="0.25">
      <c r="A81" s="23" t="str">
        <v>21/02/2024  02:20</v>
      </c>
      <c r="B81">
        <v>200.99</v>
      </c>
      <c r="C81">
        <v>200.85</v>
      </c>
      <c r="D81">
        <v>200.69</v>
      </c>
      <c r="E81">
        <v>200.8</v>
      </c>
      <c r="F81">
        <v>199.16</v>
      </c>
      <c r="G81">
        <v>201.56</v>
      </c>
      <c r="H81">
        <v>201.08</v>
      </c>
      <c r="I81">
        <v>201.2</v>
      </c>
      <c r="J81">
        <v>200.47</v>
      </c>
      <c r="K81" s="204"/>
      <c r="M81" s="503"/>
      <c r="N81" s="203">
        <v>201.47</v>
      </c>
      <c r="O81" s="203">
        <v>201.14</v>
      </c>
      <c r="P81" s="203">
        <v>201.10999999999999</v>
      </c>
      <c r="Q81" s="203">
        <v>201.14</v>
      </c>
      <c r="R81" s="203">
        <v>199.79</v>
      </c>
      <c r="S81" s="203">
        <v>201.88</v>
      </c>
      <c r="T81" s="203">
        <v>201.33</v>
      </c>
      <c r="U81" s="203">
        <v>201.53999999999996</v>
      </c>
      <c r="V81" s="203">
        <v>200.89999999999998</v>
      </c>
      <c r="W81" s="322">
        <v>200</v>
      </c>
      <c r="Z81" s="23" t="str">
        <v>21/02/2024  02:20</v>
      </c>
      <c r="AA81">
        <v>200.2</v>
      </c>
      <c r="AB81">
        <v>200</v>
      </c>
      <c r="AC81">
        <v>201.6</v>
      </c>
    </row>
    <row r="82" spans="1:29" ht="15" customHeight="1" x14ac:dyDescent="0.25">
      <c r="A82" s="23" t="str">
        <v>21/02/2024  02:21</v>
      </c>
      <c r="B82">
        <v>201.08</v>
      </c>
      <c r="C82">
        <v>200.82</v>
      </c>
      <c r="D82">
        <v>200.71</v>
      </c>
      <c r="E82">
        <v>200.86</v>
      </c>
      <c r="F82">
        <v>199.21</v>
      </c>
      <c r="G82">
        <v>201.55</v>
      </c>
      <c r="H82">
        <v>201.09</v>
      </c>
      <c r="I82">
        <v>201.17</v>
      </c>
      <c r="J82">
        <v>200.5</v>
      </c>
      <c r="K82" s="204"/>
      <c r="M82" s="503"/>
      <c r="N82" s="203">
        <v>201.56</v>
      </c>
      <c r="O82" s="203">
        <v>201.10999999999999</v>
      </c>
      <c r="P82" s="203">
        <v>201.13</v>
      </c>
      <c r="Q82" s="203">
        <v>201.2</v>
      </c>
      <c r="R82" s="203">
        <v>199.84</v>
      </c>
      <c r="S82" s="203">
        <v>201.87</v>
      </c>
      <c r="T82" s="203">
        <v>201.34</v>
      </c>
      <c r="U82" s="203">
        <v>201.50999999999996</v>
      </c>
      <c r="V82" s="203">
        <v>200.92999999999998</v>
      </c>
      <c r="W82" s="322">
        <v>200</v>
      </c>
      <c r="Z82" s="23" t="str">
        <v>21/02/2024  02:21</v>
      </c>
      <c r="AA82">
        <v>200.2</v>
      </c>
      <c r="AB82">
        <v>200</v>
      </c>
      <c r="AC82">
        <v>201.5</v>
      </c>
    </row>
    <row r="83" spans="1:29" ht="15" customHeight="1" x14ac:dyDescent="0.25">
      <c r="A83" s="23" t="str">
        <v>21/02/2024  02:22</v>
      </c>
      <c r="B83">
        <v>200.95</v>
      </c>
      <c r="C83">
        <v>200.8</v>
      </c>
      <c r="D83">
        <v>200.7</v>
      </c>
      <c r="E83">
        <v>200.79</v>
      </c>
      <c r="F83">
        <v>199.13</v>
      </c>
      <c r="G83">
        <v>201.49</v>
      </c>
      <c r="H83">
        <v>201.09</v>
      </c>
      <c r="I83">
        <v>201.18</v>
      </c>
      <c r="J83">
        <v>200.45</v>
      </c>
      <c r="K83" s="204"/>
      <c r="M83" s="503"/>
      <c r="N83" s="203">
        <v>201.42999999999998</v>
      </c>
      <c r="O83" s="203">
        <v>201.09</v>
      </c>
      <c r="P83" s="203">
        <v>201.11999999999998</v>
      </c>
      <c r="Q83" s="203">
        <v>201.12999999999997</v>
      </c>
      <c r="R83" s="203">
        <v>199.76</v>
      </c>
      <c r="S83" s="203">
        <v>201.81</v>
      </c>
      <c r="T83" s="203">
        <v>201.34</v>
      </c>
      <c r="U83" s="203">
        <v>201.51999999999998</v>
      </c>
      <c r="V83" s="203">
        <v>200.87999999999997</v>
      </c>
      <c r="W83" s="322">
        <v>200</v>
      </c>
      <c r="Z83" s="23" t="str">
        <v>21/02/2024  02:22</v>
      </c>
      <c r="AA83">
        <v>200.2</v>
      </c>
      <c r="AB83">
        <v>200.1</v>
      </c>
      <c r="AC83">
        <v>201.5</v>
      </c>
    </row>
    <row r="84" spans="1:29" ht="15" customHeight="1" x14ac:dyDescent="0.25">
      <c r="A84" s="23" t="str">
        <v>21/02/2024  02:23</v>
      </c>
      <c r="B84">
        <v>201.02</v>
      </c>
      <c r="C84">
        <v>200.83</v>
      </c>
      <c r="D84">
        <v>200.7</v>
      </c>
      <c r="E84">
        <v>200.82</v>
      </c>
      <c r="F84">
        <v>199.1</v>
      </c>
      <c r="G84">
        <v>201.53</v>
      </c>
      <c r="H84">
        <v>201.1</v>
      </c>
      <c r="I84">
        <v>201.22</v>
      </c>
      <c r="J84">
        <v>200.51</v>
      </c>
      <c r="K84" s="204"/>
      <c r="M84" s="503"/>
      <c r="N84" s="203">
        <v>201.5</v>
      </c>
      <c r="O84" s="203">
        <v>201.12</v>
      </c>
      <c r="P84" s="203">
        <v>201.11999999999998</v>
      </c>
      <c r="Q84" s="203">
        <v>201.15999999999997</v>
      </c>
      <c r="R84" s="203">
        <v>199.73</v>
      </c>
      <c r="S84" s="203">
        <v>201.85</v>
      </c>
      <c r="T84" s="203">
        <v>201.35</v>
      </c>
      <c r="U84" s="203">
        <v>201.55999999999997</v>
      </c>
      <c r="V84" s="203">
        <v>200.93999999999997</v>
      </c>
      <c r="W84" s="322">
        <v>200</v>
      </c>
      <c r="Z84" s="23" t="str">
        <v>21/02/2024  02:23</v>
      </c>
      <c r="AA84">
        <v>200.1</v>
      </c>
      <c r="AB84">
        <v>200</v>
      </c>
      <c r="AC84">
        <v>201.5</v>
      </c>
    </row>
    <row r="85" spans="1:29" ht="15" customHeight="1" x14ac:dyDescent="0.25">
      <c r="A85" s="23" t="str">
        <v>21/02/2024  02:24</v>
      </c>
      <c r="B85">
        <v>201.02</v>
      </c>
      <c r="C85">
        <v>200.87</v>
      </c>
      <c r="D85">
        <v>200.73</v>
      </c>
      <c r="E85">
        <v>200.86</v>
      </c>
      <c r="F85">
        <v>199.22</v>
      </c>
      <c r="G85">
        <v>201.51</v>
      </c>
      <c r="H85">
        <v>201.1</v>
      </c>
      <c r="I85">
        <v>201.16</v>
      </c>
      <c r="J85">
        <v>200.51</v>
      </c>
      <c r="K85" s="204"/>
      <c r="M85" s="503"/>
      <c r="N85" s="203">
        <v>201.5</v>
      </c>
      <c r="O85" s="203">
        <v>201.16</v>
      </c>
      <c r="P85" s="203">
        <v>201.14999999999998</v>
      </c>
      <c r="Q85" s="203">
        <v>201.2</v>
      </c>
      <c r="R85" s="203">
        <v>199.85</v>
      </c>
      <c r="S85" s="203">
        <v>201.82999999999998</v>
      </c>
      <c r="T85" s="203">
        <v>201.35</v>
      </c>
      <c r="U85" s="203">
        <v>201.49999999999997</v>
      </c>
      <c r="V85" s="203">
        <v>200.93999999999997</v>
      </c>
      <c r="W85" s="322">
        <v>200</v>
      </c>
      <c r="Z85" s="23" t="str">
        <v>21/02/2024  02:24</v>
      </c>
      <c r="AA85">
        <v>200.1</v>
      </c>
      <c r="AB85">
        <v>200</v>
      </c>
      <c r="AC85">
        <v>201.5</v>
      </c>
    </row>
    <row r="86" spans="1:29" ht="15" customHeight="1" x14ac:dyDescent="0.25">
      <c r="A86" s="23" t="str">
        <v>21/02/2024  02:25</v>
      </c>
      <c r="B86">
        <v>201.01</v>
      </c>
      <c r="C86">
        <v>200.83</v>
      </c>
      <c r="D86">
        <v>200.72</v>
      </c>
      <c r="E86">
        <v>200.85</v>
      </c>
      <c r="F86">
        <v>199.22</v>
      </c>
      <c r="G86">
        <v>201.56</v>
      </c>
      <c r="H86">
        <v>201.11</v>
      </c>
      <c r="I86">
        <v>201.19</v>
      </c>
      <c r="J86">
        <v>200.49</v>
      </c>
      <c r="K86" s="204"/>
      <c r="M86" s="503"/>
      <c r="N86" s="203">
        <v>201.48999999999998</v>
      </c>
      <c r="O86" s="203">
        <v>201.12</v>
      </c>
      <c r="P86" s="203">
        <v>201.14</v>
      </c>
      <c r="Q86" s="203">
        <v>201.18999999999997</v>
      </c>
      <c r="R86" s="203">
        <v>199.85</v>
      </c>
      <c r="S86" s="203">
        <v>201.88</v>
      </c>
      <c r="T86" s="203">
        <v>201.36</v>
      </c>
      <c r="U86" s="203">
        <v>201.52999999999997</v>
      </c>
      <c r="V86" s="203">
        <v>200.92</v>
      </c>
      <c r="W86" s="322">
        <v>200</v>
      </c>
      <c r="Z86" s="23" t="str">
        <v>21/02/2024  02:25</v>
      </c>
      <c r="AA86">
        <v>200.2</v>
      </c>
      <c r="AB86">
        <v>200</v>
      </c>
      <c r="AC86">
        <v>201.5</v>
      </c>
    </row>
    <row r="87" spans="1:29" ht="15" customHeight="1" x14ac:dyDescent="0.25">
      <c r="A87" s="23" t="str">
        <v>21/02/2024  02:26</v>
      </c>
      <c r="B87">
        <v>201.01</v>
      </c>
      <c r="C87">
        <v>200.83</v>
      </c>
      <c r="D87">
        <v>200.72</v>
      </c>
      <c r="E87">
        <v>200.85</v>
      </c>
      <c r="F87">
        <v>199.16</v>
      </c>
      <c r="G87">
        <v>201.53</v>
      </c>
      <c r="H87">
        <v>201.1</v>
      </c>
      <c r="I87">
        <v>201.19</v>
      </c>
      <c r="J87">
        <v>200.46</v>
      </c>
      <c r="K87" s="204"/>
      <c r="M87" s="503"/>
      <c r="N87" s="203">
        <v>201.48999999999998</v>
      </c>
      <c r="O87" s="203">
        <v>201.12</v>
      </c>
      <c r="P87" s="203">
        <v>201.14</v>
      </c>
      <c r="Q87" s="203">
        <v>201.18999999999997</v>
      </c>
      <c r="R87" s="203">
        <v>199.79</v>
      </c>
      <c r="S87" s="203">
        <v>201.85</v>
      </c>
      <c r="T87" s="203">
        <v>201.35</v>
      </c>
      <c r="U87" s="203">
        <v>201.52999999999997</v>
      </c>
      <c r="V87" s="203">
        <v>200.89</v>
      </c>
      <c r="W87" s="322">
        <v>200</v>
      </c>
      <c r="Z87" s="23" t="str">
        <v>21/02/2024  02:26</v>
      </c>
      <c r="AA87">
        <v>200.2</v>
      </c>
      <c r="AB87">
        <v>200</v>
      </c>
      <c r="AC87">
        <v>201.5</v>
      </c>
    </row>
    <row r="88" spans="1:29" ht="15" customHeight="1" x14ac:dyDescent="0.25">
      <c r="A88" s="23" t="str">
        <v>21/02/2024  02:27</v>
      </c>
      <c r="B88">
        <v>200.94</v>
      </c>
      <c r="C88">
        <v>200.79</v>
      </c>
      <c r="D88">
        <v>200.71</v>
      </c>
      <c r="E88">
        <v>200.82</v>
      </c>
      <c r="F88">
        <v>199.14</v>
      </c>
      <c r="G88">
        <v>201.54</v>
      </c>
      <c r="H88">
        <v>201.05</v>
      </c>
      <c r="I88">
        <v>201.16</v>
      </c>
      <c r="J88">
        <v>200.47</v>
      </c>
      <c r="K88" s="204"/>
      <c r="M88" s="503"/>
      <c r="N88" s="203">
        <v>201.42</v>
      </c>
      <c r="O88" s="203">
        <v>201.07999999999998</v>
      </c>
      <c r="P88" s="203">
        <v>201.13</v>
      </c>
      <c r="Q88" s="203">
        <v>201.15999999999997</v>
      </c>
      <c r="R88" s="203">
        <v>199.76999999999998</v>
      </c>
      <c r="S88" s="203">
        <v>201.85999999999999</v>
      </c>
      <c r="T88" s="203">
        <v>201.3</v>
      </c>
      <c r="U88" s="203">
        <v>201.49999999999997</v>
      </c>
      <c r="V88" s="203">
        <v>200.89999999999998</v>
      </c>
      <c r="W88" s="322">
        <v>200</v>
      </c>
      <c r="Z88" s="23" t="str">
        <v>21/02/2024  02:27</v>
      </c>
      <c r="AA88">
        <v>200.1</v>
      </c>
      <c r="AB88">
        <v>200</v>
      </c>
      <c r="AC88">
        <v>201.5</v>
      </c>
    </row>
    <row r="89" spans="1:29" ht="15" customHeight="1" x14ac:dyDescent="0.25">
      <c r="A89" s="23" t="str">
        <v>21/02/2024  02:28</v>
      </c>
      <c r="B89">
        <v>201.09</v>
      </c>
      <c r="C89">
        <v>200.92</v>
      </c>
      <c r="D89">
        <v>200.82</v>
      </c>
      <c r="E89">
        <v>200.9</v>
      </c>
      <c r="F89">
        <v>199.21</v>
      </c>
      <c r="G89">
        <v>201.6</v>
      </c>
      <c r="H89">
        <v>201.16</v>
      </c>
      <c r="I89">
        <v>201.27</v>
      </c>
      <c r="J89">
        <v>200.53</v>
      </c>
      <c r="K89" s="204"/>
      <c r="M89" s="503"/>
      <c r="N89" s="203">
        <v>201.57</v>
      </c>
      <c r="O89" s="203">
        <v>201.20999999999998</v>
      </c>
      <c r="P89" s="203">
        <v>201.23999999999998</v>
      </c>
      <c r="Q89" s="203">
        <v>201.23999999999998</v>
      </c>
      <c r="R89" s="203">
        <v>199.84</v>
      </c>
      <c r="S89" s="203">
        <v>201.92</v>
      </c>
      <c r="T89" s="203">
        <v>201.41</v>
      </c>
      <c r="U89" s="203">
        <v>201.60999999999999</v>
      </c>
      <c r="V89" s="203">
        <v>200.95999999999998</v>
      </c>
      <c r="W89" s="322">
        <v>200</v>
      </c>
      <c r="Z89" s="23" t="str">
        <v>21/02/2024  02:28</v>
      </c>
      <c r="AA89">
        <v>200.1</v>
      </c>
      <c r="AB89">
        <v>200</v>
      </c>
      <c r="AC89">
        <v>201.5</v>
      </c>
    </row>
    <row r="90" spans="1:29" ht="15" customHeight="1" x14ac:dyDescent="0.25">
      <c r="A90" s="23" t="str">
        <v>21/02/2024  02:29</v>
      </c>
      <c r="B90">
        <v>201.02</v>
      </c>
      <c r="C90">
        <v>200.84</v>
      </c>
      <c r="D90">
        <v>200.71</v>
      </c>
      <c r="E90">
        <v>200.79</v>
      </c>
      <c r="F90">
        <v>199</v>
      </c>
      <c r="G90">
        <v>201.5</v>
      </c>
      <c r="H90">
        <v>201.06</v>
      </c>
      <c r="I90">
        <v>201.14</v>
      </c>
      <c r="J90">
        <v>200.42</v>
      </c>
      <c r="K90" s="204"/>
      <c r="M90" s="503"/>
      <c r="N90" s="203">
        <v>201.5</v>
      </c>
      <c r="O90" s="203">
        <v>201.13</v>
      </c>
      <c r="P90" s="203">
        <v>201.13</v>
      </c>
      <c r="Q90" s="203">
        <v>201.12999999999997</v>
      </c>
      <c r="R90" s="203">
        <v>199.63</v>
      </c>
      <c r="S90" s="203">
        <v>201.82</v>
      </c>
      <c r="T90" s="203">
        <v>201.31</v>
      </c>
      <c r="U90" s="203">
        <v>201.47999999999996</v>
      </c>
      <c r="V90" s="203">
        <v>200.84999999999997</v>
      </c>
      <c r="W90" s="322">
        <v>200</v>
      </c>
      <c r="Z90" s="23" t="str">
        <v>21/02/2024  02:29</v>
      </c>
      <c r="AA90">
        <v>200.1</v>
      </c>
      <c r="AB90">
        <v>200.1</v>
      </c>
      <c r="AC90">
        <v>201.5</v>
      </c>
    </row>
    <row r="91" spans="1:29" ht="15" customHeight="1" x14ac:dyDescent="0.25">
      <c r="A91" s="23" t="str">
        <v>21/02/2024  02:30</v>
      </c>
      <c r="B91">
        <v>200.94</v>
      </c>
      <c r="C91">
        <v>200.79</v>
      </c>
      <c r="D91">
        <v>200.7</v>
      </c>
      <c r="E91">
        <v>200.78</v>
      </c>
      <c r="F91">
        <v>199.17</v>
      </c>
      <c r="G91">
        <v>201.52</v>
      </c>
      <c r="H91">
        <v>201.06</v>
      </c>
      <c r="I91">
        <v>201.15</v>
      </c>
      <c r="J91">
        <v>200.43</v>
      </c>
      <c r="K91" s="204"/>
      <c r="M91" s="503"/>
      <c r="N91" s="203">
        <v>201.42</v>
      </c>
      <c r="O91" s="203">
        <v>201.07999999999998</v>
      </c>
      <c r="P91" s="203">
        <v>201.11999999999998</v>
      </c>
      <c r="Q91" s="203">
        <v>201.11999999999998</v>
      </c>
      <c r="R91" s="203">
        <v>199.79999999999998</v>
      </c>
      <c r="S91" s="203">
        <v>201.84</v>
      </c>
      <c r="T91" s="203">
        <v>201.31</v>
      </c>
      <c r="U91" s="203">
        <v>201.48999999999998</v>
      </c>
      <c r="V91" s="203">
        <v>200.85999999999999</v>
      </c>
      <c r="W91" s="322">
        <v>200</v>
      </c>
      <c r="Z91" s="23" t="str">
        <v>21/02/2024  02:30</v>
      </c>
      <c r="AA91">
        <v>200.1</v>
      </c>
      <c r="AB91">
        <v>200</v>
      </c>
      <c r="AC91">
        <v>201.4</v>
      </c>
    </row>
    <row r="92" spans="1:29" ht="15" customHeight="1" x14ac:dyDescent="0.25">
      <c r="A92" s="23" t="str">
        <v>21/02/2024  02:31</v>
      </c>
      <c r="B92">
        <v>200.98</v>
      </c>
      <c r="C92">
        <v>200.82</v>
      </c>
      <c r="D92">
        <v>200.7</v>
      </c>
      <c r="E92">
        <v>200.83</v>
      </c>
      <c r="F92">
        <v>199.22</v>
      </c>
      <c r="G92">
        <v>201.54</v>
      </c>
      <c r="H92">
        <v>201.1</v>
      </c>
      <c r="I92">
        <v>201.15</v>
      </c>
      <c r="J92">
        <v>200.47</v>
      </c>
      <c r="K92" s="204"/>
      <c r="M92" s="503"/>
      <c r="N92" s="203">
        <v>201.45999999999998</v>
      </c>
      <c r="O92" s="203">
        <v>201.10999999999999</v>
      </c>
      <c r="P92" s="203">
        <v>201.11999999999998</v>
      </c>
      <c r="Q92" s="203">
        <v>201.17</v>
      </c>
      <c r="R92" s="203">
        <v>199.85</v>
      </c>
      <c r="S92" s="203">
        <v>201.85999999999999</v>
      </c>
      <c r="T92" s="203">
        <v>201.35</v>
      </c>
      <c r="U92" s="203">
        <v>201.48999999999998</v>
      </c>
      <c r="V92" s="203">
        <v>200.89999999999998</v>
      </c>
      <c r="W92" s="322">
        <v>200</v>
      </c>
      <c r="Z92" s="23" t="str">
        <v>21/02/2024  02:31</v>
      </c>
      <c r="AA92">
        <v>200.1</v>
      </c>
      <c r="AB92">
        <v>200</v>
      </c>
      <c r="AC92">
        <v>201.5</v>
      </c>
    </row>
    <row r="93" spans="1:29" ht="15" customHeight="1" x14ac:dyDescent="0.25">
      <c r="A93" s="23" t="str">
        <v>21/02/2024  02:32</v>
      </c>
      <c r="B93">
        <v>200.97</v>
      </c>
      <c r="C93">
        <v>200.82</v>
      </c>
      <c r="D93">
        <v>200.68</v>
      </c>
      <c r="E93">
        <v>200.81</v>
      </c>
      <c r="F93">
        <v>199.18</v>
      </c>
      <c r="G93">
        <v>201.5</v>
      </c>
      <c r="H93">
        <v>201.07</v>
      </c>
      <c r="I93">
        <v>201.17</v>
      </c>
      <c r="J93">
        <v>200.48</v>
      </c>
      <c r="K93" s="204"/>
      <c r="M93" s="503"/>
      <c r="N93" s="203">
        <v>201.45</v>
      </c>
      <c r="O93" s="203">
        <v>201.10999999999999</v>
      </c>
      <c r="P93" s="203">
        <v>201.1</v>
      </c>
      <c r="Q93" s="203">
        <v>201.14999999999998</v>
      </c>
      <c r="R93" s="203">
        <v>199.81</v>
      </c>
      <c r="S93" s="203">
        <v>201.82</v>
      </c>
      <c r="T93" s="203">
        <v>201.32</v>
      </c>
      <c r="U93" s="203">
        <v>201.50999999999996</v>
      </c>
      <c r="V93" s="203">
        <v>200.90999999999997</v>
      </c>
      <c r="W93" s="322">
        <v>200</v>
      </c>
      <c r="Z93" s="23" t="str">
        <v>21/02/2024  02:32</v>
      </c>
      <c r="AA93">
        <v>200</v>
      </c>
      <c r="AB93">
        <v>200</v>
      </c>
      <c r="AC93">
        <v>201.4</v>
      </c>
    </row>
    <row r="94" spans="1:29" ht="15" customHeight="1" x14ac:dyDescent="0.25">
      <c r="A94" s="23" t="str">
        <v>21/02/2024  02:33</v>
      </c>
      <c r="B94">
        <v>201.07</v>
      </c>
      <c r="C94">
        <v>200.91</v>
      </c>
      <c r="D94">
        <v>200.82</v>
      </c>
      <c r="E94">
        <v>200.92</v>
      </c>
      <c r="F94">
        <v>199.23</v>
      </c>
      <c r="G94">
        <v>201.57</v>
      </c>
      <c r="H94">
        <v>201.15</v>
      </c>
      <c r="I94">
        <v>201.25</v>
      </c>
      <c r="J94">
        <v>200.54</v>
      </c>
      <c r="K94" s="204"/>
      <c r="M94" s="503"/>
      <c r="N94" s="203">
        <v>201.54999999999998</v>
      </c>
      <c r="O94" s="203">
        <v>201.2</v>
      </c>
      <c r="P94" s="203">
        <v>201.23999999999998</v>
      </c>
      <c r="Q94" s="203">
        <v>201.25999999999996</v>
      </c>
      <c r="R94" s="203">
        <v>199.85999999999999</v>
      </c>
      <c r="S94" s="203">
        <v>201.89</v>
      </c>
      <c r="T94" s="203">
        <v>201.4</v>
      </c>
      <c r="U94" s="203">
        <v>201.58999999999997</v>
      </c>
      <c r="V94" s="203">
        <v>200.96999999999997</v>
      </c>
      <c r="W94" s="322">
        <v>200</v>
      </c>
      <c r="Z94" s="23" t="str">
        <v>21/02/2024  02:33</v>
      </c>
      <c r="AA94">
        <v>200.1</v>
      </c>
      <c r="AB94">
        <v>200</v>
      </c>
      <c r="AC94">
        <v>201.5</v>
      </c>
    </row>
    <row r="95" spans="1:29" ht="15" customHeight="1" x14ac:dyDescent="0.25">
      <c r="A95" s="23" t="str">
        <v>21/02/2024  02:34</v>
      </c>
      <c r="B95">
        <v>201.01</v>
      </c>
      <c r="C95">
        <v>200.87</v>
      </c>
      <c r="D95">
        <v>200.74</v>
      </c>
      <c r="E95">
        <v>200.86</v>
      </c>
      <c r="F95">
        <v>199.14</v>
      </c>
      <c r="G95">
        <v>201.54</v>
      </c>
      <c r="H95">
        <v>201.1</v>
      </c>
      <c r="I95">
        <v>201.16</v>
      </c>
      <c r="J95">
        <v>200.49</v>
      </c>
      <c r="K95" s="204"/>
      <c r="M95" s="503"/>
      <c r="N95" s="203">
        <v>201.48999999999998</v>
      </c>
      <c r="O95" s="203">
        <v>201.16</v>
      </c>
      <c r="P95" s="203">
        <v>201.16</v>
      </c>
      <c r="Q95" s="203">
        <v>201.2</v>
      </c>
      <c r="R95" s="203">
        <v>199.76999999999998</v>
      </c>
      <c r="S95" s="203">
        <v>201.85999999999999</v>
      </c>
      <c r="T95" s="203">
        <v>201.35</v>
      </c>
      <c r="U95" s="203">
        <v>201.49999999999997</v>
      </c>
      <c r="V95" s="203">
        <v>200.92</v>
      </c>
      <c r="W95" s="322">
        <v>200</v>
      </c>
      <c r="Z95" s="23" t="str">
        <v>21/02/2024  02:34</v>
      </c>
      <c r="AA95">
        <v>200.2</v>
      </c>
      <c r="AB95">
        <v>200.1</v>
      </c>
      <c r="AC95">
        <v>201.5</v>
      </c>
    </row>
    <row r="96" spans="1:29" ht="15" customHeight="1" x14ac:dyDescent="0.25">
      <c r="A96" s="23" t="str">
        <v>21/02/2024  02:35</v>
      </c>
      <c r="B96">
        <v>200.95</v>
      </c>
      <c r="C96">
        <v>200.82</v>
      </c>
      <c r="D96">
        <v>200.73</v>
      </c>
      <c r="E96">
        <v>200.81</v>
      </c>
      <c r="F96">
        <v>199.14</v>
      </c>
      <c r="G96">
        <v>201.53</v>
      </c>
      <c r="H96">
        <v>201.06</v>
      </c>
      <c r="I96">
        <v>201.15</v>
      </c>
      <c r="J96">
        <v>200.49</v>
      </c>
      <c r="K96" s="204"/>
      <c r="M96" s="503"/>
      <c r="N96" s="203">
        <v>201.42999999999998</v>
      </c>
      <c r="O96" s="203">
        <v>201.10999999999999</v>
      </c>
      <c r="P96" s="203">
        <v>201.14999999999998</v>
      </c>
      <c r="Q96" s="203">
        <v>201.14999999999998</v>
      </c>
      <c r="R96" s="203">
        <v>199.76999999999998</v>
      </c>
      <c r="S96" s="203">
        <v>201.85</v>
      </c>
      <c r="T96" s="203">
        <v>201.31</v>
      </c>
      <c r="U96" s="203">
        <v>201.48999999999998</v>
      </c>
      <c r="V96" s="203">
        <v>200.92</v>
      </c>
      <c r="W96" s="322">
        <v>200</v>
      </c>
      <c r="Z96" s="23" t="str">
        <v>21/02/2024  02:35</v>
      </c>
      <c r="AA96">
        <v>200.1</v>
      </c>
      <c r="AB96">
        <v>200</v>
      </c>
      <c r="AC96">
        <v>201.5</v>
      </c>
    </row>
    <row r="97" spans="1:29" ht="15" customHeight="1" x14ac:dyDescent="0.25">
      <c r="A97" s="23" t="str">
        <v>21/02/2024  02:36</v>
      </c>
      <c r="B97">
        <v>201.03</v>
      </c>
      <c r="C97">
        <v>200.87</v>
      </c>
      <c r="D97">
        <v>200.74</v>
      </c>
      <c r="E97">
        <v>200.83</v>
      </c>
      <c r="F97">
        <v>199.18</v>
      </c>
      <c r="G97">
        <v>201.54</v>
      </c>
      <c r="H97">
        <v>201.1</v>
      </c>
      <c r="I97">
        <v>201.17</v>
      </c>
      <c r="J97">
        <v>200.5</v>
      </c>
      <c r="K97" s="204"/>
      <c r="M97" s="503"/>
      <c r="N97" s="203">
        <v>201.51</v>
      </c>
      <c r="O97" s="203">
        <v>201.16</v>
      </c>
      <c r="P97" s="203">
        <v>201.16</v>
      </c>
      <c r="Q97" s="203">
        <v>201.17</v>
      </c>
      <c r="R97" s="203">
        <v>199.81</v>
      </c>
      <c r="S97" s="203">
        <v>201.85999999999999</v>
      </c>
      <c r="T97" s="203">
        <v>201.35</v>
      </c>
      <c r="U97" s="203">
        <v>201.50999999999996</v>
      </c>
      <c r="V97" s="203">
        <v>200.92999999999998</v>
      </c>
      <c r="W97" s="322">
        <v>200</v>
      </c>
      <c r="Z97" s="23" t="str">
        <v>21/02/2024  02:36</v>
      </c>
      <c r="AA97">
        <v>200</v>
      </c>
      <c r="AB97">
        <v>200</v>
      </c>
      <c r="AC97">
        <v>201.5</v>
      </c>
    </row>
    <row r="98" spans="1:29" ht="15" customHeight="1" x14ac:dyDescent="0.25">
      <c r="A98" s="23" t="str">
        <v>21/02/2024  02:37</v>
      </c>
      <c r="B98">
        <v>200.99</v>
      </c>
      <c r="C98">
        <v>200.79</v>
      </c>
      <c r="D98">
        <v>200.72</v>
      </c>
      <c r="E98">
        <v>200.79</v>
      </c>
      <c r="F98">
        <v>199.11</v>
      </c>
      <c r="G98">
        <v>201.54</v>
      </c>
      <c r="H98">
        <v>201.08</v>
      </c>
      <c r="I98">
        <v>201.14</v>
      </c>
      <c r="J98">
        <v>200.49</v>
      </c>
      <c r="K98" s="204"/>
      <c r="M98" s="503"/>
      <c r="N98" s="203">
        <v>201.47</v>
      </c>
      <c r="O98" s="203">
        <v>201.07999999999998</v>
      </c>
      <c r="P98" s="203">
        <v>201.14</v>
      </c>
      <c r="Q98" s="203">
        <v>201.12999999999997</v>
      </c>
      <c r="R98" s="203">
        <v>199.74</v>
      </c>
      <c r="S98" s="203">
        <v>201.85999999999999</v>
      </c>
      <c r="T98" s="203">
        <v>201.33</v>
      </c>
      <c r="U98" s="203">
        <v>201.47999999999996</v>
      </c>
      <c r="V98" s="203">
        <v>200.92</v>
      </c>
      <c r="W98" s="322">
        <v>200</v>
      </c>
      <c r="Z98" s="23" t="str">
        <v>21/02/2024  02:37</v>
      </c>
      <c r="AA98">
        <v>200.1</v>
      </c>
      <c r="AB98">
        <v>200</v>
      </c>
      <c r="AC98">
        <v>201.5</v>
      </c>
    </row>
    <row r="99" spans="1:29" ht="15" customHeight="1" x14ac:dyDescent="0.25">
      <c r="A99" s="376"/>
      <c r="B99" s="376"/>
      <c r="C99" s="376"/>
      <c r="D99" s="376"/>
      <c r="E99" s="376"/>
      <c r="F99" s="376"/>
      <c r="G99" s="376"/>
      <c r="H99" s="376"/>
      <c r="I99" s="376"/>
      <c r="J99" s="376"/>
      <c r="K99" s="376"/>
      <c r="L99" s="376"/>
      <c r="M99" s="376"/>
      <c r="N99" s="376"/>
      <c r="O99" s="376"/>
      <c r="P99" s="376"/>
      <c r="Q99" s="376"/>
      <c r="R99" s="376"/>
      <c r="S99" s="376"/>
      <c r="T99" s="376"/>
      <c r="U99" s="376"/>
      <c r="V99" s="376"/>
      <c r="W99" s="376"/>
      <c r="Z99" s="23"/>
    </row>
    <row r="100" spans="1:29" ht="15" customHeight="1" x14ac:dyDescent="0.25">
      <c r="A100" s="23"/>
      <c r="B100"/>
      <c r="C100"/>
      <c r="D100"/>
      <c r="E100"/>
      <c r="F100"/>
      <c r="G100"/>
      <c r="H100"/>
      <c r="I100"/>
      <c r="J100"/>
      <c r="K100" s="204"/>
      <c r="Z100" s="23"/>
    </row>
    <row r="101" spans="1:29" ht="15" customHeight="1" x14ac:dyDescent="0.25">
      <c r="A101" s="23"/>
      <c r="B101"/>
      <c r="C101"/>
      <c r="D101"/>
      <c r="E101"/>
      <c r="F101"/>
      <c r="G101"/>
      <c r="H101"/>
      <c r="I101"/>
      <c r="J101"/>
      <c r="K101" s="204"/>
      <c r="M101" s="91" t="s">
        <v>90</v>
      </c>
      <c r="N101" s="43">
        <f>MAX(tab_transfert200[Connecteur 1])+N$2+N$3</f>
        <v>201.94</v>
      </c>
      <c r="O101" s="43">
        <f>MAX(tab_transfert200[Connecteur 2])+O$2+O$3</f>
        <v>201.45</v>
      </c>
      <c r="P101" s="43">
        <f>MAX(tab_transfert200[Connecteur 3])+P$2+P$3</f>
        <v>201.48999999999998</v>
      </c>
      <c r="Q101" s="43">
        <f>MAX(tab_transfert200[Connecteur 4])+Q$2+Q$3</f>
        <v>201.80999999999997</v>
      </c>
      <c r="R101" s="43">
        <f>MAX(tab_transfert200[Connecteur 5])+R$2+R$3</f>
        <v>200.68</v>
      </c>
      <c r="S101" s="43">
        <f>MAX(tab_transfert200[Connecteur 6])+S$2+S$3</f>
        <v>202.62</v>
      </c>
      <c r="T101" s="43">
        <f>MAX(tab_transfert200[Connecteur 7])+T$2+T$3</f>
        <v>202.08</v>
      </c>
      <c r="U101" s="43">
        <f>MAX(tab_transfert200[Connecteur 8])+U$2+U$3</f>
        <v>202.50999999999996</v>
      </c>
      <c r="V101" s="43">
        <f>MAX(tab_transfert200[Connecteur 9])+V$2+V$3</f>
        <v>201.68999999999997</v>
      </c>
      <c r="W101" s="200">
        <f>MAX(N101:V101)</f>
        <v>202.62</v>
      </c>
      <c r="Z101" s="23"/>
    </row>
    <row r="102" spans="1:29" ht="15" customHeight="1" x14ac:dyDescent="0.25">
      <c r="A102" s="23"/>
      <c r="B102"/>
      <c r="C102"/>
      <c r="D102"/>
      <c r="E102"/>
      <c r="F102"/>
      <c r="G102"/>
      <c r="H102"/>
      <c r="I102"/>
      <c r="J102"/>
      <c r="K102" s="204"/>
      <c r="M102" s="199" t="s">
        <v>91</v>
      </c>
      <c r="N102" s="198">
        <f ca="1">MAX(OFFSET(INDEX(tab_transfert200[Connecteur 1],1),COUNT(tab_transfert200[Connecteur 1])-30,0,30))+N$2+N$3</f>
        <v>201.57</v>
      </c>
      <c r="O102" s="198">
        <f ca="1">MAX(OFFSET(INDEX(tab_transfert200[Connecteur 2],1),COUNT(tab_transfert200[Connecteur 2])-30,0,30))+O$2+O$3</f>
        <v>201.20999999999998</v>
      </c>
      <c r="P102" s="198">
        <f ca="1">MAX(OFFSET(INDEX(tab_transfert200[Connecteur 3],1),COUNT(tab_transfert200[Connecteur 3])-30,0,30))+P$2+P$3</f>
        <v>201.23999999999998</v>
      </c>
      <c r="Q102" s="198">
        <f ca="1">MAX(OFFSET(INDEX(tab_transfert200[Connecteur 4],1),COUNT(tab_transfert200[Connecteur 4])-30,0,30))+Q$2+Q$3</f>
        <v>201.25999999999996</v>
      </c>
      <c r="R102" s="198">
        <f ca="1">MAX(OFFSET(INDEX(tab_transfert200[Connecteur 5],1),COUNT(tab_transfert200[Connecteur 5])-30,0,30))+R$2+R$3</f>
        <v>199.89</v>
      </c>
      <c r="S102" s="198">
        <f ca="1">MAX(OFFSET(INDEX(tab_transfert200[Connecteur 6],1),COUNT(tab_transfert200[Connecteur 6])-30,0,30))+S$2+S$3</f>
        <v>201.98999999999998</v>
      </c>
      <c r="T102" s="198">
        <f ca="1">MAX(OFFSET(INDEX(tab_transfert200[Connecteur 7],1),COUNT(tab_transfert200[Connecteur 7])-30,0,30))+T$2+T$3</f>
        <v>201.44</v>
      </c>
      <c r="U102" s="198">
        <f ca="1">MAX(OFFSET(INDEX(tab_transfert200[Connecteur 8],1),COUNT(tab_transfert200[Connecteur 8])-30,0,30))+U$2+U$3</f>
        <v>201.64</v>
      </c>
      <c r="V102" s="198">
        <f ca="1">MAX(OFFSET(INDEX(tab_transfert200[Connecteur 9],1),COUNT(tab_transfert200[Connecteur 9])-30,0,30))+V$2+V$3</f>
        <v>200.98999999999998</v>
      </c>
      <c r="W102" s="200">
        <f ca="1">MAX(N102:V102)</f>
        <v>201.98999999999998</v>
      </c>
      <c r="Z102" s="23"/>
    </row>
    <row r="103" spans="1:29" ht="15" customHeight="1" x14ac:dyDescent="0.25">
      <c r="A103" s="23"/>
      <c r="B103"/>
      <c r="C103"/>
      <c r="D103"/>
      <c r="E103"/>
      <c r="F103"/>
      <c r="G103"/>
      <c r="H103"/>
      <c r="I103"/>
      <c r="J103"/>
      <c r="K103" s="204"/>
      <c r="M103" s="199" t="s">
        <v>93</v>
      </c>
      <c r="N103" s="198">
        <f ca="1">MIN(OFFSET(INDEX(tab_transfert200[Connecteur 1],1),COUNT(tab_transfert200[Connecteur 1])-30,0,30))+N$2+N$3</f>
        <v>201.42</v>
      </c>
      <c r="O103" s="198">
        <f ca="1">MIN(OFFSET(INDEX(tab_transfert200[Connecteur 2],1),COUNT(tab_transfert200[Connecteur 2])-30,0,30))+O$2+O$3</f>
        <v>201.07</v>
      </c>
      <c r="P103" s="198">
        <f ca="1">MIN(OFFSET(INDEX(tab_transfert200[Connecteur 3],1),COUNT(tab_transfert200[Connecteur 3])-30,0,30))+P$2+P$3</f>
        <v>201.1</v>
      </c>
      <c r="Q103" s="198">
        <f ca="1">MIN(OFFSET(INDEX(tab_transfert200[Connecteur 4],1),COUNT(tab_transfert200[Connecteur 4])-30,0,30))+Q$2+Q$3</f>
        <v>201.09999999999997</v>
      </c>
      <c r="R103" s="198">
        <f ca="1">MIN(OFFSET(INDEX(tab_transfert200[Connecteur 5],1),COUNT(tab_transfert200[Connecteur 5])-30,0,30))+R$2+R$3</f>
        <v>199.63</v>
      </c>
      <c r="S103" s="198">
        <f ca="1">MIN(OFFSET(INDEX(tab_transfert200[Connecteur 6],1),COUNT(tab_transfert200[Connecteur 6])-30,0,30))+S$2+S$3</f>
        <v>201.81</v>
      </c>
      <c r="T103" s="198">
        <f ca="1">MIN(OFFSET(INDEX(tab_transfert200[Connecteur 7],1),COUNT(tab_transfert200[Connecteur 7])-30,0,30))+T$2+T$3</f>
        <v>201.3</v>
      </c>
      <c r="U103" s="198">
        <f ca="1">MIN(OFFSET(INDEX(tab_transfert200[Connecteur 8],1),COUNT(tab_transfert200[Connecteur 8])-30,0,30))+U$2+U$3</f>
        <v>201.47999999999996</v>
      </c>
      <c r="V103" s="198">
        <f ca="1">MIN(OFFSET(INDEX(tab_transfert200[Connecteur 9],1),COUNT(tab_transfert200[Connecteur 9])-30,0,30))+V$2+V$3</f>
        <v>200.84999999999997</v>
      </c>
      <c r="W103" s="200">
        <f ca="1">MIN(N103:V103)</f>
        <v>199.63</v>
      </c>
      <c r="Z103" s="23"/>
    </row>
    <row r="104" spans="1:29" ht="15" customHeight="1" x14ac:dyDescent="0.25">
      <c r="A104" s="23"/>
      <c r="B104"/>
      <c r="C104"/>
      <c r="D104"/>
      <c r="E104"/>
      <c r="F104"/>
      <c r="G104"/>
      <c r="H104"/>
      <c r="I104"/>
      <c r="J104"/>
      <c r="K104" s="204"/>
      <c r="M104" s="199" t="s">
        <v>95</v>
      </c>
      <c r="N104" s="198">
        <f ca="1">AVERAGE(OFFSET(INDEX(tab_transfert200[Connecteur 1],1),COUNT(tab_transfert200[Connecteur 1])-30,0,30))+N$2+N$3</f>
        <v>201.4853333333333</v>
      </c>
      <c r="O104" s="198">
        <f ca="1">AVERAGE(OFFSET(INDEX(tab_transfert200[Connecteur 2],1),COUNT(tab_transfert200[Connecteur 2])-30,0,30))+O$2+O$3</f>
        <v>201.1246666666666</v>
      </c>
      <c r="P104" s="198">
        <f ca="1">AVERAGE(OFFSET(INDEX(tab_transfert200[Connecteur 3],1),COUNT(tab_transfert200[Connecteur 3])-30,0,30))+P$2+P$3</f>
        <v>201.14066666666659</v>
      </c>
      <c r="Q104" s="198">
        <f ca="1">AVERAGE(OFFSET(INDEX(tab_transfert200[Connecteur 4],1),COUNT(tab_transfert200[Connecteur 4])-30,0,30))+Q$2+Q$3</f>
        <v>201.17733333333331</v>
      </c>
      <c r="R104" s="198">
        <f ca="1">AVERAGE(OFFSET(INDEX(tab_transfert200[Connecteur 5],1),COUNT(tab_transfert200[Connecteur 5])-30,0,30))+R$2+R$3</f>
        <v>199.797</v>
      </c>
      <c r="S104" s="198">
        <f ca="1">AVERAGE(OFFSET(INDEX(tab_transfert200[Connecteur 6],1),COUNT(tab_transfert200[Connecteur 6])-30,0,30))+S$2+S$3</f>
        <v>201.88300000000001</v>
      </c>
      <c r="T104" s="198">
        <f ca="1">AVERAGE(OFFSET(INDEX(tab_transfert200[Connecteur 7],1),COUNT(tab_transfert200[Connecteur 7])-30,0,30))+T$2+T$3</f>
        <v>201.3573333333334</v>
      </c>
      <c r="U104" s="198">
        <f ca="1">AVERAGE(OFFSET(INDEX(tab_transfert200[Connecteur 8],1),COUNT(tab_transfert200[Connecteur 8])-30,0,30))+U$2+U$3</f>
        <v>201.54699999999994</v>
      </c>
      <c r="V104" s="198">
        <f ca="1">AVERAGE(OFFSET(INDEX(tab_transfert200[Connecteur 9],1),COUNT(tab_transfert200[Connecteur 9])-30,0,30))+V$2+V$3</f>
        <v>200.92033333333328</v>
      </c>
      <c r="W104" s="27"/>
      <c r="Z104" s="23"/>
    </row>
    <row r="105" spans="1:29" ht="15" customHeight="1" x14ac:dyDescent="0.25">
      <c r="A105" s="23"/>
      <c r="B105"/>
      <c r="C105"/>
      <c r="D105"/>
      <c r="E105"/>
      <c r="F105"/>
      <c r="G105"/>
      <c r="H105"/>
      <c r="I105"/>
      <c r="J105"/>
      <c r="K105" s="204"/>
      <c r="M105" s="91" t="s">
        <v>96</v>
      </c>
      <c r="N105" s="43">
        <f ca="1">N102-N103</f>
        <v>0.15000000000000568</v>
      </c>
      <c r="O105" s="43">
        <f t="shared" ref="O105:V105" ca="1" si="0">O102-O103</f>
        <v>0.13999999999998636</v>
      </c>
      <c r="P105" s="43">
        <f t="shared" ca="1" si="0"/>
        <v>0.13999999999998636</v>
      </c>
      <c r="Q105" s="43">
        <f t="shared" ca="1" si="0"/>
        <v>0.15999999999999659</v>
      </c>
      <c r="R105" s="43">
        <f t="shared" ca="1" si="0"/>
        <v>0.25999999999999091</v>
      </c>
      <c r="S105" s="43">
        <f t="shared" ca="1" si="0"/>
        <v>0.1799999999999784</v>
      </c>
      <c r="T105" s="43">
        <f t="shared" ca="1" si="0"/>
        <v>0.13999999999998636</v>
      </c>
      <c r="U105" s="43">
        <f t="shared" ca="1" si="0"/>
        <v>0.16000000000002501</v>
      </c>
      <c r="V105" s="43">
        <f t="shared" ca="1" si="0"/>
        <v>0.14000000000001478</v>
      </c>
      <c r="W105" s="27"/>
      <c r="Z105" s="23"/>
    </row>
    <row r="106" spans="1:29" ht="15" customHeight="1" x14ac:dyDescent="0.25">
      <c r="A106" s="23"/>
      <c r="B106"/>
      <c r="C106"/>
      <c r="D106"/>
      <c r="E106"/>
      <c r="F106"/>
      <c r="G106"/>
      <c r="H106"/>
      <c r="I106"/>
      <c r="J106"/>
      <c r="K106" s="204"/>
      <c r="M106" s="91" t="s">
        <v>97</v>
      </c>
      <c r="N106" s="375">
        <f ca="1">ABS(MAX(N102:V102) - MIN(N103:V103))</f>
        <v>2.3599999999999852</v>
      </c>
      <c r="O106" s="375"/>
      <c r="P106" s="375"/>
      <c r="Q106" s="375"/>
      <c r="R106" s="375"/>
      <c r="S106" s="375"/>
      <c r="T106" s="375"/>
      <c r="U106" s="375"/>
      <c r="V106" s="375"/>
      <c r="W106" s="44">
        <f ca="1">N106</f>
        <v>2.3599999999999852</v>
      </c>
      <c r="Z106" s="23"/>
    </row>
    <row r="107" spans="1:29" ht="15" customHeight="1" x14ac:dyDescent="0.25">
      <c r="A107" s="23"/>
      <c r="B107"/>
      <c r="C107"/>
      <c r="D107"/>
      <c r="E107"/>
      <c r="F107"/>
      <c r="G107"/>
      <c r="H107"/>
      <c r="I107"/>
      <c r="J107"/>
      <c r="K107" s="204"/>
      <c r="M107" s="91" t="s">
        <v>98</v>
      </c>
      <c r="N107" s="375">
        <f ca="1">AVERAGE(N104:V104)</f>
        <v>201.15918518518515</v>
      </c>
      <c r="O107" s="375"/>
      <c r="P107" s="375"/>
      <c r="Q107" s="375"/>
      <c r="R107" s="375"/>
      <c r="S107" s="375"/>
      <c r="T107" s="375"/>
      <c r="U107" s="375"/>
      <c r="V107" s="375"/>
      <c r="W107" s="44">
        <f ca="1">N107</f>
        <v>201.15918518518515</v>
      </c>
      <c r="Z107" s="23"/>
    </row>
    <row r="108" spans="1:29" ht="15" customHeight="1" x14ac:dyDescent="0.25">
      <c r="A108" s="23"/>
      <c r="B108"/>
      <c r="C108"/>
      <c r="D108"/>
      <c r="E108"/>
      <c r="F108"/>
      <c r="G108"/>
      <c r="H108"/>
      <c r="I108"/>
      <c r="J108"/>
      <c r="K108" s="204"/>
      <c r="M108" s="196" t="s">
        <v>326</v>
      </c>
      <c r="N108" s="35" t="str" cm="1">
        <f t="array" ref="N108:V108">tab_transfert200[[#Headers],[Connecteur 1]:[Connecteur 9]]</f>
        <v>Connecteur 1</v>
      </c>
      <c r="O108" s="35" t="str">
        <v>Connecteur 2</v>
      </c>
      <c r="P108" s="35" t="str">
        <v>Connecteur 3</v>
      </c>
      <c r="Q108" s="35" t="str">
        <v>Connecteur 4</v>
      </c>
      <c r="R108" s="35" t="str">
        <v>Connecteur 5</v>
      </c>
      <c r="S108" s="35" t="str">
        <v>Connecteur 6</v>
      </c>
      <c r="T108" s="35" t="str">
        <v>Connecteur 7</v>
      </c>
      <c r="U108" s="35" t="str">
        <v>Connecteur 8</v>
      </c>
      <c r="V108" s="35" t="str">
        <v>Connecteur 9</v>
      </c>
      <c r="W108" s="27"/>
      <c r="Z108" s="23"/>
    </row>
    <row r="109" spans="1:29" ht="15" customHeight="1" x14ac:dyDescent="0.25">
      <c r="A109" s="23"/>
      <c r="B109"/>
      <c r="C109"/>
      <c r="D109"/>
      <c r="E109"/>
      <c r="F109"/>
      <c r="G109"/>
      <c r="H109"/>
      <c r="I109"/>
      <c r="J109"/>
      <c r="K109" s="204"/>
      <c r="M109" s="193" t="s">
        <v>325</v>
      </c>
      <c r="N109" s="195">
        <f ca="1">_xlfn.STDEV.S(OFFSET(INDEX(tab_transfert200[Connecteur 1],1),COUNT(tab_transfert200[Connecteur 1])-30,0,30))</f>
        <v>3.9543370631746878E-2</v>
      </c>
      <c r="O109" s="195">
        <f ca="1">_xlfn.STDEV.S(OFFSET(INDEX(tab_transfert200[Connecteur 2],1),COUNT(tab_transfert200[Connecteur 2])-30,0,30))</f>
        <v>3.3909955138148963E-2</v>
      </c>
      <c r="P109" s="195">
        <f ca="1">_xlfn.STDEV.S(OFFSET(INDEX(tab_transfert200[Connecteur 3],1),COUNT(tab_transfert200[Connecteur 3])-30,0,30))</f>
        <v>3.4132938216103054E-2</v>
      </c>
      <c r="Q109" s="195">
        <f ca="1">_xlfn.STDEV.S(OFFSET(INDEX(tab_transfert200[Connecteur 4],1),COUNT(tab_transfert200[Connecteur 4])-30,0,30))</f>
        <v>3.8140695374865891E-2</v>
      </c>
      <c r="R109" s="195">
        <f ca="1">_xlfn.STDEV.S(OFFSET(INDEX(tab_transfert200[Connecteur 5],1),COUNT(tab_transfert200[Connecteur 5])-30,0,30))</f>
        <v>6.0807780808844511E-2</v>
      </c>
      <c r="S109" s="195">
        <f ca="1">_xlfn.STDEV.S(OFFSET(INDEX(tab_transfert200[Connecteur 6],1),COUNT(tab_transfert200[Connecteur 6])-30,0,30))</f>
        <v>4.8647217023564678E-2</v>
      </c>
      <c r="T109" s="195">
        <f ca="1">_xlfn.STDEV.S(OFFSET(INDEX(tab_transfert200[Connecteur 7],1),COUNT(tab_transfert200[Connecteur 7])-30,0,30))</f>
        <v>3.6665621719694758E-2</v>
      </c>
      <c r="U109" s="195">
        <f ca="1">_xlfn.STDEV.S(OFFSET(INDEX(tab_transfert200[Connecteur 8],1),COUNT(tab_transfert200[Connecteur 8])-30,0,30))</f>
        <v>5.226919710037204E-2</v>
      </c>
      <c r="V109" s="195">
        <f ca="1">_xlfn.STDEV.S(OFFSET(INDEX(tab_transfert200[Connecteur 9],1),COUNT(tab_transfert200[Connecteur 9])-30,0,30))</f>
        <v>3.2322014845586666E-2</v>
      </c>
      <c r="W109" s="194">
        <f ca="1">MAX(N109:V109)</f>
        <v>6.0807780808844511E-2</v>
      </c>
      <c r="Z109" s="23"/>
    </row>
    <row r="110" spans="1:29" ht="15" customHeight="1" x14ac:dyDescent="0.25">
      <c r="A110" s="23"/>
      <c r="B110"/>
      <c r="C110"/>
      <c r="D110"/>
      <c r="E110"/>
      <c r="F110"/>
      <c r="G110"/>
      <c r="H110"/>
      <c r="I110"/>
      <c r="J110"/>
      <c r="K110" s="204"/>
      <c r="N110" s="27"/>
      <c r="O110" s="27"/>
      <c r="P110" s="27"/>
      <c r="Q110" s="27"/>
      <c r="R110" s="27"/>
      <c r="S110" s="27"/>
      <c r="T110" s="27"/>
      <c r="U110" s="27"/>
      <c r="V110" s="27"/>
      <c r="W110" s="27"/>
      <c r="Z110" s="23"/>
    </row>
    <row r="111" spans="1:29" ht="15" customHeight="1" x14ac:dyDescent="0.25">
      <c r="A111" s="23"/>
      <c r="B111"/>
      <c r="C111"/>
      <c r="D111"/>
      <c r="E111"/>
      <c r="F111"/>
      <c r="G111"/>
      <c r="H111"/>
      <c r="I111"/>
      <c r="J111"/>
      <c r="K111" s="204"/>
      <c r="M111" s="193" t="s">
        <v>324</v>
      </c>
      <c r="N111" s="192">
        <f ca="1">W102-(OFFSET(INDEX(tab_four200[Consigne T°],1),COUNT(tab_four200[Consigne T°])-30,0,1))</f>
        <v>1.9899999999999807</v>
      </c>
      <c r="O111" s="27"/>
      <c r="P111" s="27"/>
      <c r="Q111" s="27"/>
      <c r="R111" s="27"/>
      <c r="S111" s="27"/>
      <c r="T111" s="27"/>
      <c r="U111" s="27"/>
      <c r="V111" s="27"/>
      <c r="W111" s="27"/>
      <c r="Z111" s="23"/>
    </row>
    <row r="112" spans="1:29" ht="15" customHeight="1" x14ac:dyDescent="0.25">
      <c r="A112" s="23"/>
      <c r="B112"/>
      <c r="C112"/>
      <c r="D112"/>
      <c r="E112"/>
      <c r="F112"/>
      <c r="G112"/>
      <c r="H112"/>
      <c r="I112"/>
      <c r="J112"/>
      <c r="K112" s="204"/>
      <c r="M112" s="193" t="s">
        <v>323</v>
      </c>
      <c r="N112" s="192">
        <f ca="1">W103-(OFFSET(INDEX(tab_four200[Consigne T°],1),COUNT(tab_four200[Consigne T°])-30,0,1))</f>
        <v>-0.37000000000000455</v>
      </c>
      <c r="O112" s="27"/>
      <c r="P112" s="27"/>
      <c r="Q112" s="27"/>
      <c r="R112" s="27"/>
      <c r="S112" s="27"/>
      <c r="T112" s="27"/>
      <c r="U112" s="27"/>
      <c r="V112" s="27"/>
      <c r="W112" s="27"/>
      <c r="Z112" s="23"/>
    </row>
    <row r="113" spans="1:26" ht="15" customHeight="1" x14ac:dyDescent="0.25">
      <c r="A113" s="23"/>
      <c r="B113"/>
      <c r="C113"/>
      <c r="D113"/>
      <c r="E113"/>
      <c r="F113"/>
      <c r="G113"/>
      <c r="H113"/>
      <c r="I113"/>
      <c r="J113"/>
      <c r="K113" s="204"/>
      <c r="N113" s="27"/>
      <c r="O113" s="27"/>
      <c r="P113" s="27"/>
      <c r="Q113" s="27"/>
      <c r="R113" s="27"/>
      <c r="S113" s="27"/>
      <c r="T113" s="27"/>
      <c r="U113" s="27"/>
      <c r="V113" s="27"/>
      <c r="W113" s="27"/>
      <c r="Z113" s="23"/>
    </row>
    <row r="114" spans="1:26" ht="15" customHeight="1" x14ac:dyDescent="0.25">
      <c r="A114" s="23"/>
      <c r="B114"/>
      <c r="C114"/>
      <c r="D114"/>
      <c r="E114"/>
      <c r="F114"/>
      <c r="G114"/>
      <c r="H114"/>
      <c r="I114"/>
      <c r="J114"/>
      <c r="K114" s="204"/>
      <c r="Z114" s="23"/>
    </row>
    <row r="115" spans="1:26" ht="15" customHeight="1" x14ac:dyDescent="0.25">
      <c r="A115" s="23"/>
      <c r="B115"/>
      <c r="C115"/>
      <c r="D115"/>
      <c r="E115"/>
      <c r="F115"/>
      <c r="G115"/>
      <c r="H115"/>
      <c r="I115"/>
      <c r="J115"/>
      <c r="K115" s="204"/>
      <c r="Z115" s="23"/>
    </row>
    <row r="116" spans="1:26" ht="15" customHeight="1" x14ac:dyDescent="0.25">
      <c r="A116" s="23"/>
      <c r="B116"/>
      <c r="C116"/>
      <c r="D116"/>
      <c r="E116"/>
      <c r="F116"/>
      <c r="G116"/>
      <c r="H116"/>
      <c r="I116"/>
      <c r="J116"/>
      <c r="K116" s="204"/>
      <c r="Z116" s="23"/>
    </row>
    <row r="117" spans="1:26" ht="15" customHeight="1" x14ac:dyDescent="0.25">
      <c r="A117" s="23"/>
      <c r="B117"/>
      <c r="C117"/>
      <c r="D117"/>
      <c r="E117"/>
      <c r="F117"/>
      <c r="G117"/>
      <c r="H117"/>
      <c r="I117"/>
      <c r="J117"/>
      <c r="K117" s="204"/>
      <c r="Z117" s="23"/>
    </row>
    <row r="118" spans="1:26" ht="15" customHeight="1" x14ac:dyDescent="0.25">
      <c r="A118" s="23"/>
      <c r="B118"/>
      <c r="C118"/>
      <c r="D118"/>
      <c r="E118"/>
      <c r="F118"/>
      <c r="G118"/>
      <c r="H118"/>
      <c r="I118"/>
      <c r="J118"/>
      <c r="K118" s="204"/>
      <c r="Z118" s="23"/>
    </row>
    <row r="119" spans="1:26" ht="15" customHeight="1" x14ac:dyDescent="0.25">
      <c r="A119" s="23"/>
      <c r="B119"/>
      <c r="C119"/>
      <c r="D119"/>
      <c r="E119"/>
      <c r="F119"/>
      <c r="G119"/>
      <c r="H119"/>
      <c r="I119"/>
      <c r="J119"/>
      <c r="K119" s="204"/>
      <c r="Z119" s="23"/>
    </row>
    <row r="120" spans="1:26" ht="15" customHeight="1" x14ac:dyDescent="0.25">
      <c r="A120" s="23"/>
      <c r="B120"/>
      <c r="C120"/>
      <c r="D120"/>
      <c r="E120"/>
      <c r="F120"/>
      <c r="G120"/>
      <c r="H120"/>
      <c r="I120"/>
      <c r="J120"/>
      <c r="K120" s="204"/>
      <c r="Z120" s="23"/>
    </row>
    <row r="121" spans="1:26" ht="15" customHeight="1" x14ac:dyDescent="0.25">
      <c r="A121" s="23"/>
      <c r="B121"/>
      <c r="C121"/>
      <c r="D121"/>
      <c r="E121"/>
      <c r="F121"/>
      <c r="G121"/>
      <c r="H121"/>
      <c r="I121"/>
      <c r="J121"/>
      <c r="K121" s="204"/>
      <c r="Z121" s="23"/>
    </row>
    <row r="122" spans="1:26" ht="15" customHeight="1" x14ac:dyDescent="0.25">
      <c r="A122" s="23"/>
      <c r="B122"/>
      <c r="C122"/>
      <c r="D122"/>
      <c r="E122"/>
      <c r="F122"/>
      <c r="G122"/>
      <c r="H122"/>
      <c r="I122"/>
      <c r="J122"/>
      <c r="K122" s="204"/>
      <c r="Z122" s="23"/>
    </row>
    <row r="123" spans="1:26" ht="15" customHeight="1" x14ac:dyDescent="0.25">
      <c r="A123" s="23"/>
      <c r="B123"/>
      <c r="C123"/>
      <c r="D123"/>
      <c r="E123"/>
      <c r="F123"/>
      <c r="G123"/>
      <c r="H123"/>
      <c r="I123"/>
      <c r="J123"/>
      <c r="K123" s="204"/>
      <c r="Z123" s="23"/>
    </row>
    <row r="124" spans="1:26" ht="15" customHeight="1" x14ac:dyDescent="0.25">
      <c r="A124" s="23"/>
      <c r="B124"/>
      <c r="C124"/>
      <c r="D124"/>
      <c r="E124"/>
      <c r="F124"/>
      <c r="G124"/>
      <c r="H124"/>
      <c r="I124"/>
      <c r="J124"/>
      <c r="K124" s="204"/>
      <c r="Z124" s="23"/>
    </row>
    <row r="125" spans="1:26" ht="15" customHeight="1" x14ac:dyDescent="0.25">
      <c r="A125" s="23"/>
      <c r="B125"/>
      <c r="C125"/>
      <c r="D125"/>
      <c r="E125"/>
      <c r="F125"/>
      <c r="G125"/>
      <c r="H125"/>
      <c r="I125"/>
      <c r="J125"/>
      <c r="K125" s="204"/>
      <c r="Z125" s="23"/>
    </row>
    <row r="126" spans="1:26" ht="15" customHeight="1" x14ac:dyDescent="0.25">
      <c r="A126" s="23"/>
      <c r="B126"/>
      <c r="C126"/>
      <c r="D126"/>
      <c r="E126"/>
      <c r="F126"/>
      <c r="G126"/>
      <c r="H126"/>
      <c r="I126"/>
      <c r="J126"/>
      <c r="K126" s="204"/>
      <c r="Z126" s="23"/>
    </row>
    <row r="127" spans="1:26" ht="15" customHeight="1" x14ac:dyDescent="0.25">
      <c r="A127" s="23"/>
      <c r="B127"/>
      <c r="C127"/>
      <c r="D127"/>
      <c r="E127"/>
      <c r="F127"/>
      <c r="G127"/>
      <c r="H127"/>
      <c r="I127"/>
      <c r="J127"/>
      <c r="K127" s="204"/>
      <c r="Z127" s="23"/>
    </row>
    <row r="128" spans="1:26" ht="15" customHeight="1" x14ac:dyDescent="0.25">
      <c r="A128" s="23"/>
      <c r="B128"/>
      <c r="C128"/>
      <c r="D128"/>
      <c r="E128"/>
      <c r="F128"/>
      <c r="G128"/>
      <c r="H128"/>
      <c r="I128"/>
      <c r="J128"/>
      <c r="K128" s="204"/>
      <c r="Z128" s="23"/>
    </row>
    <row r="129" spans="1:26" ht="15" customHeight="1" x14ac:dyDescent="0.25">
      <c r="A129" s="23"/>
      <c r="B129"/>
      <c r="C129"/>
      <c r="D129"/>
      <c r="E129"/>
      <c r="F129"/>
      <c r="G129"/>
      <c r="H129"/>
      <c r="I129"/>
      <c r="J129"/>
      <c r="K129" s="204"/>
      <c r="Z129" s="23"/>
    </row>
    <row r="130" spans="1:26" ht="15" customHeight="1" x14ac:dyDescent="0.25">
      <c r="A130" s="23"/>
      <c r="B130"/>
      <c r="C130"/>
      <c r="D130"/>
      <c r="E130"/>
      <c r="F130"/>
      <c r="G130"/>
      <c r="H130"/>
      <c r="I130"/>
      <c r="J130"/>
      <c r="K130" s="204"/>
      <c r="Z130" s="23"/>
    </row>
    <row r="131" spans="1:26" ht="15" customHeight="1" x14ac:dyDescent="0.25">
      <c r="A131" s="23"/>
      <c r="B131"/>
      <c r="C131"/>
      <c r="D131"/>
      <c r="E131"/>
      <c r="F131"/>
      <c r="G131"/>
      <c r="H131"/>
      <c r="I131"/>
      <c r="J131"/>
      <c r="K131" s="204"/>
      <c r="Z131" s="23"/>
    </row>
    <row r="132" spans="1:26" ht="15" customHeight="1" x14ac:dyDescent="0.25">
      <c r="A132" s="23"/>
      <c r="B132"/>
      <c r="C132"/>
      <c r="D132"/>
      <c r="E132"/>
      <c r="F132"/>
      <c r="G132"/>
      <c r="H132"/>
      <c r="I132"/>
      <c r="J132"/>
      <c r="K132" s="204"/>
      <c r="Z132" s="23"/>
    </row>
    <row r="133" spans="1:26" ht="15" customHeight="1" x14ac:dyDescent="0.25">
      <c r="A133" s="23"/>
      <c r="B133"/>
      <c r="C133"/>
      <c r="D133"/>
      <c r="E133"/>
      <c r="F133"/>
      <c r="G133"/>
      <c r="H133"/>
      <c r="I133"/>
      <c r="J133"/>
      <c r="K133" s="204"/>
      <c r="Z133" s="23"/>
    </row>
    <row r="134" spans="1:26" ht="15" customHeight="1" x14ac:dyDescent="0.25">
      <c r="A134" s="23"/>
      <c r="B134"/>
      <c r="C134"/>
      <c r="D134"/>
      <c r="E134"/>
      <c r="F134"/>
      <c r="G134"/>
      <c r="H134"/>
      <c r="I134"/>
      <c r="J134"/>
      <c r="K134" s="204"/>
      <c r="Z134" s="23"/>
    </row>
    <row r="135" spans="1:26" ht="15" customHeight="1" x14ac:dyDescent="0.25">
      <c r="A135" s="23"/>
      <c r="B135"/>
      <c r="C135"/>
      <c r="D135"/>
      <c r="E135"/>
      <c r="F135"/>
      <c r="G135"/>
      <c r="H135"/>
      <c r="I135"/>
      <c r="J135"/>
      <c r="K135" s="204"/>
      <c r="Z135" s="23"/>
    </row>
    <row r="136" spans="1:26" ht="15" customHeight="1" x14ac:dyDescent="0.25">
      <c r="A136" s="23"/>
      <c r="B136"/>
      <c r="C136"/>
      <c r="D136"/>
      <c r="E136"/>
      <c r="F136"/>
      <c r="G136"/>
      <c r="H136"/>
      <c r="I136"/>
      <c r="J136"/>
      <c r="K136" s="204"/>
      <c r="Z136" s="23"/>
    </row>
    <row r="137" spans="1:26" ht="15" customHeight="1" x14ac:dyDescent="0.25">
      <c r="A137" s="23"/>
      <c r="B137"/>
      <c r="C137"/>
      <c r="D137"/>
      <c r="E137"/>
      <c r="F137"/>
      <c r="G137"/>
      <c r="H137"/>
      <c r="I137"/>
      <c r="J137"/>
      <c r="K137" s="204"/>
      <c r="Z137" s="23"/>
    </row>
    <row r="138" spans="1:26" ht="15" customHeight="1" x14ac:dyDescent="0.25">
      <c r="A138" s="23"/>
      <c r="B138"/>
      <c r="C138"/>
      <c r="D138"/>
      <c r="E138"/>
      <c r="F138"/>
      <c r="G138"/>
      <c r="H138"/>
      <c r="I138"/>
      <c r="J138"/>
      <c r="K138" s="204"/>
      <c r="Z138" s="23"/>
    </row>
    <row r="139" spans="1:26" ht="15" customHeight="1" x14ac:dyDescent="0.25">
      <c r="A139" s="23"/>
      <c r="B139"/>
      <c r="C139"/>
      <c r="D139"/>
      <c r="E139"/>
      <c r="F139"/>
      <c r="G139"/>
      <c r="H139"/>
      <c r="I139"/>
      <c r="J139"/>
      <c r="K139" s="204"/>
      <c r="Z139" s="23"/>
    </row>
    <row r="140" spans="1:26" ht="15" customHeight="1" x14ac:dyDescent="0.25">
      <c r="A140" s="23"/>
      <c r="B140"/>
      <c r="C140"/>
      <c r="D140"/>
      <c r="E140"/>
      <c r="F140"/>
      <c r="G140"/>
      <c r="H140"/>
      <c r="I140"/>
      <c r="J140"/>
      <c r="K140" s="204"/>
      <c r="Z140" s="23"/>
    </row>
    <row r="141" spans="1:26" ht="15" customHeight="1" x14ac:dyDescent="0.25">
      <c r="A141" s="23"/>
      <c r="B141"/>
      <c r="C141"/>
      <c r="D141"/>
      <c r="E141"/>
      <c r="F141"/>
      <c r="G141"/>
      <c r="H141"/>
      <c r="I141"/>
      <c r="J141"/>
      <c r="K141" s="204"/>
      <c r="Z141" s="23"/>
    </row>
    <row r="142" spans="1:26" ht="15" customHeight="1" x14ac:dyDescent="0.25">
      <c r="A142" s="23"/>
      <c r="B142"/>
      <c r="C142"/>
      <c r="D142"/>
      <c r="E142"/>
      <c r="F142"/>
      <c r="G142"/>
      <c r="H142"/>
      <c r="I142"/>
      <c r="J142"/>
      <c r="K142" s="204"/>
      <c r="Z142" s="23"/>
    </row>
    <row r="143" spans="1:26" ht="15" customHeight="1" x14ac:dyDescent="0.25">
      <c r="A143" s="23"/>
      <c r="B143"/>
      <c r="C143"/>
      <c r="D143"/>
      <c r="E143"/>
      <c r="F143"/>
      <c r="G143"/>
      <c r="H143"/>
      <c r="I143"/>
      <c r="J143"/>
      <c r="K143" s="204"/>
      <c r="Z143" s="23"/>
    </row>
    <row r="144" spans="1:26" ht="15" customHeight="1" x14ac:dyDescent="0.25">
      <c r="A144" s="23"/>
      <c r="B144"/>
      <c r="C144"/>
      <c r="D144"/>
      <c r="E144"/>
      <c r="F144"/>
      <c r="G144"/>
      <c r="H144"/>
      <c r="I144"/>
      <c r="J144"/>
      <c r="K144" s="204"/>
      <c r="Z144" s="23"/>
    </row>
    <row r="145" spans="1:26" ht="15" customHeight="1" x14ac:dyDescent="0.25">
      <c r="A145" s="23"/>
      <c r="B145"/>
      <c r="C145"/>
      <c r="D145"/>
      <c r="E145"/>
      <c r="F145"/>
      <c r="G145"/>
      <c r="H145"/>
      <c r="I145"/>
      <c r="J145"/>
      <c r="K145" s="204"/>
      <c r="Z145" s="23"/>
    </row>
    <row r="146" spans="1:26" ht="15" customHeight="1" x14ac:dyDescent="0.25">
      <c r="A146" s="23"/>
      <c r="B146"/>
      <c r="C146"/>
      <c r="D146"/>
      <c r="E146"/>
      <c r="F146"/>
      <c r="G146"/>
      <c r="H146"/>
      <c r="I146"/>
      <c r="J146"/>
      <c r="K146" s="204"/>
      <c r="Z146" s="23"/>
    </row>
    <row r="147" spans="1:26" ht="15" customHeight="1" x14ac:dyDescent="0.25">
      <c r="A147" s="23"/>
      <c r="B147"/>
      <c r="C147"/>
      <c r="D147"/>
      <c r="E147"/>
      <c r="F147"/>
      <c r="G147"/>
      <c r="H147"/>
      <c r="I147"/>
      <c r="J147"/>
      <c r="K147" s="204"/>
      <c r="Z147" s="23"/>
    </row>
    <row r="148" spans="1:26" ht="15" customHeight="1" x14ac:dyDescent="0.25">
      <c r="A148" s="23"/>
      <c r="B148"/>
      <c r="C148"/>
      <c r="D148"/>
      <c r="E148"/>
      <c r="F148"/>
      <c r="G148"/>
      <c r="H148"/>
      <c r="I148"/>
      <c r="J148"/>
      <c r="K148" s="204"/>
      <c r="Z148" s="23"/>
    </row>
    <row r="149" spans="1:26" ht="15" customHeight="1" x14ac:dyDescent="0.25">
      <c r="A149" s="23"/>
      <c r="B149"/>
      <c r="C149"/>
      <c r="D149"/>
      <c r="E149"/>
      <c r="F149"/>
      <c r="G149"/>
      <c r="H149"/>
      <c r="I149"/>
      <c r="J149"/>
      <c r="K149" s="204"/>
      <c r="Z149" s="23"/>
    </row>
    <row r="150" spans="1:26" ht="15" customHeight="1" x14ac:dyDescent="0.25">
      <c r="A150" s="23"/>
      <c r="B150"/>
      <c r="C150"/>
      <c r="D150"/>
      <c r="E150"/>
      <c r="F150"/>
      <c r="G150"/>
      <c r="H150"/>
      <c r="I150"/>
      <c r="J150"/>
      <c r="K150" s="204"/>
      <c r="Z150" s="23"/>
    </row>
    <row r="151" spans="1:26" ht="15" customHeight="1" x14ac:dyDescent="0.25">
      <c r="A151" s="23"/>
      <c r="B151"/>
      <c r="C151"/>
      <c r="D151"/>
      <c r="E151"/>
      <c r="F151"/>
      <c r="G151"/>
      <c r="H151"/>
      <c r="I151"/>
      <c r="J151"/>
      <c r="K151" s="204"/>
      <c r="Z151" s="23"/>
    </row>
    <row r="152" spans="1:26" ht="15" customHeight="1" x14ac:dyDescent="0.25">
      <c r="A152" s="23"/>
      <c r="B152"/>
      <c r="C152"/>
      <c r="D152"/>
      <c r="E152"/>
      <c r="F152"/>
      <c r="G152"/>
      <c r="H152"/>
      <c r="I152"/>
      <c r="J152"/>
      <c r="K152" s="204"/>
      <c r="Z152" s="23"/>
    </row>
    <row r="153" spans="1:26" ht="15" customHeight="1" x14ac:dyDescent="0.25">
      <c r="A153" s="23"/>
      <c r="B153"/>
      <c r="C153"/>
      <c r="D153"/>
      <c r="E153"/>
      <c r="F153"/>
      <c r="G153"/>
      <c r="H153"/>
      <c r="I153"/>
      <c r="J153"/>
      <c r="K153" s="204"/>
      <c r="Z153" s="23"/>
    </row>
    <row r="154" spans="1:26" ht="15" customHeight="1" x14ac:dyDescent="0.25">
      <c r="A154" s="23"/>
      <c r="B154"/>
      <c r="C154"/>
      <c r="D154"/>
      <c r="E154"/>
      <c r="F154"/>
      <c r="G154"/>
      <c r="H154"/>
      <c r="I154"/>
      <c r="J154"/>
      <c r="K154" s="204"/>
      <c r="Z154" s="23"/>
    </row>
    <row r="155" spans="1:26" ht="15" customHeight="1" x14ac:dyDescent="0.25">
      <c r="A155" s="23"/>
      <c r="B155"/>
      <c r="C155"/>
      <c r="D155"/>
      <c r="E155"/>
      <c r="F155"/>
      <c r="G155"/>
      <c r="H155"/>
      <c r="I155"/>
      <c r="J155"/>
      <c r="K155" s="204"/>
      <c r="Z155" s="23"/>
    </row>
    <row r="156" spans="1:26" ht="15" customHeight="1" x14ac:dyDescent="0.25">
      <c r="A156" s="23"/>
      <c r="B156"/>
      <c r="C156"/>
      <c r="D156"/>
      <c r="E156"/>
      <c r="F156"/>
      <c r="G156"/>
      <c r="H156"/>
      <c r="I156"/>
      <c r="J156"/>
      <c r="K156" s="204"/>
      <c r="Z156" s="23"/>
    </row>
    <row r="157" spans="1:26" ht="15" customHeight="1" x14ac:dyDescent="0.25">
      <c r="A157" s="23"/>
      <c r="B157"/>
      <c r="C157"/>
      <c r="D157"/>
      <c r="E157"/>
      <c r="F157"/>
      <c r="G157"/>
      <c r="H157"/>
      <c r="I157"/>
      <c r="J157"/>
      <c r="K157" s="204"/>
      <c r="Z157" s="23"/>
    </row>
    <row r="158" spans="1:26" ht="15" customHeight="1" x14ac:dyDescent="0.25">
      <c r="A158" s="23"/>
      <c r="B158"/>
      <c r="C158"/>
      <c r="D158"/>
      <c r="E158"/>
      <c r="F158"/>
      <c r="G158"/>
      <c r="H158"/>
      <c r="I158"/>
      <c r="J158"/>
      <c r="K158" s="204"/>
      <c r="Z158" s="23"/>
    </row>
    <row r="159" spans="1:26" ht="15" customHeight="1" x14ac:dyDescent="0.25">
      <c r="A159" s="23"/>
      <c r="B159"/>
      <c r="C159"/>
      <c r="D159"/>
      <c r="E159"/>
      <c r="F159"/>
      <c r="G159"/>
      <c r="H159"/>
      <c r="I159"/>
      <c r="J159"/>
      <c r="K159" s="204"/>
      <c r="Z159" s="23"/>
    </row>
    <row r="160" spans="1:26" ht="15" customHeight="1" x14ac:dyDescent="0.25">
      <c r="A160" s="23"/>
      <c r="B160"/>
      <c r="C160"/>
      <c r="D160"/>
      <c r="E160"/>
      <c r="F160"/>
      <c r="G160"/>
      <c r="H160"/>
      <c r="I160"/>
      <c r="J160"/>
      <c r="K160" s="204"/>
      <c r="Z160" s="23"/>
    </row>
    <row r="161" spans="1:26" ht="15" customHeight="1" x14ac:dyDescent="0.25">
      <c r="A161" s="23"/>
      <c r="B161"/>
      <c r="C161"/>
      <c r="D161"/>
      <c r="E161"/>
      <c r="F161"/>
      <c r="G161"/>
      <c r="H161"/>
      <c r="I161"/>
      <c r="J161"/>
      <c r="K161" s="204"/>
      <c r="Z161" s="23"/>
    </row>
    <row r="162" spans="1:26" ht="15" customHeight="1" x14ac:dyDescent="0.25">
      <c r="A162" s="23"/>
      <c r="B162"/>
      <c r="C162"/>
      <c r="D162"/>
      <c r="E162"/>
      <c r="F162"/>
      <c r="G162"/>
      <c r="H162"/>
      <c r="I162"/>
      <c r="J162"/>
      <c r="K162" s="204"/>
      <c r="Z162" s="23"/>
    </row>
    <row r="163" spans="1:26" ht="15" customHeight="1" x14ac:dyDescent="0.25">
      <c r="A163" s="23"/>
      <c r="B163"/>
      <c r="C163"/>
      <c r="D163"/>
      <c r="E163"/>
      <c r="F163"/>
      <c r="G163"/>
      <c r="H163"/>
      <c r="I163"/>
      <c r="J163"/>
      <c r="K163" s="204"/>
      <c r="Z163" s="23"/>
    </row>
    <row r="164" spans="1:26" ht="15" customHeight="1" x14ac:dyDescent="0.25">
      <c r="A164" s="23"/>
      <c r="B164"/>
      <c r="C164"/>
      <c r="D164"/>
      <c r="E164"/>
      <c r="F164"/>
      <c r="G164"/>
      <c r="H164"/>
      <c r="I164"/>
      <c r="J164"/>
      <c r="K164" s="204"/>
      <c r="Z164" s="23"/>
    </row>
    <row r="165" spans="1:26" ht="15" customHeight="1" x14ac:dyDescent="0.25">
      <c r="A165" s="23"/>
      <c r="B165"/>
      <c r="C165"/>
      <c r="D165"/>
      <c r="E165"/>
      <c r="F165"/>
      <c r="G165"/>
      <c r="H165"/>
      <c r="I165"/>
      <c r="J165"/>
      <c r="K165" s="204"/>
      <c r="Z165" s="23"/>
    </row>
    <row r="166" spans="1:26" ht="15" customHeight="1" x14ac:dyDescent="0.25">
      <c r="A166" s="23"/>
      <c r="B166"/>
      <c r="C166"/>
      <c r="D166"/>
      <c r="E166"/>
      <c r="F166"/>
      <c r="G166"/>
      <c r="H166"/>
      <c r="I166"/>
      <c r="J166"/>
      <c r="K166" s="204"/>
      <c r="Z166" s="23"/>
    </row>
    <row r="167" spans="1:26" ht="15" customHeight="1" x14ac:dyDescent="0.25">
      <c r="A167" s="23"/>
      <c r="B167"/>
      <c r="C167"/>
      <c r="D167"/>
      <c r="E167"/>
      <c r="F167"/>
      <c r="G167"/>
      <c r="H167"/>
      <c r="I167"/>
      <c r="J167"/>
      <c r="K167" s="204"/>
      <c r="Z167" s="23"/>
    </row>
    <row r="168" spans="1:26" ht="15" customHeight="1" x14ac:dyDescent="0.25">
      <c r="A168" s="23"/>
      <c r="B168"/>
      <c r="C168"/>
      <c r="D168"/>
      <c r="E168"/>
      <c r="F168"/>
      <c r="G168"/>
      <c r="H168"/>
      <c r="I168"/>
      <c r="J168"/>
      <c r="K168" s="204"/>
      <c r="Z168" s="23"/>
    </row>
    <row r="169" spans="1:26" ht="15" customHeight="1" x14ac:dyDescent="0.25">
      <c r="A169" s="23"/>
      <c r="B169"/>
      <c r="C169"/>
      <c r="D169"/>
      <c r="E169"/>
      <c r="F169"/>
      <c r="G169"/>
      <c r="H169"/>
      <c r="I169"/>
      <c r="J169"/>
      <c r="K169" s="204"/>
      <c r="Z169" s="23"/>
    </row>
    <row r="170" spans="1:26" ht="15" customHeight="1" x14ac:dyDescent="0.25">
      <c r="A170" s="23"/>
      <c r="B170"/>
      <c r="C170"/>
      <c r="D170"/>
      <c r="E170"/>
      <c r="F170"/>
      <c r="G170"/>
      <c r="H170"/>
      <c r="I170"/>
      <c r="J170"/>
      <c r="K170" s="204"/>
      <c r="Z170" s="23"/>
    </row>
    <row r="171" spans="1:26" ht="15" customHeight="1" x14ac:dyDescent="0.25">
      <c r="A171" s="23"/>
      <c r="B171"/>
      <c r="C171"/>
      <c r="D171"/>
      <c r="E171"/>
      <c r="F171"/>
      <c r="G171"/>
      <c r="H171"/>
      <c r="I171"/>
      <c r="J171"/>
      <c r="K171" s="204"/>
      <c r="Z171" s="23"/>
    </row>
    <row r="172" spans="1:26" ht="15" customHeight="1" x14ac:dyDescent="0.25">
      <c r="A172" s="23"/>
      <c r="B172"/>
      <c r="C172"/>
      <c r="D172"/>
      <c r="E172"/>
      <c r="F172"/>
      <c r="G172"/>
      <c r="H172"/>
      <c r="I172"/>
      <c r="J172"/>
      <c r="K172" s="204"/>
      <c r="Z172" s="23"/>
    </row>
    <row r="173" spans="1:26" ht="15" customHeight="1" x14ac:dyDescent="0.25">
      <c r="A173" s="23"/>
      <c r="B173"/>
      <c r="C173"/>
      <c r="D173"/>
      <c r="E173"/>
      <c r="F173"/>
      <c r="G173"/>
      <c r="H173"/>
      <c r="I173"/>
      <c r="J173"/>
      <c r="K173" s="204"/>
      <c r="Z173" s="23"/>
    </row>
    <row r="174" spans="1:26" ht="15" customHeight="1" x14ac:dyDescent="0.25">
      <c r="A174" s="23"/>
      <c r="B174"/>
      <c r="C174"/>
      <c r="D174"/>
      <c r="E174"/>
      <c r="F174"/>
      <c r="G174"/>
      <c r="H174"/>
      <c r="I174"/>
      <c r="J174"/>
      <c r="K174" s="204"/>
      <c r="Z174" s="23"/>
    </row>
    <row r="175" spans="1:26" ht="15" customHeight="1" x14ac:dyDescent="0.25">
      <c r="A175" s="23"/>
      <c r="B175"/>
      <c r="C175"/>
      <c r="D175"/>
      <c r="E175"/>
      <c r="F175"/>
      <c r="G175"/>
      <c r="H175"/>
      <c r="I175"/>
      <c r="J175"/>
      <c r="K175" s="204"/>
      <c r="Z175" s="23"/>
    </row>
    <row r="176" spans="1:26" ht="15" customHeight="1" x14ac:dyDescent="0.25">
      <c r="A176" s="23"/>
      <c r="B176"/>
      <c r="C176"/>
      <c r="D176"/>
      <c r="E176"/>
      <c r="F176"/>
      <c r="G176"/>
      <c r="H176"/>
      <c r="I176"/>
      <c r="J176"/>
      <c r="K176" s="204"/>
      <c r="Z176" s="23"/>
    </row>
    <row r="177" spans="1:29" ht="15" customHeight="1" x14ac:dyDescent="0.25">
      <c r="A177" s="23"/>
      <c r="B177"/>
      <c r="C177"/>
      <c r="D177"/>
      <c r="E177"/>
      <c r="F177"/>
      <c r="G177"/>
      <c r="H177"/>
      <c r="I177"/>
      <c r="J177"/>
      <c r="K177" s="204"/>
      <c r="Z177" s="23"/>
    </row>
    <row r="178" spans="1:29" ht="15" customHeight="1" x14ac:dyDescent="0.25">
      <c r="A178" s="23"/>
      <c r="B178"/>
      <c r="C178"/>
      <c r="D178"/>
      <c r="E178"/>
      <c r="F178"/>
      <c r="G178"/>
      <c r="H178"/>
      <c r="I178"/>
      <c r="J178"/>
      <c r="K178" s="204"/>
      <c r="Z178" s="23"/>
    </row>
    <row r="179" spans="1:29" ht="15" customHeight="1" x14ac:dyDescent="0.25">
      <c r="A179" s="23"/>
      <c r="B179"/>
      <c r="C179"/>
      <c r="D179"/>
      <c r="E179"/>
      <c r="F179"/>
      <c r="G179"/>
      <c r="H179"/>
      <c r="I179"/>
      <c r="J179"/>
      <c r="K179" s="204"/>
      <c r="Z179" s="23"/>
    </row>
    <row r="180" spans="1:29" ht="15" customHeight="1" x14ac:dyDescent="0.25">
      <c r="A180" s="23"/>
      <c r="B180"/>
      <c r="C180"/>
      <c r="D180"/>
      <c r="E180"/>
      <c r="F180"/>
      <c r="G180"/>
      <c r="H180"/>
      <c r="I180"/>
      <c r="J180"/>
      <c r="K180" s="204"/>
      <c r="Z180" s="23"/>
    </row>
    <row r="181" spans="1:29" ht="15" customHeight="1" x14ac:dyDescent="0.25">
      <c r="A181" s="23"/>
      <c r="B181"/>
      <c r="C181"/>
      <c r="D181"/>
      <c r="E181"/>
      <c r="F181"/>
      <c r="G181"/>
      <c r="H181"/>
      <c r="I181"/>
      <c r="J181"/>
      <c r="K181" s="204"/>
      <c r="Z181" s="23"/>
    </row>
    <row r="182" spans="1:29" ht="15" customHeight="1" x14ac:dyDescent="0.25">
      <c r="A182" s="23"/>
      <c r="B182"/>
      <c r="C182"/>
      <c r="D182"/>
      <c r="E182"/>
      <c r="F182"/>
      <c r="G182"/>
      <c r="H182"/>
      <c r="I182"/>
      <c r="J182"/>
      <c r="K182" s="204"/>
      <c r="Z182" s="23"/>
    </row>
    <row r="183" spans="1:29" ht="15" customHeight="1" x14ac:dyDescent="0.25">
      <c r="A183" s="23"/>
      <c r="B183"/>
      <c r="C183"/>
      <c r="D183"/>
      <c r="E183"/>
      <c r="F183"/>
      <c r="G183"/>
      <c r="H183"/>
      <c r="I183"/>
      <c r="J183"/>
      <c r="K183" s="204"/>
      <c r="Z183" s="23"/>
    </row>
    <row r="184" spans="1:29" ht="15" customHeight="1" x14ac:dyDescent="0.25">
      <c r="A184" s="23"/>
      <c r="B184"/>
      <c r="C184"/>
      <c r="D184"/>
      <c r="E184"/>
      <c r="F184"/>
      <c r="G184"/>
      <c r="H184"/>
      <c r="I184"/>
      <c r="J184"/>
      <c r="K184" s="204"/>
      <c r="Z184" s="23"/>
    </row>
    <row r="185" spans="1:29" ht="15" customHeight="1" x14ac:dyDescent="0.25">
      <c r="A185" s="23"/>
      <c r="B185"/>
      <c r="C185"/>
      <c r="D185"/>
      <c r="E185"/>
      <c r="F185"/>
      <c r="G185"/>
      <c r="H185"/>
      <c r="I185"/>
      <c r="J185"/>
      <c r="K185" s="204"/>
      <c r="Z185" s="23"/>
    </row>
    <row r="186" spans="1:29" ht="15" customHeight="1" x14ac:dyDescent="0.25">
      <c r="A186" s="23"/>
      <c r="B186"/>
      <c r="C186"/>
      <c r="D186"/>
      <c r="E186"/>
      <c r="F186"/>
      <c r="G186"/>
      <c r="H186"/>
      <c r="I186"/>
      <c r="J186"/>
      <c r="K186" s="204"/>
      <c r="Z186" s="23"/>
    </row>
    <row r="187" spans="1:29" ht="15" customHeight="1" x14ac:dyDescent="0.25">
      <c r="A187" s="23"/>
      <c r="B187"/>
      <c r="C187"/>
      <c r="D187"/>
      <c r="E187"/>
      <c r="F187"/>
      <c r="G187"/>
      <c r="H187"/>
      <c r="I187"/>
      <c r="J187"/>
      <c r="K187" s="204"/>
      <c r="Z187" s="23"/>
    </row>
    <row r="188" spans="1:29" ht="15" customHeight="1" x14ac:dyDescent="0.25">
      <c r="A188" s="23"/>
      <c r="B188"/>
      <c r="C188"/>
      <c r="D188"/>
      <c r="E188"/>
      <c r="F188"/>
      <c r="G188"/>
      <c r="H188"/>
      <c r="I188"/>
      <c r="J188"/>
      <c r="K188" s="204"/>
      <c r="Z188" s="23"/>
    </row>
    <row r="189" spans="1:29" ht="14.45" customHeight="1" x14ac:dyDescent="0.25">
      <c r="A189" s="23"/>
      <c r="B189"/>
      <c r="C189"/>
      <c r="D189"/>
      <c r="E189"/>
      <c r="F189"/>
      <c r="G189"/>
      <c r="H189"/>
      <c r="I189"/>
      <c r="J189"/>
      <c r="K189" s="204"/>
      <c r="Z189" s="23"/>
    </row>
    <row r="190" spans="1:29" x14ac:dyDescent="0.25">
      <c r="A190" s="145"/>
      <c r="B190" s="145"/>
      <c r="C190" s="145"/>
      <c r="D190" s="145"/>
      <c r="E190" s="145"/>
      <c r="F190" s="145"/>
      <c r="G190" s="145"/>
      <c r="H190" s="145"/>
      <c r="I190" s="145"/>
      <c r="J190" s="145"/>
      <c r="K190" s="145"/>
      <c r="L190" s="145"/>
      <c r="X190" s="145"/>
      <c r="Y190" s="145"/>
      <c r="Z190" s="145"/>
      <c r="AA190" s="145"/>
      <c r="AB190" s="145"/>
      <c r="AC190" s="145"/>
    </row>
    <row r="191" spans="1:29" x14ac:dyDescent="0.25">
      <c r="A191" s="23"/>
      <c r="B191"/>
      <c r="C191"/>
      <c r="D191"/>
      <c r="E191"/>
      <c r="F191"/>
      <c r="G191"/>
      <c r="H191"/>
      <c r="I191"/>
      <c r="J191"/>
      <c r="X191" s="27"/>
      <c r="Z191" s="23"/>
      <c r="AA191" s="201" t="str" cm="1">
        <f t="array" ref="AA191:AC191">AA6:AC6</f>
        <v>Pt Froid</v>
      </c>
      <c r="AB191" s="201" t="str">
        <v>Regulation</v>
      </c>
      <c r="AC191" s="201" t="str">
        <v>Pt Chaud</v>
      </c>
    </row>
    <row r="192" spans="1:29" x14ac:dyDescent="0.25">
      <c r="A192" s="23"/>
      <c r="B192"/>
      <c r="C192"/>
      <c r="D192"/>
      <c r="E192"/>
      <c r="F192"/>
      <c r="G192"/>
      <c r="H192"/>
      <c r="I192"/>
      <c r="J192"/>
      <c r="X192" s="27"/>
      <c r="Z192" s="197" t="s">
        <v>90</v>
      </c>
      <c r="AA192" s="43">
        <f>MAX(tab_four200[Pt Froid])</f>
        <v>201.3</v>
      </c>
      <c r="AB192" s="43">
        <f>MAX(tab_four200[Regulation])</f>
        <v>200.4</v>
      </c>
      <c r="AC192" s="43">
        <f>MAX(tab_four200[Pt Chaud])</f>
        <v>202.1</v>
      </c>
    </row>
    <row r="193" spans="1:29" x14ac:dyDescent="0.25">
      <c r="A193" s="23"/>
      <c r="B193"/>
      <c r="C193"/>
      <c r="D193"/>
      <c r="E193"/>
      <c r="F193"/>
      <c r="G193"/>
      <c r="H193"/>
      <c r="I193"/>
      <c r="J193"/>
      <c r="X193" s="27"/>
      <c r="Z193" s="197" t="s">
        <v>91</v>
      </c>
      <c r="AA193" s="43">
        <f ca="1">MAX(OFFSET(INDEX(tab_four200[Pt Froid],1),COUNT(tab_four200[Pt Froid])-30,0,30))</f>
        <v>200.3</v>
      </c>
      <c r="AB193" s="43">
        <f ca="1">MAX(OFFSET(INDEX(tab_four200[Regulation],1),COUNT(tab_four200[Regulation])-30,0,30))</f>
        <v>200.1</v>
      </c>
      <c r="AC193" s="43">
        <f ca="1">MAX(OFFSET(INDEX(tab_four200[Pt Chaud],1),COUNT(tab_four200[Pt Chaud])-30,0,30))</f>
        <v>201.6</v>
      </c>
    </row>
    <row r="194" spans="1:29" x14ac:dyDescent="0.25">
      <c r="A194" s="23"/>
      <c r="B194"/>
      <c r="C194"/>
      <c r="D194"/>
      <c r="E194"/>
      <c r="F194"/>
      <c r="G194"/>
      <c r="H194"/>
      <c r="I194"/>
      <c r="J194"/>
      <c r="X194" s="27"/>
      <c r="Z194" s="197" t="s">
        <v>93</v>
      </c>
      <c r="AA194" s="43">
        <f ca="1">MIN(OFFSET(INDEX(tab_four200[Pt Froid],1),COUNT(tab_four200[Pt Froid])-30,0,30))</f>
        <v>200</v>
      </c>
      <c r="AB194" s="43">
        <f ca="1">MIN(OFFSET(INDEX(tab_four200[Regulation],1),COUNT(tab_four200[Regulation])-30,0,30))</f>
        <v>200</v>
      </c>
      <c r="AC194" s="43">
        <f ca="1">MIN(OFFSET(INDEX(tab_four200[Pt Chaud],1),COUNT(tab_four200[Pt Chaud])-30,0,30))</f>
        <v>201.4</v>
      </c>
    </row>
    <row r="195" spans="1:29" x14ac:dyDescent="0.25">
      <c r="A195" s="23"/>
      <c r="B195"/>
      <c r="C195"/>
      <c r="D195"/>
      <c r="E195"/>
      <c r="F195"/>
      <c r="G195"/>
      <c r="H195"/>
      <c r="I195"/>
      <c r="J195"/>
      <c r="X195" s="27"/>
      <c r="Z195" s="197" t="s">
        <v>95</v>
      </c>
      <c r="AA195" s="43">
        <f ca="1">AVERAGE(OFFSET(INDEX(tab_four200[Pt Froid],1),COUNT(tab_four200[Pt Froid])-30,0,30))</f>
        <v>200.17000000000004</v>
      </c>
      <c r="AB195" s="43">
        <f ca="1">AVERAGE(OFFSET(INDEX(tab_four200[Regulation],1),COUNT(tab_four200[Regulation])-30,0,30))</f>
        <v>200.03666666666669</v>
      </c>
      <c r="AC195" s="43">
        <f ca="1">AVERAGE(OFFSET(INDEX(tab_four200[Pt Chaud],1),COUNT(tab_four200[Pt Chaud])-30,0,30))</f>
        <v>201.51999999999995</v>
      </c>
    </row>
    <row r="196" spans="1:29" x14ac:dyDescent="0.25">
      <c r="A196" s="23"/>
      <c r="B196"/>
      <c r="C196"/>
      <c r="D196"/>
      <c r="E196"/>
      <c r="F196"/>
      <c r="G196"/>
      <c r="H196"/>
      <c r="I196"/>
      <c r="J196"/>
      <c r="X196" s="27"/>
    </row>
    <row r="197" spans="1:29" x14ac:dyDescent="0.25">
      <c r="A197" s="23"/>
      <c r="B197"/>
      <c r="C197"/>
      <c r="D197"/>
      <c r="E197"/>
      <c r="F197"/>
      <c r="G197"/>
      <c r="H197"/>
      <c r="I197"/>
      <c r="J197"/>
      <c r="X197" s="27"/>
      <c r="Z197" s="23"/>
    </row>
    <row r="198" spans="1:29" x14ac:dyDescent="0.25">
      <c r="A198" s="23"/>
      <c r="B198"/>
      <c r="C198"/>
      <c r="D198"/>
      <c r="E198"/>
      <c r="F198"/>
      <c r="G198"/>
      <c r="H198"/>
      <c r="I198"/>
      <c r="J198"/>
      <c r="X198" s="27"/>
      <c r="Z198" s="23"/>
    </row>
    <row r="199" spans="1:29" x14ac:dyDescent="0.25">
      <c r="A199" s="23"/>
      <c r="B199"/>
      <c r="C199"/>
      <c r="D199"/>
      <c r="E199"/>
      <c r="F199"/>
      <c r="G199"/>
      <c r="H199"/>
      <c r="I199"/>
      <c r="J199"/>
      <c r="X199" s="27"/>
      <c r="Z199" s="23"/>
    </row>
    <row r="200" spans="1:29" x14ac:dyDescent="0.25">
      <c r="X200" s="27"/>
      <c r="Z200" s="23"/>
    </row>
    <row r="201" spans="1:29" x14ac:dyDescent="0.25">
      <c r="Z201" s="23"/>
    </row>
    <row r="209" spans="8:8" x14ac:dyDescent="0.25">
      <c r="H209"/>
    </row>
    <row r="211" spans="8:8" x14ac:dyDescent="0.25">
      <c r="H211"/>
    </row>
  </sheetData>
  <sheetProtection algorithmName="SHA-512" hashValue="CVr5Hbo7pqBZTD28Z5qB847oaHkBGXbRTdr3kLPdM/oZjHztYc9JJJBM9Hd00+r+1yXJEvvPj6qBw6b0v+8x1w==" saltValue="2JLolTIfwal6uQ9ULFe8Ig==" spinCount="100000" sheet="1" objects="1" scenarios="1"/>
  <mergeCells count="8">
    <mergeCell ref="A1:AC1"/>
    <mergeCell ref="A5:J5"/>
    <mergeCell ref="M5:V5"/>
    <mergeCell ref="N106:V106"/>
    <mergeCell ref="N107:V107"/>
    <mergeCell ref="A99:W99"/>
    <mergeCell ref="M68:M98"/>
    <mergeCell ref="M7:M67"/>
  </mergeCells>
  <conditionalFormatting sqref="N101:V101">
    <cfRule type="cellIs" dxfId="93" priority="6" operator="equal">
      <formula>$W$101</formula>
    </cfRule>
  </conditionalFormatting>
  <conditionalFormatting sqref="N102:V102">
    <cfRule type="cellIs" dxfId="92" priority="2" operator="equal">
      <formula>$W$102</formula>
    </cfRule>
    <cfRule type="cellIs" dxfId="91" priority="5" operator="equal">
      <formula>#REF!</formula>
    </cfRule>
  </conditionalFormatting>
  <conditionalFormatting sqref="N103:V103">
    <cfRule type="cellIs" dxfId="90" priority="1" operator="equal">
      <formula>$W$103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1"/>
  <sheetViews>
    <sheetView topLeftCell="F1" zoomScaleNormal="100" workbookViewId="0">
      <selection activeCell="N3" sqref="N3"/>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2" t="str">
        <f>Mesures_Four!F27</f>
        <v>385°C</v>
      </c>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row>
    <row r="2" spans="1:29" x14ac:dyDescent="0.25">
      <c r="A2" s="191"/>
      <c r="B2" s="27"/>
      <c r="C2" s="27"/>
      <c r="D2" s="27"/>
      <c r="E2" s="27"/>
      <c r="F2" s="27"/>
      <c r="G2" s="27"/>
      <c r="H2" s="27"/>
      <c r="I2" s="27"/>
      <c r="J2" s="27"/>
      <c r="K2" s="27"/>
      <c r="M2" s="211" t="s">
        <v>87</v>
      </c>
      <c r="N2" s="44">
        <f>_xlfn.XLOOKUP(INT(SUBSTITUTE(N6,"Connecteur ", "")),Mesures_Four!C40:C48,Mesures_Four!F40:F48)</f>
        <v>0.3</v>
      </c>
      <c r="O2" s="44">
        <f>_xlfn.XLOOKUP(INT(SUBSTITUTE(O6,"Connecteur ", "")),Mesures_Four!C40:C48,Mesures_Four!F40:F48)</f>
        <v>0.09</v>
      </c>
      <c r="P2" s="44">
        <f>_xlfn.XLOOKUP(INT(SUBSTITUTE(P6,"Connecteur ", "")),Mesures_Four!C40:C48,Mesures_Four!F40:F48)</f>
        <v>0.22</v>
      </c>
      <c r="Q2" s="44">
        <f>_xlfn.XLOOKUP(INT(SUBSTITUTE(Q6,"Connecteur ", "")),Mesures_Four!C40:C48,Mesures_Four!F40:F48)</f>
        <v>0.27</v>
      </c>
      <c r="R2" s="44">
        <f>_xlfn.XLOOKUP(INT(SUBSTITUTE(R6,"Connecteur ", "")),Mesures_Four!C40:C48,Mesures_Four!F40:F48)</f>
        <v>0.25</v>
      </c>
      <c r="S2" s="44">
        <f>_xlfn.XLOOKUP(INT(SUBSTITUTE(S6,"Connecteur ", "")),Mesures_Four!C40:C48,Mesures_Four!F40:F48)</f>
        <v>0.28999999999999998</v>
      </c>
      <c r="T2" s="44">
        <f>_xlfn.XLOOKUP(INT(SUBSTITUTE(T6,"Connecteur ", "")),Mesures_Four!C40:C48,Mesures_Four!F40:F48)</f>
        <v>0.15</v>
      </c>
      <c r="U2" s="44">
        <f>_xlfn.XLOOKUP(INT(SUBSTITUTE(U6,"Connecteur ", "")),Mesures_Four!C40:C48,Mesures_Four!F40:F48)</f>
        <v>0.13</v>
      </c>
      <c r="V2" s="44">
        <f>_xlfn.XLOOKUP(INT(SUBSTITUTE(V6,"Connecteur ", "")),Mesures_Four!C40:C48,Mesures_Four!F40:F48)</f>
        <v>0.25</v>
      </c>
      <c r="W2" s="158"/>
      <c r="X2" s="158"/>
      <c r="Y2" s="158"/>
    </row>
    <row r="3" spans="1:29" x14ac:dyDescent="0.25">
      <c r="A3" s="191"/>
      <c r="B3" s="27"/>
      <c r="C3" s="27"/>
      <c r="D3" s="27"/>
      <c r="E3" s="27"/>
      <c r="F3" s="27"/>
      <c r="G3" s="27"/>
      <c r="H3" s="27"/>
      <c r="I3" s="27"/>
      <c r="J3" s="27"/>
      <c r="K3" s="27"/>
      <c r="M3" s="211" t="s">
        <v>23</v>
      </c>
      <c r="N3" s="44" cm="1">
        <f t="array" ref="N3">_xlfn.XLOOKUP(INT(SUBSTITUTE(N6,"Connecteur ", "")),INT(Mesures_Four!B28:B36),Mesures_Four!F28:F36)</f>
        <v>0.25</v>
      </c>
      <c r="O3" s="44" cm="1">
        <f t="array" ref="O3">_xlfn.XLOOKUP(INT(SUBSTITUTE(O6,"Connecteur ", "")),INT(Mesures_Four!B28:B36),Mesures_Four!F28:F36)</f>
        <v>0.25</v>
      </c>
      <c r="P3" s="44" cm="1">
        <f t="array" ref="P3">_xlfn.XLOOKUP(INT(SUBSTITUTE(P6,"Connecteur ", "")),INT(Mesures_Four!B28:B36),Mesures_Four!F28:F36)</f>
        <v>0.25</v>
      </c>
      <c r="Q3" s="44" cm="1">
        <f t="array" ref="Q3">_xlfn.XLOOKUP(INT(SUBSTITUTE(Q6,"Connecteur ", "")),INT(Mesures_Four!B28:B36),Mesures_Four!F28:F36)</f>
        <v>0.25</v>
      </c>
      <c r="R3" s="44" cm="1">
        <f t="array" ref="R3">_xlfn.XLOOKUP(INT(SUBSTITUTE(R6,"Connecteur ", "")),INT(Mesures_Four!B28:B36),Mesures_Four!F28:F36)</f>
        <v>0.56999999999999995</v>
      </c>
      <c r="S3" s="44" cm="1">
        <f t="array" ref="S3">_xlfn.XLOOKUP(INT(SUBSTITUTE(S6,"Connecteur ", "")),INT(Mesures_Four!B28:B36),Mesures_Four!F28:F36)</f>
        <v>0.25</v>
      </c>
      <c r="T3" s="44" cm="1">
        <f t="array" ref="T3">_xlfn.XLOOKUP(INT(SUBSTITUTE(T6,"Connecteur ", "")),INT(Mesures_Four!B28:B36),Mesures_Four!F28:F36)</f>
        <v>0.25</v>
      </c>
      <c r="U3" s="44" cm="1">
        <f t="array" ref="U3">_xlfn.XLOOKUP(INT(SUBSTITUTE(U6,"Connecteur ", "")),INT(Mesures_Four!B28:B36),Mesures_Four!F28:F36)</f>
        <v>0.25</v>
      </c>
      <c r="V3" s="44" cm="1">
        <f t="array" ref="V3">_xlfn.XLOOKUP(INT(SUBSTITUTE(V6,"Connecteur ", "")),INT(Mesures_Four!B28:B36),Mesures_Four!F28:F36)</f>
        <v>0.25</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4" t="s">
        <v>330</v>
      </c>
      <c r="B5" s="374"/>
      <c r="C5" s="374"/>
      <c r="D5" s="374"/>
      <c r="E5" s="374"/>
      <c r="F5" s="374"/>
      <c r="G5" s="374"/>
      <c r="H5" s="374"/>
      <c r="I5" s="374"/>
      <c r="J5" s="374"/>
      <c r="K5" s="27"/>
      <c r="M5" s="374" t="s">
        <v>88</v>
      </c>
      <c r="N5" s="374"/>
      <c r="O5" s="374"/>
      <c r="P5" s="374"/>
      <c r="Q5" s="374"/>
      <c r="R5" s="374"/>
      <c r="S5" s="374"/>
      <c r="T5" s="374"/>
      <c r="U5" s="374"/>
      <c r="V5" s="374"/>
      <c r="Z5" s="209"/>
    </row>
    <row r="6" spans="1:29" x14ac:dyDescent="0.25">
      <c r="A6" s="208" t="str" cm="1">
        <f t="array" ref="A6:J60">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60">tab_four385[[#All],[Consigne T°]]</f>
        <v>Consigne T°</v>
      </c>
      <c r="Z6" s="201" t="str" cm="1">
        <f t="array" ref="Z6:AC60">tab_four385[[#All],[Date/Heure]:[Pt Chaud]]</f>
        <v>Date/Heure</v>
      </c>
      <c r="AA6" s="201" t="str">
        <v>Pt Froid</v>
      </c>
      <c r="AB6" s="201" t="str">
        <v>Regulation</v>
      </c>
      <c r="AC6" s="201" t="str">
        <v>Pt Chaud</v>
      </c>
    </row>
    <row r="7" spans="1:29" ht="14.45" customHeight="1" x14ac:dyDescent="0.25">
      <c r="A7" s="23" t="str">
        <v>21/02/2024  03:16</v>
      </c>
      <c r="B7">
        <v>343.26</v>
      </c>
      <c r="C7">
        <v>341.12</v>
      </c>
      <c r="D7">
        <v>341.41</v>
      </c>
      <c r="E7">
        <v>343.94</v>
      </c>
      <c r="F7">
        <v>344.68</v>
      </c>
      <c r="G7">
        <v>347.15</v>
      </c>
      <c r="H7">
        <v>344.46</v>
      </c>
      <c r="I7">
        <v>348.16</v>
      </c>
      <c r="J7">
        <v>344.53</v>
      </c>
      <c r="K7" s="204"/>
      <c r="M7" s="504" t="s">
        <v>328</v>
      </c>
      <c r="N7" s="205" cm="1">
        <f t="array" ref="N7:V60">tab_transfert385[[Connecteur 1]:[Connecteur 9]]+N2:V2+N3:V3</f>
        <v>343.81</v>
      </c>
      <c r="O7" s="205">
        <v>341.46</v>
      </c>
      <c r="P7" s="205">
        <v>341.88000000000005</v>
      </c>
      <c r="Q7" s="205">
        <v>344.46</v>
      </c>
      <c r="R7" s="205">
        <v>345.5</v>
      </c>
      <c r="S7" s="205">
        <v>347.69</v>
      </c>
      <c r="T7" s="205">
        <v>344.85999999999996</v>
      </c>
      <c r="U7" s="205">
        <v>348.54</v>
      </c>
      <c r="V7" s="205">
        <v>345.03</v>
      </c>
      <c r="W7" s="202">
        <v>385</v>
      </c>
      <c r="Z7" s="23" t="str">
        <v>21/02/2024  03:16</v>
      </c>
      <c r="AA7">
        <v>343.2</v>
      </c>
      <c r="AB7">
        <v>337.2</v>
      </c>
      <c r="AC7">
        <v>339.5</v>
      </c>
    </row>
    <row r="8" spans="1:29" ht="14.45" customHeight="1" x14ac:dyDescent="0.25">
      <c r="A8" s="23" t="str">
        <v>21/02/2024  03:17</v>
      </c>
      <c r="B8">
        <v>346.51</v>
      </c>
      <c r="C8">
        <v>344.51</v>
      </c>
      <c r="D8">
        <v>344.67</v>
      </c>
      <c r="E8">
        <v>347.22</v>
      </c>
      <c r="F8">
        <v>347.96</v>
      </c>
      <c r="G8">
        <v>350.42</v>
      </c>
      <c r="H8">
        <v>347.69</v>
      </c>
      <c r="I8">
        <v>351.36</v>
      </c>
      <c r="J8">
        <v>347.73</v>
      </c>
      <c r="K8" s="204"/>
      <c r="M8" s="504"/>
      <c r="N8" s="205">
        <v>347.06</v>
      </c>
      <c r="O8" s="205">
        <v>344.84999999999997</v>
      </c>
      <c r="P8" s="205">
        <v>345.14000000000004</v>
      </c>
      <c r="Q8" s="205">
        <v>347.74</v>
      </c>
      <c r="R8" s="205">
        <v>348.78</v>
      </c>
      <c r="S8" s="205">
        <v>350.96000000000004</v>
      </c>
      <c r="T8" s="205">
        <v>348.09</v>
      </c>
      <c r="U8" s="205">
        <v>351.74</v>
      </c>
      <c r="V8" s="205">
        <v>348.23</v>
      </c>
      <c r="W8" s="202">
        <v>385</v>
      </c>
      <c r="Z8" s="23" t="str">
        <v>21/02/2024  03:17</v>
      </c>
      <c r="AA8">
        <v>346.5</v>
      </c>
      <c r="AB8">
        <v>340.4</v>
      </c>
      <c r="AC8">
        <v>342.8</v>
      </c>
    </row>
    <row r="9" spans="1:29" ht="14.45" customHeight="1" x14ac:dyDescent="0.25">
      <c r="A9" s="23" t="str">
        <v>21/02/2024  03:18</v>
      </c>
      <c r="B9">
        <v>349.72</v>
      </c>
      <c r="C9">
        <v>347.69</v>
      </c>
      <c r="D9">
        <v>347.92</v>
      </c>
      <c r="E9">
        <v>350.42</v>
      </c>
      <c r="F9">
        <v>351.13</v>
      </c>
      <c r="G9">
        <v>353.54</v>
      </c>
      <c r="H9">
        <v>350.87</v>
      </c>
      <c r="I9">
        <v>354.6</v>
      </c>
      <c r="J9">
        <v>351</v>
      </c>
      <c r="K9" s="204"/>
      <c r="M9" s="504"/>
      <c r="N9" s="205">
        <v>350.27000000000004</v>
      </c>
      <c r="O9" s="205">
        <v>348.03</v>
      </c>
      <c r="P9" s="205">
        <v>348.39000000000004</v>
      </c>
      <c r="Q9" s="205">
        <v>350.94</v>
      </c>
      <c r="R9" s="205">
        <v>351.95</v>
      </c>
      <c r="S9" s="205">
        <v>354.08000000000004</v>
      </c>
      <c r="T9" s="205">
        <v>351.27</v>
      </c>
      <c r="U9" s="205">
        <v>354.98</v>
      </c>
      <c r="V9" s="205">
        <v>351.5</v>
      </c>
      <c r="W9" s="202">
        <v>385</v>
      </c>
      <c r="Z9" s="23" t="str">
        <v>21/02/2024  03:18</v>
      </c>
      <c r="AA9">
        <v>349.7</v>
      </c>
      <c r="AB9">
        <v>343.7</v>
      </c>
      <c r="AC9">
        <v>346</v>
      </c>
    </row>
    <row r="10" spans="1:29" ht="14.45" customHeight="1" x14ac:dyDescent="0.25">
      <c r="A10" s="23" t="str">
        <v>21/02/2024  03:19</v>
      </c>
      <c r="B10">
        <v>352.94</v>
      </c>
      <c r="C10">
        <v>350.9</v>
      </c>
      <c r="D10">
        <v>351.17</v>
      </c>
      <c r="E10">
        <v>353.53</v>
      </c>
      <c r="F10">
        <v>354.26</v>
      </c>
      <c r="G10">
        <v>356.76</v>
      </c>
      <c r="H10">
        <v>354.02</v>
      </c>
      <c r="I10">
        <v>357.65</v>
      </c>
      <c r="J10">
        <v>354.02</v>
      </c>
      <c r="K10" s="204"/>
      <c r="M10" s="504"/>
      <c r="N10" s="205">
        <v>353.49</v>
      </c>
      <c r="O10" s="205">
        <v>351.23999999999995</v>
      </c>
      <c r="P10" s="205">
        <v>351.64000000000004</v>
      </c>
      <c r="Q10" s="205">
        <v>354.04999999999995</v>
      </c>
      <c r="R10" s="205">
        <v>355.08</v>
      </c>
      <c r="S10" s="205">
        <v>357.3</v>
      </c>
      <c r="T10" s="205">
        <v>354.41999999999996</v>
      </c>
      <c r="U10" s="205">
        <v>358.03</v>
      </c>
      <c r="V10" s="205">
        <v>354.52</v>
      </c>
      <c r="W10" s="202">
        <v>385</v>
      </c>
      <c r="Z10" s="23" t="str">
        <v>21/02/2024  03:19</v>
      </c>
      <c r="AA10">
        <v>352.8</v>
      </c>
      <c r="AB10">
        <v>347</v>
      </c>
      <c r="AC10">
        <v>349.1</v>
      </c>
    </row>
    <row r="11" spans="1:29" ht="14.45" customHeight="1" x14ac:dyDescent="0.25">
      <c r="A11" s="23" t="str">
        <v>21/02/2024  03:20</v>
      </c>
      <c r="B11">
        <v>356.15</v>
      </c>
      <c r="C11">
        <v>354</v>
      </c>
      <c r="D11">
        <v>354.34</v>
      </c>
      <c r="E11">
        <v>356.72</v>
      </c>
      <c r="F11">
        <v>357.32</v>
      </c>
      <c r="G11">
        <v>360.01</v>
      </c>
      <c r="H11">
        <v>357.23</v>
      </c>
      <c r="I11">
        <v>360.91</v>
      </c>
      <c r="J11">
        <v>357.29</v>
      </c>
      <c r="K11" s="204"/>
      <c r="M11" s="504"/>
      <c r="N11" s="205">
        <v>356.7</v>
      </c>
      <c r="O11" s="205">
        <v>354.34</v>
      </c>
      <c r="P11" s="205">
        <v>354.81</v>
      </c>
      <c r="Q11" s="205">
        <v>357.24</v>
      </c>
      <c r="R11" s="205">
        <v>358.14</v>
      </c>
      <c r="S11" s="205">
        <v>360.55</v>
      </c>
      <c r="T11" s="205">
        <v>357.63</v>
      </c>
      <c r="U11" s="205">
        <v>361.29</v>
      </c>
      <c r="V11" s="205">
        <v>357.79</v>
      </c>
      <c r="W11" s="202">
        <v>385</v>
      </c>
      <c r="Z11" s="23" t="str">
        <v>21/02/2024  03:20</v>
      </c>
      <c r="AA11">
        <v>356</v>
      </c>
      <c r="AB11">
        <v>350.2</v>
      </c>
      <c r="AC11">
        <v>352.3</v>
      </c>
    </row>
    <row r="12" spans="1:29" ht="14.45" customHeight="1" x14ac:dyDescent="0.25">
      <c r="A12" s="23" t="str">
        <v>21/02/2024  03:21</v>
      </c>
      <c r="B12">
        <v>359.15</v>
      </c>
      <c r="C12">
        <v>357.25</v>
      </c>
      <c r="D12">
        <v>357.48</v>
      </c>
      <c r="E12">
        <v>359.78</v>
      </c>
      <c r="F12">
        <v>360.53</v>
      </c>
      <c r="G12">
        <v>363.15</v>
      </c>
      <c r="H12">
        <v>360.33</v>
      </c>
      <c r="I12">
        <v>363.86</v>
      </c>
      <c r="J12">
        <v>360.33</v>
      </c>
      <c r="K12" s="204"/>
      <c r="M12" s="504"/>
      <c r="N12" s="205">
        <v>359.7</v>
      </c>
      <c r="O12" s="205">
        <v>357.59</v>
      </c>
      <c r="P12" s="205">
        <v>357.95000000000005</v>
      </c>
      <c r="Q12" s="205">
        <v>360.29999999999995</v>
      </c>
      <c r="R12" s="205">
        <v>361.34999999999997</v>
      </c>
      <c r="S12" s="205">
        <v>363.69</v>
      </c>
      <c r="T12" s="205">
        <v>360.72999999999996</v>
      </c>
      <c r="U12" s="205">
        <v>364.24</v>
      </c>
      <c r="V12" s="205">
        <v>360.83</v>
      </c>
      <c r="W12" s="202">
        <v>385</v>
      </c>
      <c r="Z12" s="23" t="str">
        <v>21/02/2024  03:21</v>
      </c>
      <c r="AA12">
        <v>359.1</v>
      </c>
      <c r="AB12">
        <v>353.4</v>
      </c>
      <c r="AC12">
        <v>355.5</v>
      </c>
    </row>
    <row r="13" spans="1:29" ht="14.45" customHeight="1" x14ac:dyDescent="0.25">
      <c r="A13" s="23" t="str">
        <v>21/02/2024  03:22</v>
      </c>
      <c r="B13">
        <v>362.28</v>
      </c>
      <c r="C13">
        <v>360.33</v>
      </c>
      <c r="D13">
        <v>360.6</v>
      </c>
      <c r="E13">
        <v>362.81</v>
      </c>
      <c r="F13">
        <v>363.55</v>
      </c>
      <c r="G13">
        <v>366.16</v>
      </c>
      <c r="H13">
        <v>363.54</v>
      </c>
      <c r="I13">
        <v>367.01</v>
      </c>
      <c r="J13">
        <v>363.4</v>
      </c>
      <c r="K13" s="204"/>
      <c r="M13" s="504"/>
      <c r="N13" s="205">
        <v>362.83</v>
      </c>
      <c r="O13" s="205">
        <v>360.66999999999996</v>
      </c>
      <c r="P13" s="205">
        <v>361.07000000000005</v>
      </c>
      <c r="Q13" s="205">
        <v>363.33</v>
      </c>
      <c r="R13" s="205">
        <v>364.37</v>
      </c>
      <c r="S13" s="205">
        <v>366.70000000000005</v>
      </c>
      <c r="T13" s="205">
        <v>363.94</v>
      </c>
      <c r="U13" s="205">
        <v>367.39</v>
      </c>
      <c r="V13" s="205">
        <v>363.9</v>
      </c>
      <c r="W13" s="202">
        <v>385</v>
      </c>
      <c r="Z13" s="23" t="str">
        <v>21/02/2024  03:22</v>
      </c>
      <c r="AA13">
        <v>362.1</v>
      </c>
      <c r="AB13">
        <v>356.6</v>
      </c>
      <c r="AC13">
        <v>358.5</v>
      </c>
    </row>
    <row r="14" spans="1:29" ht="14.45" customHeight="1" x14ac:dyDescent="0.25">
      <c r="A14" s="23" t="str">
        <v>21/02/2024  03:23</v>
      </c>
      <c r="B14">
        <v>365.43</v>
      </c>
      <c r="C14">
        <v>363.5</v>
      </c>
      <c r="D14">
        <v>363.7</v>
      </c>
      <c r="E14">
        <v>366</v>
      </c>
      <c r="F14">
        <v>366.67</v>
      </c>
      <c r="G14">
        <v>369.14</v>
      </c>
      <c r="H14">
        <v>366.47</v>
      </c>
      <c r="I14">
        <v>370.18</v>
      </c>
      <c r="J14">
        <v>366.52</v>
      </c>
      <c r="K14" s="204"/>
      <c r="M14" s="504"/>
      <c r="N14" s="205">
        <v>365.98</v>
      </c>
      <c r="O14" s="205">
        <v>363.84</v>
      </c>
      <c r="P14" s="205">
        <v>364.17</v>
      </c>
      <c r="Q14" s="205">
        <v>366.52</v>
      </c>
      <c r="R14" s="205">
        <v>367.49</v>
      </c>
      <c r="S14" s="205">
        <v>369.68</v>
      </c>
      <c r="T14" s="205">
        <v>366.87</v>
      </c>
      <c r="U14" s="205">
        <v>370.56</v>
      </c>
      <c r="V14" s="205">
        <v>367.02</v>
      </c>
      <c r="W14" s="202">
        <v>385</v>
      </c>
      <c r="Z14" s="23" t="str">
        <v>21/02/2024  03:23</v>
      </c>
      <c r="AA14">
        <v>365.2</v>
      </c>
      <c r="AB14">
        <v>359.7</v>
      </c>
      <c r="AC14">
        <v>361.6</v>
      </c>
    </row>
    <row r="15" spans="1:29" ht="14.45" customHeight="1" x14ac:dyDescent="0.25">
      <c r="A15" s="23" t="str">
        <v>21/02/2024  03:24</v>
      </c>
      <c r="B15">
        <v>368.43</v>
      </c>
      <c r="C15">
        <v>366.68</v>
      </c>
      <c r="D15">
        <v>366.84</v>
      </c>
      <c r="E15">
        <v>369.04</v>
      </c>
      <c r="F15">
        <v>369.37</v>
      </c>
      <c r="G15">
        <v>372.39</v>
      </c>
      <c r="H15">
        <v>369.61</v>
      </c>
      <c r="I15">
        <v>373.07</v>
      </c>
      <c r="J15">
        <v>369.64</v>
      </c>
      <c r="K15" s="204"/>
      <c r="M15" s="504"/>
      <c r="N15" s="205">
        <v>368.98</v>
      </c>
      <c r="O15" s="205">
        <v>367.02</v>
      </c>
      <c r="P15" s="205">
        <v>367.31</v>
      </c>
      <c r="Q15" s="205">
        <v>369.56</v>
      </c>
      <c r="R15" s="205">
        <v>370.19</v>
      </c>
      <c r="S15" s="205">
        <v>372.93</v>
      </c>
      <c r="T15" s="205">
        <v>370.01</v>
      </c>
      <c r="U15" s="205">
        <v>373.45</v>
      </c>
      <c r="V15" s="205">
        <v>370.14</v>
      </c>
      <c r="W15" s="202">
        <v>385</v>
      </c>
      <c r="Z15" s="23" t="str">
        <v>21/02/2024  03:24</v>
      </c>
      <c r="AA15">
        <v>368.2</v>
      </c>
      <c r="AB15">
        <v>362.8</v>
      </c>
      <c r="AC15">
        <v>364.7</v>
      </c>
    </row>
    <row r="16" spans="1:29" ht="14.45" customHeight="1" x14ac:dyDescent="0.25">
      <c r="A16" s="23" t="str">
        <v>21/02/2024  03:25</v>
      </c>
      <c r="B16">
        <v>371.68</v>
      </c>
      <c r="C16">
        <v>369.72</v>
      </c>
      <c r="D16">
        <v>369.84</v>
      </c>
      <c r="E16">
        <v>372.1</v>
      </c>
      <c r="F16">
        <v>372.79</v>
      </c>
      <c r="G16">
        <v>375.4</v>
      </c>
      <c r="H16">
        <v>372.6</v>
      </c>
      <c r="I16">
        <v>376.46</v>
      </c>
      <c r="J16">
        <v>372.7</v>
      </c>
      <c r="K16" s="204"/>
      <c r="M16" s="504"/>
      <c r="N16" s="205">
        <v>372.23</v>
      </c>
      <c r="O16" s="205">
        <v>370.06</v>
      </c>
      <c r="P16" s="205">
        <v>370.31</v>
      </c>
      <c r="Q16" s="205">
        <v>372.62</v>
      </c>
      <c r="R16" s="205">
        <v>373.61</v>
      </c>
      <c r="S16" s="205">
        <v>375.94</v>
      </c>
      <c r="T16" s="205">
        <v>373</v>
      </c>
      <c r="U16" s="205">
        <v>376.84</v>
      </c>
      <c r="V16" s="205">
        <v>373.2</v>
      </c>
      <c r="W16" s="202">
        <v>385</v>
      </c>
      <c r="Z16" s="23" t="str">
        <v>21/02/2024  03:25</v>
      </c>
      <c r="AA16">
        <v>371.3</v>
      </c>
      <c r="AB16">
        <v>366</v>
      </c>
      <c r="AC16">
        <v>367.7</v>
      </c>
    </row>
    <row r="17" spans="1:29" ht="14.45" customHeight="1" x14ac:dyDescent="0.25">
      <c r="A17" s="23" t="str">
        <v>21/02/2024  03:26</v>
      </c>
      <c r="B17">
        <v>374.61</v>
      </c>
      <c r="C17">
        <v>372.72</v>
      </c>
      <c r="D17">
        <v>372.81</v>
      </c>
      <c r="E17">
        <v>375.05</v>
      </c>
      <c r="F17">
        <v>375.63</v>
      </c>
      <c r="G17">
        <v>378.31</v>
      </c>
      <c r="H17">
        <v>375.71</v>
      </c>
      <c r="I17">
        <v>379.43</v>
      </c>
      <c r="J17">
        <v>375.69</v>
      </c>
      <c r="K17" s="204"/>
      <c r="M17" s="504"/>
      <c r="N17" s="205">
        <v>375.16</v>
      </c>
      <c r="O17" s="205">
        <v>373.06</v>
      </c>
      <c r="P17" s="205">
        <v>373.28000000000003</v>
      </c>
      <c r="Q17" s="205">
        <v>375.57</v>
      </c>
      <c r="R17" s="205">
        <v>376.45</v>
      </c>
      <c r="S17" s="205">
        <v>378.85</v>
      </c>
      <c r="T17" s="205">
        <v>376.10999999999996</v>
      </c>
      <c r="U17" s="205">
        <v>379.81</v>
      </c>
      <c r="V17" s="205">
        <v>376.19</v>
      </c>
      <c r="W17" s="202">
        <v>385</v>
      </c>
      <c r="Z17" s="23" t="str">
        <v>21/02/2024  03:26</v>
      </c>
      <c r="AA17">
        <v>374.3</v>
      </c>
      <c r="AB17">
        <v>368.9</v>
      </c>
      <c r="AC17">
        <v>370.8</v>
      </c>
    </row>
    <row r="18" spans="1:29" ht="14.45" customHeight="1" x14ac:dyDescent="0.25">
      <c r="A18" s="23" t="str">
        <v>21/02/2024  03:27</v>
      </c>
      <c r="B18">
        <v>377.62</v>
      </c>
      <c r="C18">
        <v>375.7</v>
      </c>
      <c r="D18">
        <v>375.96</v>
      </c>
      <c r="E18">
        <v>378.15</v>
      </c>
      <c r="F18">
        <v>378.78</v>
      </c>
      <c r="G18">
        <v>381.4</v>
      </c>
      <c r="H18">
        <v>378.71</v>
      </c>
      <c r="I18">
        <v>382.45</v>
      </c>
      <c r="J18">
        <v>378.79</v>
      </c>
      <c r="K18" s="204"/>
      <c r="M18" s="504"/>
      <c r="N18" s="205">
        <v>378.17</v>
      </c>
      <c r="O18" s="205">
        <v>376.03999999999996</v>
      </c>
      <c r="P18" s="205">
        <v>376.43</v>
      </c>
      <c r="Q18" s="205">
        <v>378.66999999999996</v>
      </c>
      <c r="R18" s="205">
        <v>379.59999999999997</v>
      </c>
      <c r="S18" s="205">
        <v>381.94</v>
      </c>
      <c r="T18" s="205">
        <v>379.10999999999996</v>
      </c>
      <c r="U18" s="205">
        <v>382.83</v>
      </c>
      <c r="V18" s="205">
        <v>379.29</v>
      </c>
      <c r="W18" s="202">
        <v>385</v>
      </c>
      <c r="Z18" s="23" t="str">
        <v>21/02/2024  03:27</v>
      </c>
      <c r="AA18">
        <v>377.2</v>
      </c>
      <c r="AB18">
        <v>372</v>
      </c>
      <c r="AC18">
        <v>373.8</v>
      </c>
    </row>
    <row r="19" spans="1:29" ht="14.45" customHeight="1" x14ac:dyDescent="0.25">
      <c r="A19" s="23" t="str">
        <v>21/02/2024  03:28</v>
      </c>
      <c r="B19">
        <v>380.73</v>
      </c>
      <c r="C19">
        <v>378.84</v>
      </c>
      <c r="D19">
        <v>379.02</v>
      </c>
      <c r="E19">
        <v>381.13</v>
      </c>
      <c r="F19">
        <v>381.53</v>
      </c>
      <c r="G19">
        <v>384.45</v>
      </c>
      <c r="H19">
        <v>381.75</v>
      </c>
      <c r="I19">
        <v>385.27</v>
      </c>
      <c r="J19">
        <v>381.72</v>
      </c>
      <c r="K19" s="204"/>
      <c r="M19" s="504"/>
      <c r="N19" s="205">
        <v>381.28000000000003</v>
      </c>
      <c r="O19" s="205">
        <v>379.17999999999995</v>
      </c>
      <c r="P19" s="205">
        <v>379.49</v>
      </c>
      <c r="Q19" s="205">
        <v>381.65</v>
      </c>
      <c r="R19" s="205">
        <v>382.34999999999997</v>
      </c>
      <c r="S19" s="205">
        <v>384.99</v>
      </c>
      <c r="T19" s="205">
        <v>382.15</v>
      </c>
      <c r="U19" s="205">
        <v>385.65</v>
      </c>
      <c r="V19" s="205">
        <v>382.22</v>
      </c>
      <c r="W19" s="202">
        <v>385</v>
      </c>
      <c r="Z19" s="23" t="str">
        <v>21/02/2024  03:28</v>
      </c>
      <c r="AA19">
        <v>380.2</v>
      </c>
      <c r="AB19">
        <v>375.1</v>
      </c>
      <c r="AC19">
        <v>376.7</v>
      </c>
    </row>
    <row r="20" spans="1:29" ht="14.45" customHeight="1" x14ac:dyDescent="0.25">
      <c r="A20" s="23" t="str">
        <v>21/02/2024  03:29</v>
      </c>
      <c r="B20">
        <v>382.68</v>
      </c>
      <c r="C20">
        <v>381</v>
      </c>
      <c r="D20">
        <v>381.08</v>
      </c>
      <c r="E20">
        <v>383.03</v>
      </c>
      <c r="F20">
        <v>382.91</v>
      </c>
      <c r="G20">
        <v>386.02</v>
      </c>
      <c r="H20">
        <v>383.67</v>
      </c>
      <c r="I20">
        <v>386.92</v>
      </c>
      <c r="J20">
        <v>383.57</v>
      </c>
      <c r="K20" s="204"/>
      <c r="M20" s="504"/>
      <c r="N20" s="205">
        <v>383.23</v>
      </c>
      <c r="O20" s="205">
        <v>381.34</v>
      </c>
      <c r="P20" s="205">
        <v>381.55</v>
      </c>
      <c r="Q20" s="205">
        <v>383.54999999999995</v>
      </c>
      <c r="R20" s="205">
        <v>383.73</v>
      </c>
      <c r="S20" s="205">
        <v>386.56</v>
      </c>
      <c r="T20" s="205">
        <v>384.07</v>
      </c>
      <c r="U20" s="205">
        <v>387.3</v>
      </c>
      <c r="V20" s="205">
        <v>384.07</v>
      </c>
      <c r="W20" s="202">
        <v>385</v>
      </c>
      <c r="Z20" s="23" t="str">
        <v>21/02/2024  03:29</v>
      </c>
      <c r="AA20">
        <v>383</v>
      </c>
      <c r="AB20">
        <v>378.1</v>
      </c>
      <c r="AC20">
        <v>379.6</v>
      </c>
    </row>
    <row r="21" spans="1:29" ht="14.45" customHeight="1" x14ac:dyDescent="0.25">
      <c r="A21" s="23" t="str">
        <v>21/02/2024  03:30</v>
      </c>
      <c r="B21">
        <v>384.01</v>
      </c>
      <c r="C21">
        <v>382.52</v>
      </c>
      <c r="D21">
        <v>382.41</v>
      </c>
      <c r="E21">
        <v>384.13</v>
      </c>
      <c r="F21">
        <v>383.63</v>
      </c>
      <c r="G21">
        <v>387.2</v>
      </c>
      <c r="H21">
        <v>384.75</v>
      </c>
      <c r="I21">
        <v>387.71</v>
      </c>
      <c r="J21">
        <v>384.59</v>
      </c>
      <c r="K21" s="204"/>
      <c r="M21" s="504"/>
      <c r="N21" s="205">
        <v>384.56</v>
      </c>
      <c r="O21" s="205">
        <v>382.85999999999996</v>
      </c>
      <c r="P21" s="205">
        <v>382.88000000000005</v>
      </c>
      <c r="Q21" s="205">
        <v>384.65</v>
      </c>
      <c r="R21" s="205">
        <v>384.45</v>
      </c>
      <c r="S21" s="205">
        <v>387.74</v>
      </c>
      <c r="T21" s="205">
        <v>385.15</v>
      </c>
      <c r="U21" s="205">
        <v>388.09</v>
      </c>
      <c r="V21" s="205">
        <v>385.09</v>
      </c>
      <c r="W21" s="202">
        <v>385</v>
      </c>
      <c r="Z21" s="23" t="str">
        <v>21/02/2024  03:30</v>
      </c>
      <c r="AA21">
        <v>384.7</v>
      </c>
      <c r="AB21">
        <v>380.2</v>
      </c>
      <c r="AC21">
        <v>381.5</v>
      </c>
    </row>
    <row r="22" spans="1:29" ht="14.45" customHeight="1" x14ac:dyDescent="0.25">
      <c r="A22" s="23" t="str">
        <v>21/02/2024  03:31</v>
      </c>
      <c r="B22">
        <v>384.97</v>
      </c>
      <c r="C22">
        <v>383.51</v>
      </c>
      <c r="D22">
        <v>383.49</v>
      </c>
      <c r="E22">
        <v>384.9</v>
      </c>
      <c r="F22">
        <v>383.96</v>
      </c>
      <c r="G22">
        <v>387.89</v>
      </c>
      <c r="H22">
        <v>385.62</v>
      </c>
      <c r="I22">
        <v>388.19</v>
      </c>
      <c r="J22">
        <v>385.35</v>
      </c>
      <c r="K22" s="204"/>
      <c r="M22" s="504"/>
      <c r="N22" s="205">
        <v>385.52000000000004</v>
      </c>
      <c r="O22" s="205">
        <v>383.84999999999997</v>
      </c>
      <c r="P22" s="205">
        <v>383.96000000000004</v>
      </c>
      <c r="Q22" s="205">
        <v>385.41999999999996</v>
      </c>
      <c r="R22" s="205">
        <v>384.78</v>
      </c>
      <c r="S22" s="205">
        <v>388.43</v>
      </c>
      <c r="T22" s="205">
        <v>386.02</v>
      </c>
      <c r="U22" s="205">
        <v>388.57</v>
      </c>
      <c r="V22" s="205">
        <v>385.85</v>
      </c>
      <c r="W22" s="202">
        <v>385</v>
      </c>
      <c r="Z22" s="23" t="str">
        <v>21/02/2024  03:31</v>
      </c>
      <c r="AA22">
        <v>385.6</v>
      </c>
      <c r="AB22">
        <v>381.8</v>
      </c>
      <c r="AC22">
        <v>383</v>
      </c>
    </row>
    <row r="23" spans="1:29" ht="14.45" customHeight="1" x14ac:dyDescent="0.25">
      <c r="A23" s="23" t="str">
        <v>21/02/2024  03:32</v>
      </c>
      <c r="B23">
        <v>385.51</v>
      </c>
      <c r="C23">
        <v>384.36</v>
      </c>
      <c r="D23">
        <v>384.2</v>
      </c>
      <c r="E23">
        <v>385.34</v>
      </c>
      <c r="F23">
        <v>384.06</v>
      </c>
      <c r="G23">
        <v>388.08</v>
      </c>
      <c r="H23">
        <v>386.07</v>
      </c>
      <c r="I23">
        <v>388.3</v>
      </c>
      <c r="J23">
        <v>385.71</v>
      </c>
      <c r="K23" s="204"/>
      <c r="M23" s="504"/>
      <c r="N23" s="205">
        <v>386.06</v>
      </c>
      <c r="O23" s="205">
        <v>384.7</v>
      </c>
      <c r="P23" s="205">
        <v>384.67</v>
      </c>
      <c r="Q23" s="205">
        <v>385.85999999999996</v>
      </c>
      <c r="R23" s="205">
        <v>384.88</v>
      </c>
      <c r="S23" s="205">
        <v>388.62</v>
      </c>
      <c r="T23" s="205">
        <v>386.46999999999997</v>
      </c>
      <c r="U23" s="205">
        <v>388.68</v>
      </c>
      <c r="V23" s="205">
        <v>386.21</v>
      </c>
      <c r="W23" s="202">
        <v>385</v>
      </c>
      <c r="Z23" s="23" t="str">
        <v>21/02/2024  03:32</v>
      </c>
      <c r="AA23">
        <v>386.2</v>
      </c>
      <c r="AB23">
        <v>383.2</v>
      </c>
      <c r="AC23">
        <v>383.9</v>
      </c>
    </row>
    <row r="24" spans="1:29" ht="14.45" customHeight="1" x14ac:dyDescent="0.25">
      <c r="A24" s="23" t="str">
        <v>21/02/2024  03:33</v>
      </c>
      <c r="B24">
        <v>385.94</v>
      </c>
      <c r="C24">
        <v>384.86</v>
      </c>
      <c r="D24">
        <v>384.68</v>
      </c>
      <c r="E24">
        <v>385.69</v>
      </c>
      <c r="F24">
        <v>383.93</v>
      </c>
      <c r="G24">
        <v>388.27</v>
      </c>
      <c r="H24">
        <v>386.32</v>
      </c>
      <c r="I24">
        <v>388.35</v>
      </c>
      <c r="J24">
        <v>385.92</v>
      </c>
      <c r="K24" s="204"/>
      <c r="M24" s="504"/>
      <c r="N24" s="205">
        <v>386.49</v>
      </c>
      <c r="O24" s="205">
        <v>385.2</v>
      </c>
      <c r="P24" s="205">
        <v>385.15000000000003</v>
      </c>
      <c r="Q24" s="205">
        <v>386.21</v>
      </c>
      <c r="R24" s="205">
        <v>384.75</v>
      </c>
      <c r="S24" s="205">
        <v>388.81</v>
      </c>
      <c r="T24" s="205">
        <v>386.71999999999997</v>
      </c>
      <c r="U24" s="205">
        <v>388.73</v>
      </c>
      <c r="V24" s="205">
        <v>386.42</v>
      </c>
      <c r="W24" s="202">
        <v>385</v>
      </c>
      <c r="Z24" s="23" t="str">
        <v>21/02/2024  03:33</v>
      </c>
      <c r="AA24">
        <v>386.4</v>
      </c>
      <c r="AB24">
        <v>384</v>
      </c>
      <c r="AC24">
        <v>384.6</v>
      </c>
    </row>
    <row r="25" spans="1:29" ht="14.45" customHeight="1" x14ac:dyDescent="0.25">
      <c r="A25" s="23" t="str">
        <v>21/02/2024  03:34</v>
      </c>
      <c r="B25">
        <v>386.24</v>
      </c>
      <c r="C25">
        <v>385.23</v>
      </c>
      <c r="D25">
        <v>385.06</v>
      </c>
      <c r="E25">
        <v>385.92</v>
      </c>
      <c r="F25">
        <v>383.76</v>
      </c>
      <c r="G25">
        <v>388.34</v>
      </c>
      <c r="H25">
        <v>386.57</v>
      </c>
      <c r="I25">
        <v>388.42</v>
      </c>
      <c r="J25">
        <v>386.07</v>
      </c>
      <c r="K25" s="204"/>
      <c r="M25" s="504"/>
      <c r="N25" s="205">
        <v>386.79</v>
      </c>
      <c r="O25" s="205">
        <v>385.57</v>
      </c>
      <c r="P25" s="205">
        <v>385.53000000000003</v>
      </c>
      <c r="Q25" s="205">
        <v>386.44</v>
      </c>
      <c r="R25" s="205">
        <v>384.58</v>
      </c>
      <c r="S25" s="205">
        <v>388.88</v>
      </c>
      <c r="T25" s="205">
        <v>386.96999999999997</v>
      </c>
      <c r="U25" s="205">
        <v>388.8</v>
      </c>
      <c r="V25" s="205">
        <v>386.57</v>
      </c>
      <c r="W25" s="202">
        <v>385</v>
      </c>
      <c r="Z25" s="23" t="str">
        <v>21/02/2024  03:34</v>
      </c>
      <c r="AA25">
        <v>386.5</v>
      </c>
      <c r="AB25">
        <v>384.6</v>
      </c>
      <c r="AC25">
        <v>385</v>
      </c>
    </row>
    <row r="26" spans="1:29" ht="14.45" customHeight="1" x14ac:dyDescent="0.25">
      <c r="A26" s="23" t="str">
        <v>21/02/2024  03:35</v>
      </c>
      <c r="B26">
        <v>386.25</v>
      </c>
      <c r="C26">
        <v>385.47</v>
      </c>
      <c r="D26">
        <v>385.28</v>
      </c>
      <c r="E26">
        <v>386.01</v>
      </c>
      <c r="F26">
        <v>383.6</v>
      </c>
      <c r="G26">
        <v>388.24</v>
      </c>
      <c r="H26">
        <v>386.59</v>
      </c>
      <c r="I26">
        <v>388.21</v>
      </c>
      <c r="J26">
        <v>386.07</v>
      </c>
      <c r="K26" s="204"/>
      <c r="M26" s="504"/>
      <c r="N26" s="205">
        <v>386.8</v>
      </c>
      <c r="O26" s="205">
        <v>385.81</v>
      </c>
      <c r="P26" s="205">
        <v>385.75</v>
      </c>
      <c r="Q26" s="205">
        <v>386.53</v>
      </c>
      <c r="R26" s="205">
        <v>384.42</v>
      </c>
      <c r="S26" s="205">
        <v>388.78000000000003</v>
      </c>
      <c r="T26" s="205">
        <v>386.98999999999995</v>
      </c>
      <c r="U26" s="205">
        <v>388.59</v>
      </c>
      <c r="V26" s="205">
        <v>386.57</v>
      </c>
      <c r="W26" s="202">
        <v>385</v>
      </c>
      <c r="Z26" s="23" t="str">
        <v>21/02/2024  03:35</v>
      </c>
      <c r="AA26">
        <v>386.4</v>
      </c>
      <c r="AB26">
        <v>385</v>
      </c>
      <c r="AC26">
        <v>385.3</v>
      </c>
    </row>
    <row r="27" spans="1:29" ht="14.45" customHeight="1" x14ac:dyDescent="0.25">
      <c r="A27" s="23" t="str">
        <v>21/02/2024  03:36</v>
      </c>
      <c r="B27">
        <v>386.4</v>
      </c>
      <c r="C27">
        <v>385.69</v>
      </c>
      <c r="D27">
        <v>385.41</v>
      </c>
      <c r="E27">
        <v>386.04</v>
      </c>
      <c r="F27">
        <v>383.42</v>
      </c>
      <c r="G27">
        <v>388.15</v>
      </c>
      <c r="H27">
        <v>386.54</v>
      </c>
      <c r="I27">
        <v>388.04</v>
      </c>
      <c r="J27">
        <v>386.04</v>
      </c>
      <c r="K27" s="204"/>
      <c r="M27" s="504"/>
      <c r="N27" s="205">
        <v>386.95</v>
      </c>
      <c r="O27" s="205">
        <v>386.03</v>
      </c>
      <c r="P27" s="205">
        <v>385.88000000000005</v>
      </c>
      <c r="Q27" s="205">
        <v>386.56</v>
      </c>
      <c r="R27" s="205">
        <v>384.24</v>
      </c>
      <c r="S27" s="205">
        <v>388.69</v>
      </c>
      <c r="T27" s="205">
        <v>386.94</v>
      </c>
      <c r="U27" s="205">
        <v>388.42</v>
      </c>
      <c r="V27" s="205">
        <v>386.54</v>
      </c>
      <c r="W27" s="202">
        <v>385</v>
      </c>
      <c r="Z27" s="23" t="str">
        <v>21/02/2024  03:36</v>
      </c>
      <c r="AA27">
        <v>386.2</v>
      </c>
      <c r="AB27">
        <v>385.2</v>
      </c>
      <c r="AC27">
        <v>385.5</v>
      </c>
    </row>
    <row r="28" spans="1:29" ht="14.45" customHeight="1" x14ac:dyDescent="0.25">
      <c r="A28" s="23" t="str">
        <v>21/02/2024  03:37</v>
      </c>
      <c r="B28">
        <v>386.38</v>
      </c>
      <c r="C28">
        <v>385.79</v>
      </c>
      <c r="D28">
        <v>385.5</v>
      </c>
      <c r="E28">
        <v>386.03</v>
      </c>
      <c r="F28">
        <v>383.18</v>
      </c>
      <c r="G28">
        <v>388.12</v>
      </c>
      <c r="H28">
        <v>386.52</v>
      </c>
      <c r="I28">
        <v>387.81</v>
      </c>
      <c r="J28">
        <v>385.91</v>
      </c>
      <c r="K28" s="204"/>
      <c r="M28" s="504"/>
      <c r="N28" s="205">
        <v>386.93</v>
      </c>
      <c r="O28" s="205">
        <v>386.13</v>
      </c>
      <c r="P28" s="205">
        <v>385.97</v>
      </c>
      <c r="Q28" s="205">
        <v>386.54999999999995</v>
      </c>
      <c r="R28" s="205">
        <v>384</v>
      </c>
      <c r="S28" s="205">
        <v>388.66</v>
      </c>
      <c r="T28" s="205">
        <v>386.91999999999996</v>
      </c>
      <c r="U28" s="205">
        <v>388.19</v>
      </c>
      <c r="V28" s="205">
        <v>386.41</v>
      </c>
      <c r="W28" s="202">
        <v>385</v>
      </c>
      <c r="Z28" s="23" t="str">
        <v>21/02/2024  03:37</v>
      </c>
      <c r="AA28">
        <v>386</v>
      </c>
      <c r="AB28">
        <v>385.4</v>
      </c>
      <c r="AC28">
        <v>385.5</v>
      </c>
    </row>
    <row r="29" spans="1:29" ht="14.45" customHeight="1" x14ac:dyDescent="0.25">
      <c r="A29" s="23" t="str">
        <v>21/02/2024  03:38</v>
      </c>
      <c r="B29">
        <v>386.37</v>
      </c>
      <c r="C29">
        <v>385.87</v>
      </c>
      <c r="D29">
        <v>385.56</v>
      </c>
      <c r="E29">
        <v>386</v>
      </c>
      <c r="F29">
        <v>383.15</v>
      </c>
      <c r="G29">
        <v>387.98</v>
      </c>
      <c r="H29">
        <v>386.48</v>
      </c>
      <c r="I29">
        <v>387.77</v>
      </c>
      <c r="J29">
        <v>385.91</v>
      </c>
      <c r="K29" s="204"/>
      <c r="M29" s="504"/>
      <c r="N29" s="205">
        <v>386.92</v>
      </c>
      <c r="O29" s="205">
        <v>386.21</v>
      </c>
      <c r="P29" s="205">
        <v>386.03000000000003</v>
      </c>
      <c r="Q29" s="205">
        <v>386.52</v>
      </c>
      <c r="R29" s="205">
        <v>383.96999999999997</v>
      </c>
      <c r="S29" s="205">
        <v>388.52000000000004</v>
      </c>
      <c r="T29" s="205">
        <v>386.88</v>
      </c>
      <c r="U29" s="205">
        <v>388.15</v>
      </c>
      <c r="V29" s="205">
        <v>386.41</v>
      </c>
      <c r="W29" s="202">
        <v>385</v>
      </c>
      <c r="Z29" s="23" t="str">
        <v>21/02/2024  03:38</v>
      </c>
      <c r="AA29">
        <v>385.8</v>
      </c>
      <c r="AB29">
        <v>385.4</v>
      </c>
      <c r="AC29">
        <v>385.6</v>
      </c>
    </row>
    <row r="30" spans="1:29" ht="14.45" customHeight="1" x14ac:dyDescent="0.25">
      <c r="A30" s="23" t="str">
        <v>21/02/2024  03:39</v>
      </c>
      <c r="B30">
        <v>386.41</v>
      </c>
      <c r="C30">
        <v>385.93</v>
      </c>
      <c r="D30">
        <v>385.63</v>
      </c>
      <c r="E30">
        <v>385.97</v>
      </c>
      <c r="F30">
        <v>383.02</v>
      </c>
      <c r="G30">
        <v>387.93</v>
      </c>
      <c r="H30">
        <v>386.35</v>
      </c>
      <c r="I30">
        <v>387.52</v>
      </c>
      <c r="J30">
        <v>385.87</v>
      </c>
      <c r="K30" s="204"/>
      <c r="M30" s="503" t="s">
        <v>327</v>
      </c>
      <c r="N30" s="203">
        <v>386.96000000000004</v>
      </c>
      <c r="O30" s="203">
        <v>386.27</v>
      </c>
      <c r="P30" s="203">
        <v>386.1</v>
      </c>
      <c r="Q30" s="203">
        <v>386.49</v>
      </c>
      <c r="R30" s="203">
        <v>383.84</v>
      </c>
      <c r="S30" s="203">
        <v>388.47</v>
      </c>
      <c r="T30" s="203">
        <v>386.75</v>
      </c>
      <c r="U30" s="203">
        <v>387.9</v>
      </c>
      <c r="V30" s="203">
        <v>386.37</v>
      </c>
      <c r="W30" s="322">
        <v>385</v>
      </c>
      <c r="Z30" s="23" t="str">
        <v>21/02/2024  03:39</v>
      </c>
      <c r="AA30">
        <v>385.7</v>
      </c>
      <c r="AB30">
        <v>385.5</v>
      </c>
      <c r="AC30">
        <v>385.6</v>
      </c>
    </row>
    <row r="31" spans="1:29" ht="14.45" customHeight="1" x14ac:dyDescent="0.25">
      <c r="A31" s="23" t="str">
        <v>21/02/2024  03:40</v>
      </c>
      <c r="B31">
        <v>386.37</v>
      </c>
      <c r="C31">
        <v>385.9</v>
      </c>
      <c r="D31">
        <v>385.65</v>
      </c>
      <c r="E31">
        <v>385.95</v>
      </c>
      <c r="F31">
        <v>382.69</v>
      </c>
      <c r="G31">
        <v>387.82</v>
      </c>
      <c r="H31">
        <v>386.35</v>
      </c>
      <c r="I31">
        <v>387.47</v>
      </c>
      <c r="J31">
        <v>385.83</v>
      </c>
      <c r="K31" s="204"/>
      <c r="M31" s="503"/>
      <c r="N31" s="203">
        <v>386.92</v>
      </c>
      <c r="O31" s="203">
        <v>386.23999999999995</v>
      </c>
      <c r="P31" s="203">
        <v>386.12</v>
      </c>
      <c r="Q31" s="203">
        <v>386.46999999999997</v>
      </c>
      <c r="R31" s="203">
        <v>383.51</v>
      </c>
      <c r="S31" s="203">
        <v>388.36</v>
      </c>
      <c r="T31" s="203">
        <v>386.75</v>
      </c>
      <c r="U31" s="203">
        <v>387.85</v>
      </c>
      <c r="V31" s="203">
        <v>386.33</v>
      </c>
      <c r="W31" s="322">
        <v>385</v>
      </c>
      <c r="Z31" s="23" t="str">
        <v>21/02/2024  03:40</v>
      </c>
      <c r="AA31">
        <v>385.5</v>
      </c>
      <c r="AB31">
        <v>385.5</v>
      </c>
      <c r="AC31">
        <v>385.5</v>
      </c>
    </row>
    <row r="32" spans="1:29" ht="14.45" customHeight="1" x14ac:dyDescent="0.25">
      <c r="A32" s="23" t="str">
        <v>21/02/2024  03:41</v>
      </c>
      <c r="B32">
        <v>386.34</v>
      </c>
      <c r="C32">
        <v>386.01</v>
      </c>
      <c r="D32">
        <v>385.69</v>
      </c>
      <c r="E32">
        <v>386</v>
      </c>
      <c r="F32">
        <v>382.91</v>
      </c>
      <c r="G32">
        <v>387.75</v>
      </c>
      <c r="H32">
        <v>386.26</v>
      </c>
      <c r="I32">
        <v>387.33</v>
      </c>
      <c r="J32">
        <v>385.76</v>
      </c>
      <c r="K32" s="204"/>
      <c r="M32" s="503"/>
      <c r="N32" s="203">
        <v>386.89</v>
      </c>
      <c r="O32" s="203">
        <v>386.34999999999997</v>
      </c>
      <c r="P32" s="203">
        <v>386.16</v>
      </c>
      <c r="Q32" s="203">
        <v>386.52</v>
      </c>
      <c r="R32" s="203">
        <v>383.73</v>
      </c>
      <c r="S32" s="203">
        <v>388.29</v>
      </c>
      <c r="T32" s="203">
        <v>386.65999999999997</v>
      </c>
      <c r="U32" s="203">
        <v>387.71</v>
      </c>
      <c r="V32" s="203">
        <v>386.26</v>
      </c>
      <c r="W32" s="322">
        <v>385</v>
      </c>
      <c r="Z32" s="23" t="str">
        <v>21/02/2024  03:41</v>
      </c>
      <c r="AA32">
        <v>385.3</v>
      </c>
      <c r="AB32">
        <v>385.4</v>
      </c>
      <c r="AC32">
        <v>385.5</v>
      </c>
    </row>
    <row r="33" spans="1:29" ht="14.45" customHeight="1" x14ac:dyDescent="0.25">
      <c r="A33" s="23" t="str">
        <v>21/02/2024  03:42</v>
      </c>
      <c r="B33">
        <v>386.38</v>
      </c>
      <c r="C33">
        <v>386</v>
      </c>
      <c r="D33">
        <v>385.72</v>
      </c>
      <c r="E33">
        <v>386.03</v>
      </c>
      <c r="F33">
        <v>382.82</v>
      </c>
      <c r="G33">
        <v>387.7</v>
      </c>
      <c r="H33">
        <v>386.27</v>
      </c>
      <c r="I33">
        <v>387.21</v>
      </c>
      <c r="J33">
        <v>385.78</v>
      </c>
      <c r="K33" s="204"/>
      <c r="M33" s="503"/>
      <c r="N33" s="203">
        <v>386.93</v>
      </c>
      <c r="O33" s="203">
        <v>386.34</v>
      </c>
      <c r="P33" s="203">
        <v>386.19000000000005</v>
      </c>
      <c r="Q33" s="203">
        <v>386.54999999999995</v>
      </c>
      <c r="R33" s="203">
        <v>383.64</v>
      </c>
      <c r="S33" s="203">
        <v>388.24</v>
      </c>
      <c r="T33" s="203">
        <v>386.66999999999996</v>
      </c>
      <c r="U33" s="203">
        <v>387.59</v>
      </c>
      <c r="V33" s="203">
        <v>386.28</v>
      </c>
      <c r="W33" s="322">
        <v>385</v>
      </c>
      <c r="Z33" s="23" t="str">
        <v>21/02/2024  03:42</v>
      </c>
      <c r="AA33">
        <v>385.2</v>
      </c>
      <c r="AB33">
        <v>385.4</v>
      </c>
      <c r="AC33">
        <v>385.5</v>
      </c>
    </row>
    <row r="34" spans="1:29" ht="14.45" customHeight="1" x14ac:dyDescent="0.25">
      <c r="A34" s="23" t="str">
        <v>21/02/2024  03:43</v>
      </c>
      <c r="B34">
        <v>386.38</v>
      </c>
      <c r="C34">
        <v>385.99</v>
      </c>
      <c r="D34">
        <v>385.73</v>
      </c>
      <c r="E34">
        <v>385.96</v>
      </c>
      <c r="F34">
        <v>382.73</v>
      </c>
      <c r="G34">
        <v>387.64</v>
      </c>
      <c r="H34">
        <v>386.2</v>
      </c>
      <c r="I34">
        <v>387.22</v>
      </c>
      <c r="J34">
        <v>385.65</v>
      </c>
      <c r="K34" s="204"/>
      <c r="M34" s="503"/>
      <c r="N34" s="203">
        <v>386.93</v>
      </c>
      <c r="O34" s="203">
        <v>386.33</v>
      </c>
      <c r="P34" s="203">
        <v>386.20000000000005</v>
      </c>
      <c r="Q34" s="203">
        <v>386.47999999999996</v>
      </c>
      <c r="R34" s="203">
        <v>383.55</v>
      </c>
      <c r="S34" s="203">
        <v>388.18</v>
      </c>
      <c r="T34" s="203">
        <v>386.59999999999997</v>
      </c>
      <c r="U34" s="203">
        <v>387.6</v>
      </c>
      <c r="V34" s="203">
        <v>386.15</v>
      </c>
      <c r="W34" s="322">
        <v>385</v>
      </c>
      <c r="Z34" s="23" t="str">
        <v>21/02/2024  03:43</v>
      </c>
      <c r="AA34">
        <v>385.1</v>
      </c>
      <c r="AB34">
        <v>385.3</v>
      </c>
      <c r="AC34">
        <v>385.5</v>
      </c>
    </row>
    <row r="35" spans="1:29" ht="14.45" customHeight="1" x14ac:dyDescent="0.25">
      <c r="A35" s="23" t="str">
        <v>21/02/2024  03:44</v>
      </c>
      <c r="B35">
        <v>386.39</v>
      </c>
      <c r="C35">
        <v>386.04</v>
      </c>
      <c r="D35">
        <v>385.84</v>
      </c>
      <c r="E35">
        <v>386.06</v>
      </c>
      <c r="F35">
        <v>382.6</v>
      </c>
      <c r="G35">
        <v>387.63</v>
      </c>
      <c r="H35">
        <v>386.24</v>
      </c>
      <c r="I35">
        <v>387.18</v>
      </c>
      <c r="J35">
        <v>385.74</v>
      </c>
      <c r="K35" s="204"/>
      <c r="M35" s="503"/>
      <c r="N35" s="203">
        <v>386.94</v>
      </c>
      <c r="O35" s="203">
        <v>386.38</v>
      </c>
      <c r="P35" s="203">
        <v>386.31</v>
      </c>
      <c r="Q35" s="203">
        <v>386.58</v>
      </c>
      <c r="R35" s="203">
        <v>383.42</v>
      </c>
      <c r="S35" s="203">
        <v>388.17</v>
      </c>
      <c r="T35" s="203">
        <v>386.64</v>
      </c>
      <c r="U35" s="203">
        <v>387.56</v>
      </c>
      <c r="V35" s="203">
        <v>386.24</v>
      </c>
      <c r="W35" s="322">
        <v>385</v>
      </c>
      <c r="Z35" s="23" t="str">
        <v>21/02/2024  03:44</v>
      </c>
      <c r="AA35">
        <v>385.1</v>
      </c>
      <c r="AB35">
        <v>385.3</v>
      </c>
      <c r="AC35">
        <v>385.6</v>
      </c>
    </row>
    <row r="36" spans="1:29" ht="14.45" customHeight="1" x14ac:dyDescent="0.25">
      <c r="A36" s="23" t="str">
        <v>21/02/2024  03:45</v>
      </c>
      <c r="B36">
        <v>386.4</v>
      </c>
      <c r="C36">
        <v>386.07</v>
      </c>
      <c r="D36">
        <v>385.81</v>
      </c>
      <c r="E36">
        <v>386.02</v>
      </c>
      <c r="F36">
        <v>382.41</v>
      </c>
      <c r="G36">
        <v>387.56</v>
      </c>
      <c r="H36">
        <v>386.21</v>
      </c>
      <c r="I36">
        <v>387.19</v>
      </c>
      <c r="J36">
        <v>385.68</v>
      </c>
      <c r="K36" s="204"/>
      <c r="M36" s="503"/>
      <c r="N36" s="203">
        <v>386.95</v>
      </c>
      <c r="O36" s="203">
        <v>386.40999999999997</v>
      </c>
      <c r="P36" s="203">
        <v>386.28000000000003</v>
      </c>
      <c r="Q36" s="203">
        <v>386.53999999999996</v>
      </c>
      <c r="R36" s="203">
        <v>383.23</v>
      </c>
      <c r="S36" s="203">
        <v>388.1</v>
      </c>
      <c r="T36" s="203">
        <v>386.60999999999996</v>
      </c>
      <c r="U36" s="203">
        <v>387.57</v>
      </c>
      <c r="V36" s="203">
        <v>386.18</v>
      </c>
      <c r="W36" s="322">
        <v>385</v>
      </c>
      <c r="Z36" s="23" t="str">
        <v>21/02/2024  03:45</v>
      </c>
      <c r="AA36">
        <v>385</v>
      </c>
      <c r="AB36">
        <v>385.3</v>
      </c>
      <c r="AC36">
        <v>385.5</v>
      </c>
    </row>
    <row r="37" spans="1:29" ht="14.45" customHeight="1" x14ac:dyDescent="0.25">
      <c r="A37" s="23" t="str">
        <v>21/02/2024  03:46</v>
      </c>
      <c r="B37">
        <v>386.37</v>
      </c>
      <c r="C37">
        <v>386.04</v>
      </c>
      <c r="D37">
        <v>385.78</v>
      </c>
      <c r="E37">
        <v>386.02</v>
      </c>
      <c r="F37">
        <v>382.45</v>
      </c>
      <c r="G37">
        <v>387.54</v>
      </c>
      <c r="H37">
        <v>386.07</v>
      </c>
      <c r="I37">
        <v>387.08</v>
      </c>
      <c r="J37">
        <v>385.6</v>
      </c>
      <c r="K37" s="204"/>
      <c r="M37" s="503"/>
      <c r="N37" s="203">
        <v>386.92</v>
      </c>
      <c r="O37" s="203">
        <v>386.38</v>
      </c>
      <c r="P37" s="203">
        <v>386.25</v>
      </c>
      <c r="Q37" s="203">
        <v>386.53999999999996</v>
      </c>
      <c r="R37" s="203">
        <v>383.27</v>
      </c>
      <c r="S37" s="203">
        <v>388.08000000000004</v>
      </c>
      <c r="T37" s="203">
        <v>386.46999999999997</v>
      </c>
      <c r="U37" s="203">
        <v>387.46</v>
      </c>
      <c r="V37" s="203">
        <v>386.1</v>
      </c>
      <c r="W37" s="322">
        <v>385</v>
      </c>
      <c r="Z37" s="23" t="str">
        <v>21/02/2024  03:46</v>
      </c>
      <c r="AA37">
        <v>385</v>
      </c>
      <c r="AB37">
        <v>385.3</v>
      </c>
      <c r="AC37">
        <v>385.5</v>
      </c>
    </row>
    <row r="38" spans="1:29" ht="14.45" customHeight="1" x14ac:dyDescent="0.25">
      <c r="A38" s="23" t="str">
        <v>21/02/2024  03:47</v>
      </c>
      <c r="B38">
        <v>386.38</v>
      </c>
      <c r="C38">
        <v>386.09</v>
      </c>
      <c r="D38">
        <v>385.84</v>
      </c>
      <c r="E38">
        <v>386.03</v>
      </c>
      <c r="F38">
        <v>382.57</v>
      </c>
      <c r="G38">
        <v>387.49</v>
      </c>
      <c r="H38">
        <v>386.07</v>
      </c>
      <c r="I38">
        <v>387.06</v>
      </c>
      <c r="J38">
        <v>385.65</v>
      </c>
      <c r="K38" s="204"/>
      <c r="M38" s="503"/>
      <c r="N38" s="203">
        <v>386.93</v>
      </c>
      <c r="O38" s="203">
        <v>386.42999999999995</v>
      </c>
      <c r="P38" s="203">
        <v>386.31</v>
      </c>
      <c r="Q38" s="203">
        <v>386.54999999999995</v>
      </c>
      <c r="R38" s="203">
        <v>383.39</v>
      </c>
      <c r="S38" s="203">
        <v>388.03000000000003</v>
      </c>
      <c r="T38" s="203">
        <v>386.46999999999997</v>
      </c>
      <c r="U38" s="203">
        <v>387.44</v>
      </c>
      <c r="V38" s="203">
        <v>386.15</v>
      </c>
      <c r="W38" s="322">
        <v>385</v>
      </c>
      <c r="Z38" s="23" t="str">
        <v>21/02/2024  03:47</v>
      </c>
      <c r="AA38">
        <v>384.8</v>
      </c>
      <c r="AB38">
        <v>385.2</v>
      </c>
      <c r="AC38">
        <v>385.4</v>
      </c>
    </row>
    <row r="39" spans="1:29" ht="14.45" customHeight="1" x14ac:dyDescent="0.25">
      <c r="A39" s="23" t="str">
        <v>21/02/2024  03:48</v>
      </c>
      <c r="B39">
        <v>386.36</v>
      </c>
      <c r="C39">
        <v>386.13</v>
      </c>
      <c r="D39">
        <v>385.82</v>
      </c>
      <c r="E39">
        <v>386</v>
      </c>
      <c r="F39">
        <v>382.36</v>
      </c>
      <c r="G39">
        <v>387.45</v>
      </c>
      <c r="H39">
        <v>386.14</v>
      </c>
      <c r="I39">
        <v>386.98</v>
      </c>
      <c r="J39">
        <v>385.6</v>
      </c>
      <c r="K39" s="204"/>
      <c r="M39" s="503"/>
      <c r="N39" s="203">
        <v>386.91</v>
      </c>
      <c r="O39" s="203">
        <v>386.46999999999997</v>
      </c>
      <c r="P39" s="203">
        <v>386.29</v>
      </c>
      <c r="Q39" s="203">
        <v>386.52</v>
      </c>
      <c r="R39" s="203">
        <v>383.18</v>
      </c>
      <c r="S39" s="203">
        <v>387.99</v>
      </c>
      <c r="T39" s="203">
        <v>386.53999999999996</v>
      </c>
      <c r="U39" s="203">
        <v>387.36</v>
      </c>
      <c r="V39" s="203">
        <v>386.1</v>
      </c>
      <c r="W39" s="322">
        <v>385</v>
      </c>
      <c r="Z39" s="23" t="str">
        <v>21/02/2024  03:48</v>
      </c>
      <c r="AA39">
        <v>384.8</v>
      </c>
      <c r="AB39">
        <v>385.2</v>
      </c>
      <c r="AC39">
        <v>385.4</v>
      </c>
    </row>
    <row r="40" spans="1:29" ht="14.45" customHeight="1" x14ac:dyDescent="0.25">
      <c r="A40" s="23" t="str">
        <v>21/02/2024  03:49</v>
      </c>
      <c r="B40">
        <v>386.38</v>
      </c>
      <c r="C40">
        <v>386.14</v>
      </c>
      <c r="D40">
        <v>385.84</v>
      </c>
      <c r="E40">
        <v>386.01</v>
      </c>
      <c r="F40">
        <v>382.34</v>
      </c>
      <c r="G40">
        <v>387.41</v>
      </c>
      <c r="H40">
        <v>386.09</v>
      </c>
      <c r="I40">
        <v>386.91</v>
      </c>
      <c r="J40">
        <v>385.58</v>
      </c>
      <c r="K40" s="204"/>
      <c r="M40" s="503"/>
      <c r="N40" s="203">
        <v>386.93</v>
      </c>
      <c r="O40" s="203">
        <v>386.47999999999996</v>
      </c>
      <c r="P40" s="203">
        <v>386.31</v>
      </c>
      <c r="Q40" s="203">
        <v>386.53</v>
      </c>
      <c r="R40" s="203">
        <v>383.15999999999997</v>
      </c>
      <c r="S40" s="203">
        <v>387.95000000000005</v>
      </c>
      <c r="T40" s="203">
        <v>386.48999999999995</v>
      </c>
      <c r="U40" s="203">
        <v>387.29</v>
      </c>
      <c r="V40" s="203">
        <v>386.08</v>
      </c>
      <c r="W40" s="322">
        <v>385</v>
      </c>
      <c r="Z40" s="23" t="str">
        <v>21/02/2024  03:49</v>
      </c>
      <c r="AA40">
        <v>384.8</v>
      </c>
      <c r="AB40">
        <v>385.2</v>
      </c>
      <c r="AC40">
        <v>385.4</v>
      </c>
    </row>
    <row r="41" spans="1:29" ht="14.45" customHeight="1" x14ac:dyDescent="0.25">
      <c r="A41" s="23" t="str">
        <v>21/02/2024  03:50</v>
      </c>
      <c r="B41">
        <v>386.34</v>
      </c>
      <c r="C41">
        <v>386.11</v>
      </c>
      <c r="D41">
        <v>385.83</v>
      </c>
      <c r="E41">
        <v>386</v>
      </c>
      <c r="F41">
        <v>382.32</v>
      </c>
      <c r="G41">
        <v>387.42</v>
      </c>
      <c r="H41">
        <v>386.09</v>
      </c>
      <c r="I41">
        <v>386.88</v>
      </c>
      <c r="J41">
        <v>385.57</v>
      </c>
      <c r="K41" s="204"/>
      <c r="M41" s="503"/>
      <c r="N41" s="203">
        <v>386.89</v>
      </c>
      <c r="O41" s="203">
        <v>386.45</v>
      </c>
      <c r="P41" s="203">
        <v>386.3</v>
      </c>
      <c r="Q41" s="203">
        <v>386.52</v>
      </c>
      <c r="R41" s="203">
        <v>383.14</v>
      </c>
      <c r="S41" s="203">
        <v>387.96000000000004</v>
      </c>
      <c r="T41" s="203">
        <v>386.48999999999995</v>
      </c>
      <c r="U41" s="203">
        <v>387.26</v>
      </c>
      <c r="V41" s="203">
        <v>386.07</v>
      </c>
      <c r="W41" s="322">
        <v>385</v>
      </c>
      <c r="Z41" s="23" t="str">
        <v>21/02/2024  03:50</v>
      </c>
      <c r="AA41">
        <v>384.8</v>
      </c>
      <c r="AB41">
        <v>385.2</v>
      </c>
      <c r="AC41">
        <v>385.4</v>
      </c>
    </row>
    <row r="42" spans="1:29" ht="14.45" customHeight="1" x14ac:dyDescent="0.25">
      <c r="A42" s="23" t="str">
        <v>21/02/2024  03:51</v>
      </c>
      <c r="B42">
        <v>386.37</v>
      </c>
      <c r="C42">
        <v>386.12</v>
      </c>
      <c r="D42">
        <v>385.84</v>
      </c>
      <c r="E42">
        <v>386.02</v>
      </c>
      <c r="F42">
        <v>382.31</v>
      </c>
      <c r="G42">
        <v>387.38</v>
      </c>
      <c r="H42">
        <v>385.99</v>
      </c>
      <c r="I42">
        <v>386.89</v>
      </c>
      <c r="J42">
        <v>385.54</v>
      </c>
      <c r="K42" s="204"/>
      <c r="M42" s="503"/>
      <c r="N42" s="203">
        <v>386.92</v>
      </c>
      <c r="O42" s="203">
        <v>386.46</v>
      </c>
      <c r="P42" s="203">
        <v>386.31</v>
      </c>
      <c r="Q42" s="203">
        <v>386.53999999999996</v>
      </c>
      <c r="R42" s="203">
        <v>383.13</v>
      </c>
      <c r="S42" s="203">
        <v>387.92</v>
      </c>
      <c r="T42" s="203">
        <v>386.39</v>
      </c>
      <c r="U42" s="203">
        <v>387.27</v>
      </c>
      <c r="V42" s="203">
        <v>386.04</v>
      </c>
      <c r="W42" s="322">
        <v>385</v>
      </c>
      <c r="Z42" s="23" t="str">
        <v>21/02/2024  03:51</v>
      </c>
      <c r="AA42">
        <v>384.8</v>
      </c>
      <c r="AB42">
        <v>385.2</v>
      </c>
      <c r="AC42">
        <v>385.4</v>
      </c>
    </row>
    <row r="43" spans="1:29" ht="14.45" customHeight="1" x14ac:dyDescent="0.25">
      <c r="A43" s="23" t="str">
        <v>21/02/2024  03:52</v>
      </c>
      <c r="B43">
        <v>386.37</v>
      </c>
      <c r="C43">
        <v>386.07</v>
      </c>
      <c r="D43">
        <v>385.83</v>
      </c>
      <c r="E43">
        <v>386.01</v>
      </c>
      <c r="F43">
        <v>382.38</v>
      </c>
      <c r="G43">
        <v>387.27</v>
      </c>
      <c r="H43">
        <v>386.03</v>
      </c>
      <c r="I43">
        <v>386.83</v>
      </c>
      <c r="J43">
        <v>385.55</v>
      </c>
      <c r="K43" s="204"/>
      <c r="M43" s="503"/>
      <c r="N43" s="203">
        <v>386.92</v>
      </c>
      <c r="O43" s="203">
        <v>386.40999999999997</v>
      </c>
      <c r="P43" s="203">
        <v>386.3</v>
      </c>
      <c r="Q43" s="203">
        <v>386.53</v>
      </c>
      <c r="R43" s="203">
        <v>383.2</v>
      </c>
      <c r="S43" s="203">
        <v>387.81</v>
      </c>
      <c r="T43" s="203">
        <v>386.42999999999995</v>
      </c>
      <c r="U43" s="203">
        <v>387.21</v>
      </c>
      <c r="V43" s="203">
        <v>386.05</v>
      </c>
      <c r="W43" s="322">
        <v>385</v>
      </c>
      <c r="Z43" s="23" t="str">
        <v>21/02/2024  03:52</v>
      </c>
      <c r="AA43">
        <v>384.7</v>
      </c>
      <c r="AB43">
        <v>385.1</v>
      </c>
      <c r="AC43">
        <v>385.3</v>
      </c>
    </row>
    <row r="44" spans="1:29" ht="14.45" customHeight="1" x14ac:dyDescent="0.25">
      <c r="A44" s="23" t="str">
        <v>21/02/2024  03:53</v>
      </c>
      <c r="B44">
        <v>386.35</v>
      </c>
      <c r="C44">
        <v>386.16</v>
      </c>
      <c r="D44">
        <v>385.88</v>
      </c>
      <c r="E44">
        <v>386</v>
      </c>
      <c r="F44">
        <v>382.27</v>
      </c>
      <c r="G44">
        <v>387.32</v>
      </c>
      <c r="H44">
        <v>385.98</v>
      </c>
      <c r="I44">
        <v>386.84</v>
      </c>
      <c r="J44">
        <v>385.57</v>
      </c>
      <c r="K44" s="204"/>
      <c r="M44" s="503"/>
      <c r="N44" s="203">
        <v>386.90000000000003</v>
      </c>
      <c r="O44" s="203">
        <v>386.5</v>
      </c>
      <c r="P44" s="203">
        <v>386.35</v>
      </c>
      <c r="Q44" s="203">
        <v>386.52</v>
      </c>
      <c r="R44" s="203">
        <v>383.09</v>
      </c>
      <c r="S44" s="203">
        <v>387.86</v>
      </c>
      <c r="T44" s="203">
        <v>386.38</v>
      </c>
      <c r="U44" s="203">
        <v>387.21999999999997</v>
      </c>
      <c r="V44" s="203">
        <v>386.07</v>
      </c>
      <c r="W44" s="322">
        <v>385</v>
      </c>
      <c r="Z44" s="23" t="str">
        <v>21/02/2024  03:53</v>
      </c>
      <c r="AA44">
        <v>384.7</v>
      </c>
      <c r="AB44">
        <v>385.1</v>
      </c>
      <c r="AC44">
        <v>385.3</v>
      </c>
    </row>
    <row r="45" spans="1:29" ht="14.45" customHeight="1" x14ac:dyDescent="0.25">
      <c r="A45" s="23" t="str">
        <v>21/02/2024  03:54</v>
      </c>
      <c r="B45">
        <v>386.33</v>
      </c>
      <c r="C45">
        <v>386.17</v>
      </c>
      <c r="D45">
        <v>385.87</v>
      </c>
      <c r="E45">
        <v>385.97</v>
      </c>
      <c r="F45">
        <v>382.33</v>
      </c>
      <c r="G45">
        <v>387.3</v>
      </c>
      <c r="H45">
        <v>385.95</v>
      </c>
      <c r="I45">
        <v>386.84</v>
      </c>
      <c r="J45">
        <v>385.51</v>
      </c>
      <c r="K45" s="204"/>
      <c r="M45" s="503"/>
      <c r="N45" s="203">
        <v>386.88</v>
      </c>
      <c r="O45" s="203">
        <v>386.51</v>
      </c>
      <c r="P45" s="203">
        <v>386.34000000000003</v>
      </c>
      <c r="Q45" s="203">
        <v>386.49</v>
      </c>
      <c r="R45" s="203">
        <v>383.15</v>
      </c>
      <c r="S45" s="203">
        <v>387.84000000000003</v>
      </c>
      <c r="T45" s="203">
        <v>386.34999999999997</v>
      </c>
      <c r="U45" s="203">
        <v>387.21999999999997</v>
      </c>
      <c r="V45" s="203">
        <v>386.01</v>
      </c>
      <c r="W45" s="322">
        <v>385</v>
      </c>
      <c r="Z45" s="23" t="str">
        <v>21/02/2024  03:54</v>
      </c>
      <c r="AA45">
        <v>384.7</v>
      </c>
      <c r="AB45">
        <v>385.1</v>
      </c>
      <c r="AC45">
        <v>385.3</v>
      </c>
    </row>
    <row r="46" spans="1:29" ht="14.45" customHeight="1" x14ac:dyDescent="0.25">
      <c r="A46" s="23" t="str">
        <v>21/02/2024  03:55</v>
      </c>
      <c r="B46">
        <v>386.38</v>
      </c>
      <c r="C46">
        <v>386.11</v>
      </c>
      <c r="D46">
        <v>385.87</v>
      </c>
      <c r="E46">
        <v>386.03</v>
      </c>
      <c r="F46">
        <v>382.4</v>
      </c>
      <c r="G46">
        <v>387.29</v>
      </c>
      <c r="H46">
        <v>385.96</v>
      </c>
      <c r="I46">
        <v>386.81</v>
      </c>
      <c r="J46">
        <v>385.58</v>
      </c>
      <c r="K46" s="204"/>
      <c r="M46" s="503"/>
      <c r="N46" s="203">
        <v>386.93</v>
      </c>
      <c r="O46" s="203">
        <v>386.45</v>
      </c>
      <c r="P46" s="203">
        <v>386.34000000000003</v>
      </c>
      <c r="Q46" s="203">
        <v>386.54999999999995</v>
      </c>
      <c r="R46" s="203">
        <v>383.21999999999997</v>
      </c>
      <c r="S46" s="203">
        <v>387.83000000000004</v>
      </c>
      <c r="T46" s="203">
        <v>386.35999999999996</v>
      </c>
      <c r="U46" s="203">
        <v>387.19</v>
      </c>
      <c r="V46" s="203">
        <v>386.08</v>
      </c>
      <c r="W46" s="322">
        <v>385</v>
      </c>
      <c r="Z46" s="23" t="str">
        <v>21/02/2024  03:55</v>
      </c>
      <c r="AA46">
        <v>384.7</v>
      </c>
      <c r="AB46">
        <v>385.1</v>
      </c>
      <c r="AC46">
        <v>385.3</v>
      </c>
    </row>
    <row r="47" spans="1:29" ht="14.45" customHeight="1" x14ac:dyDescent="0.25">
      <c r="A47" s="23" t="str">
        <v>21/02/2024  03:56</v>
      </c>
      <c r="B47">
        <v>386.36</v>
      </c>
      <c r="C47">
        <v>386.15</v>
      </c>
      <c r="D47">
        <v>385.84</v>
      </c>
      <c r="E47">
        <v>386.04</v>
      </c>
      <c r="F47">
        <v>382.29</v>
      </c>
      <c r="G47">
        <v>387.3</v>
      </c>
      <c r="H47">
        <v>386.02</v>
      </c>
      <c r="I47">
        <v>386.84</v>
      </c>
      <c r="J47">
        <v>385.56</v>
      </c>
      <c r="K47" s="204"/>
      <c r="M47" s="503"/>
      <c r="N47" s="203">
        <v>386.91</v>
      </c>
      <c r="O47" s="203">
        <v>386.48999999999995</v>
      </c>
      <c r="P47" s="203">
        <v>386.31</v>
      </c>
      <c r="Q47" s="203">
        <v>386.56</v>
      </c>
      <c r="R47" s="203">
        <v>383.11</v>
      </c>
      <c r="S47" s="203">
        <v>387.84000000000003</v>
      </c>
      <c r="T47" s="203">
        <v>386.41999999999996</v>
      </c>
      <c r="U47" s="203">
        <v>387.21999999999997</v>
      </c>
      <c r="V47" s="203">
        <v>386.06</v>
      </c>
      <c r="W47" s="322">
        <v>385</v>
      </c>
      <c r="Z47" s="23" t="str">
        <v>21/02/2024  03:56</v>
      </c>
      <c r="AA47">
        <v>384.6</v>
      </c>
      <c r="AB47">
        <v>385.1</v>
      </c>
      <c r="AC47">
        <v>385.4</v>
      </c>
    </row>
    <row r="48" spans="1:29" ht="14.45" customHeight="1" x14ac:dyDescent="0.25">
      <c r="A48" s="23" t="str">
        <v>21/02/2024  03:57</v>
      </c>
      <c r="B48">
        <v>386.36</v>
      </c>
      <c r="C48">
        <v>386.13</v>
      </c>
      <c r="D48">
        <v>385.9</v>
      </c>
      <c r="E48">
        <v>386.03</v>
      </c>
      <c r="F48">
        <v>382.22</v>
      </c>
      <c r="G48">
        <v>387.27</v>
      </c>
      <c r="H48">
        <v>385.93</v>
      </c>
      <c r="I48">
        <v>386.88</v>
      </c>
      <c r="J48">
        <v>385.51</v>
      </c>
      <c r="K48" s="204"/>
      <c r="M48" s="503"/>
      <c r="N48" s="203">
        <v>386.91</v>
      </c>
      <c r="O48" s="203">
        <v>386.46999999999997</v>
      </c>
      <c r="P48" s="203">
        <v>386.37</v>
      </c>
      <c r="Q48" s="203">
        <v>386.54999999999995</v>
      </c>
      <c r="R48" s="203">
        <v>383.04</v>
      </c>
      <c r="S48" s="203">
        <v>387.81</v>
      </c>
      <c r="T48" s="203">
        <v>386.33</v>
      </c>
      <c r="U48" s="203">
        <v>387.26</v>
      </c>
      <c r="V48" s="203">
        <v>386.01</v>
      </c>
      <c r="W48" s="322">
        <v>385</v>
      </c>
      <c r="Z48" s="23" t="str">
        <v>21/02/2024  03:57</v>
      </c>
      <c r="AA48">
        <v>384.7</v>
      </c>
      <c r="AB48">
        <v>385.1</v>
      </c>
      <c r="AC48">
        <v>385.3</v>
      </c>
    </row>
    <row r="49" spans="1:29" ht="14.45" customHeight="1" x14ac:dyDescent="0.25">
      <c r="A49" s="23" t="str">
        <v>21/02/2024  03:58</v>
      </c>
      <c r="B49">
        <v>386.36</v>
      </c>
      <c r="C49">
        <v>386.2</v>
      </c>
      <c r="D49">
        <v>385.89</v>
      </c>
      <c r="E49">
        <v>386.01</v>
      </c>
      <c r="F49">
        <v>382.29</v>
      </c>
      <c r="G49">
        <v>387.26</v>
      </c>
      <c r="H49">
        <v>386.03</v>
      </c>
      <c r="I49">
        <v>386.75</v>
      </c>
      <c r="J49">
        <v>385.55</v>
      </c>
      <c r="K49" s="204"/>
      <c r="M49" s="503"/>
      <c r="N49" s="203">
        <v>386.91</v>
      </c>
      <c r="O49" s="203">
        <v>386.53999999999996</v>
      </c>
      <c r="P49" s="203">
        <v>386.36</v>
      </c>
      <c r="Q49" s="203">
        <v>386.53</v>
      </c>
      <c r="R49" s="203">
        <v>383.11</v>
      </c>
      <c r="S49" s="203">
        <v>387.8</v>
      </c>
      <c r="T49" s="203">
        <v>386.42999999999995</v>
      </c>
      <c r="U49" s="203">
        <v>387.13</v>
      </c>
      <c r="V49" s="203">
        <v>386.05</v>
      </c>
      <c r="W49" s="322">
        <v>385</v>
      </c>
      <c r="Z49" s="23" t="str">
        <v>21/02/2024  03:58</v>
      </c>
      <c r="AA49">
        <v>384.7</v>
      </c>
      <c r="AB49">
        <v>385.1</v>
      </c>
      <c r="AC49">
        <v>385.3</v>
      </c>
    </row>
    <row r="50" spans="1:29" ht="14.45" customHeight="1" x14ac:dyDescent="0.25">
      <c r="A50" s="23" t="str">
        <v>21/02/2024  03:59</v>
      </c>
      <c r="B50">
        <v>386.48</v>
      </c>
      <c r="C50">
        <v>386.23</v>
      </c>
      <c r="D50">
        <v>385.93</v>
      </c>
      <c r="E50">
        <v>386.09</v>
      </c>
      <c r="F50">
        <v>382.33</v>
      </c>
      <c r="G50">
        <v>387.36</v>
      </c>
      <c r="H50">
        <v>386.05</v>
      </c>
      <c r="I50">
        <v>386.87</v>
      </c>
      <c r="J50">
        <v>385.58</v>
      </c>
      <c r="K50" s="204"/>
      <c r="M50" s="503"/>
      <c r="N50" s="203">
        <v>387.03000000000003</v>
      </c>
      <c r="O50" s="203">
        <v>386.57</v>
      </c>
      <c r="P50" s="203">
        <v>386.40000000000003</v>
      </c>
      <c r="Q50" s="203">
        <v>386.60999999999996</v>
      </c>
      <c r="R50" s="203">
        <v>383.15</v>
      </c>
      <c r="S50" s="203">
        <v>387.90000000000003</v>
      </c>
      <c r="T50" s="203">
        <v>386.45</v>
      </c>
      <c r="U50" s="203">
        <v>387.25</v>
      </c>
      <c r="V50" s="203">
        <v>386.08</v>
      </c>
      <c r="W50" s="322">
        <v>385</v>
      </c>
      <c r="Z50" s="23" t="str">
        <v>21/02/2024  03:59</v>
      </c>
      <c r="AA50">
        <v>384.7</v>
      </c>
      <c r="AB50">
        <v>385.1</v>
      </c>
      <c r="AC50">
        <v>385.3</v>
      </c>
    </row>
    <row r="51" spans="1:29" ht="14.45" customHeight="1" x14ac:dyDescent="0.25">
      <c r="A51" s="23" t="str">
        <v>21/02/2024  04:00</v>
      </c>
      <c r="B51">
        <v>386.37</v>
      </c>
      <c r="C51">
        <v>386.16</v>
      </c>
      <c r="D51">
        <v>385.88</v>
      </c>
      <c r="E51">
        <v>385.97</v>
      </c>
      <c r="F51">
        <v>382.2</v>
      </c>
      <c r="G51">
        <v>387.2</v>
      </c>
      <c r="H51">
        <v>385.99</v>
      </c>
      <c r="I51">
        <v>386.68</v>
      </c>
      <c r="J51">
        <v>385.5</v>
      </c>
      <c r="K51" s="204"/>
      <c r="M51" s="503"/>
      <c r="N51" s="203">
        <v>386.92</v>
      </c>
      <c r="O51" s="203">
        <v>386.5</v>
      </c>
      <c r="P51" s="203">
        <v>386.35</v>
      </c>
      <c r="Q51" s="203">
        <v>386.49</v>
      </c>
      <c r="R51" s="203">
        <v>383.02</v>
      </c>
      <c r="S51" s="203">
        <v>387.74</v>
      </c>
      <c r="T51" s="203">
        <v>386.39</v>
      </c>
      <c r="U51" s="203">
        <v>387.06</v>
      </c>
      <c r="V51" s="203">
        <v>386</v>
      </c>
      <c r="W51" s="322">
        <v>385</v>
      </c>
      <c r="Z51" s="23" t="str">
        <v>21/02/2024  04:00</v>
      </c>
      <c r="AA51">
        <v>384.7</v>
      </c>
      <c r="AB51">
        <v>385.1</v>
      </c>
      <c r="AC51">
        <v>385.3</v>
      </c>
    </row>
    <row r="52" spans="1:29" ht="14.45" customHeight="1" x14ac:dyDescent="0.25">
      <c r="A52" s="23" t="str">
        <v>21/02/2024  04:01</v>
      </c>
      <c r="B52">
        <v>386.32</v>
      </c>
      <c r="C52">
        <v>386.1</v>
      </c>
      <c r="D52">
        <v>385.84</v>
      </c>
      <c r="E52">
        <v>385.99</v>
      </c>
      <c r="F52">
        <v>382.12</v>
      </c>
      <c r="G52">
        <v>387.2</v>
      </c>
      <c r="H52">
        <v>385.95</v>
      </c>
      <c r="I52">
        <v>386.75</v>
      </c>
      <c r="J52">
        <v>385.48</v>
      </c>
      <c r="K52" s="204"/>
      <c r="M52" s="503"/>
      <c r="N52" s="203">
        <v>386.87</v>
      </c>
      <c r="O52" s="203">
        <v>386.44</v>
      </c>
      <c r="P52" s="203">
        <v>386.31</v>
      </c>
      <c r="Q52" s="203">
        <v>386.51</v>
      </c>
      <c r="R52" s="203">
        <v>382.94</v>
      </c>
      <c r="S52" s="203">
        <v>387.74</v>
      </c>
      <c r="T52" s="203">
        <v>386.34999999999997</v>
      </c>
      <c r="U52" s="203">
        <v>387.13</v>
      </c>
      <c r="V52" s="203">
        <v>385.98</v>
      </c>
      <c r="W52" s="322">
        <v>385</v>
      </c>
      <c r="Z52" s="23" t="str">
        <v>21/02/2024  04:01</v>
      </c>
      <c r="AA52">
        <v>384.6</v>
      </c>
      <c r="AB52">
        <v>385.1</v>
      </c>
      <c r="AC52">
        <v>385.3</v>
      </c>
    </row>
    <row r="53" spans="1:29" ht="14.45" customHeight="1" x14ac:dyDescent="0.25">
      <c r="A53" s="23" t="str">
        <v>21/02/2024  04:02</v>
      </c>
      <c r="B53">
        <v>386.36</v>
      </c>
      <c r="C53">
        <v>386.15</v>
      </c>
      <c r="D53">
        <v>385.89</v>
      </c>
      <c r="E53">
        <v>386.03</v>
      </c>
      <c r="F53">
        <v>382.17</v>
      </c>
      <c r="G53">
        <v>387.28</v>
      </c>
      <c r="H53">
        <v>385.97</v>
      </c>
      <c r="I53">
        <v>386.79</v>
      </c>
      <c r="J53">
        <v>385.5</v>
      </c>
      <c r="K53" s="204"/>
      <c r="M53" s="503"/>
      <c r="N53" s="203">
        <v>386.91</v>
      </c>
      <c r="O53" s="203">
        <v>386.48999999999995</v>
      </c>
      <c r="P53" s="203">
        <v>386.36</v>
      </c>
      <c r="Q53" s="203">
        <v>386.54999999999995</v>
      </c>
      <c r="R53" s="203">
        <v>382.99</v>
      </c>
      <c r="S53" s="203">
        <v>387.82</v>
      </c>
      <c r="T53" s="203">
        <v>386.37</v>
      </c>
      <c r="U53" s="203">
        <v>387.17</v>
      </c>
      <c r="V53" s="203">
        <v>386</v>
      </c>
      <c r="W53" s="322">
        <v>385</v>
      </c>
      <c r="Z53" s="23" t="str">
        <v>21/02/2024  04:02</v>
      </c>
      <c r="AA53">
        <v>384.6</v>
      </c>
      <c r="AB53">
        <v>385.1</v>
      </c>
      <c r="AC53">
        <v>385.3</v>
      </c>
    </row>
    <row r="54" spans="1:29" ht="14.45" customHeight="1" x14ac:dyDescent="0.25">
      <c r="A54" s="23" t="str">
        <v>21/02/2024  04:03</v>
      </c>
      <c r="B54">
        <v>386.34</v>
      </c>
      <c r="C54">
        <v>386.12</v>
      </c>
      <c r="D54">
        <v>385.89</v>
      </c>
      <c r="E54">
        <v>385.97</v>
      </c>
      <c r="F54">
        <v>382.27</v>
      </c>
      <c r="G54">
        <v>387.13</v>
      </c>
      <c r="H54">
        <v>385.95</v>
      </c>
      <c r="I54">
        <v>386.67</v>
      </c>
      <c r="J54">
        <v>385.51</v>
      </c>
      <c r="K54" s="204"/>
      <c r="M54" s="503"/>
      <c r="N54" s="203">
        <v>386.89</v>
      </c>
      <c r="O54" s="203">
        <v>386.46</v>
      </c>
      <c r="P54" s="203">
        <v>386.36</v>
      </c>
      <c r="Q54" s="203">
        <v>386.49</v>
      </c>
      <c r="R54" s="203">
        <v>383.09</v>
      </c>
      <c r="S54" s="203">
        <v>387.67</v>
      </c>
      <c r="T54" s="203">
        <v>386.34999999999997</v>
      </c>
      <c r="U54" s="203">
        <v>387.05</v>
      </c>
      <c r="V54" s="203">
        <v>386.01</v>
      </c>
      <c r="W54" s="322">
        <v>385</v>
      </c>
      <c r="Z54" s="23" t="str">
        <v>21/02/2024  04:03</v>
      </c>
      <c r="AA54">
        <v>384.6</v>
      </c>
      <c r="AB54">
        <v>385.1</v>
      </c>
      <c r="AC54">
        <v>385.3</v>
      </c>
    </row>
    <row r="55" spans="1:29" ht="14.45" customHeight="1" x14ac:dyDescent="0.25">
      <c r="A55" s="23" t="str">
        <v>21/02/2024  04:04</v>
      </c>
      <c r="B55">
        <v>386.36</v>
      </c>
      <c r="C55">
        <v>386.14</v>
      </c>
      <c r="D55">
        <v>385.91</v>
      </c>
      <c r="E55">
        <v>386.04</v>
      </c>
      <c r="F55">
        <v>382.31</v>
      </c>
      <c r="G55">
        <v>387.19</v>
      </c>
      <c r="H55">
        <v>385.93</v>
      </c>
      <c r="I55">
        <v>386.78</v>
      </c>
      <c r="J55">
        <v>385.52</v>
      </c>
      <c r="K55" s="204"/>
      <c r="M55" s="503"/>
      <c r="N55" s="203">
        <v>386.91</v>
      </c>
      <c r="O55" s="203">
        <v>386.47999999999996</v>
      </c>
      <c r="P55" s="203">
        <v>386.38000000000005</v>
      </c>
      <c r="Q55" s="203">
        <v>386.56</v>
      </c>
      <c r="R55" s="203">
        <v>383.13</v>
      </c>
      <c r="S55" s="203">
        <v>387.73</v>
      </c>
      <c r="T55" s="203">
        <v>386.33</v>
      </c>
      <c r="U55" s="203">
        <v>387.15999999999997</v>
      </c>
      <c r="V55" s="203">
        <v>386.02</v>
      </c>
      <c r="W55" s="322">
        <v>385</v>
      </c>
      <c r="Z55" s="23" t="str">
        <v>21/02/2024  04:04</v>
      </c>
      <c r="AA55">
        <v>384.6</v>
      </c>
      <c r="AB55">
        <v>385</v>
      </c>
      <c r="AC55">
        <v>385.3</v>
      </c>
    </row>
    <row r="56" spans="1:29" ht="14.45" customHeight="1" x14ac:dyDescent="0.25">
      <c r="A56" s="23" t="str">
        <v>21/02/2024  04:05</v>
      </c>
      <c r="B56">
        <v>386.38</v>
      </c>
      <c r="C56">
        <v>386.16</v>
      </c>
      <c r="D56">
        <v>385.9</v>
      </c>
      <c r="E56">
        <v>386.03</v>
      </c>
      <c r="F56">
        <v>382.36</v>
      </c>
      <c r="G56">
        <v>387.25</v>
      </c>
      <c r="H56">
        <v>385.97</v>
      </c>
      <c r="I56">
        <v>386.74</v>
      </c>
      <c r="J56">
        <v>385.55</v>
      </c>
      <c r="K56" s="204"/>
      <c r="M56" s="503"/>
      <c r="N56" s="203">
        <v>386.93</v>
      </c>
      <c r="O56" s="203">
        <v>386.5</v>
      </c>
      <c r="P56" s="203">
        <v>386.37</v>
      </c>
      <c r="Q56" s="203">
        <v>386.54999999999995</v>
      </c>
      <c r="R56" s="203">
        <v>383.18</v>
      </c>
      <c r="S56" s="203">
        <v>387.79</v>
      </c>
      <c r="T56" s="203">
        <v>386.37</v>
      </c>
      <c r="U56" s="203">
        <v>387.12</v>
      </c>
      <c r="V56" s="203">
        <v>386.05</v>
      </c>
      <c r="W56" s="322">
        <v>385</v>
      </c>
      <c r="Z56" s="23" t="str">
        <v>21/02/2024  04:05</v>
      </c>
      <c r="AA56">
        <v>384.6</v>
      </c>
      <c r="AB56">
        <v>385</v>
      </c>
      <c r="AC56">
        <v>385.3</v>
      </c>
    </row>
    <row r="57" spans="1:29" ht="14.45" customHeight="1" x14ac:dyDescent="0.25">
      <c r="A57" s="23" t="str">
        <v>21/02/2024  04:06</v>
      </c>
      <c r="B57">
        <v>386.33</v>
      </c>
      <c r="C57">
        <v>386.14</v>
      </c>
      <c r="D57">
        <v>385.88</v>
      </c>
      <c r="E57">
        <v>385.95</v>
      </c>
      <c r="F57">
        <v>382.32</v>
      </c>
      <c r="G57">
        <v>387.19</v>
      </c>
      <c r="H57">
        <v>385.99</v>
      </c>
      <c r="I57">
        <v>386.73</v>
      </c>
      <c r="J57">
        <v>385.53</v>
      </c>
      <c r="K57" s="204"/>
      <c r="M57" s="503"/>
      <c r="N57" s="203">
        <v>386.88</v>
      </c>
      <c r="O57" s="203">
        <v>386.47999999999996</v>
      </c>
      <c r="P57" s="203">
        <v>386.35</v>
      </c>
      <c r="Q57" s="203">
        <v>386.46999999999997</v>
      </c>
      <c r="R57" s="203">
        <v>383.14</v>
      </c>
      <c r="S57" s="203">
        <v>387.73</v>
      </c>
      <c r="T57" s="203">
        <v>386.39</v>
      </c>
      <c r="U57" s="203">
        <v>387.11</v>
      </c>
      <c r="V57" s="203">
        <v>386.03</v>
      </c>
      <c r="W57" s="322">
        <v>385</v>
      </c>
      <c r="Z57" s="23" t="str">
        <v>21/02/2024  04:06</v>
      </c>
      <c r="AA57">
        <v>384.6</v>
      </c>
      <c r="AB57">
        <v>385.1</v>
      </c>
      <c r="AC57">
        <v>385.3</v>
      </c>
    </row>
    <row r="58" spans="1:29" ht="14.45" customHeight="1" x14ac:dyDescent="0.25">
      <c r="A58" s="23" t="str">
        <v>21/02/2024  04:07</v>
      </c>
      <c r="B58">
        <v>386.36</v>
      </c>
      <c r="C58">
        <v>386.16</v>
      </c>
      <c r="D58">
        <v>385.91</v>
      </c>
      <c r="E58">
        <v>386.01</v>
      </c>
      <c r="F58">
        <v>382.21</v>
      </c>
      <c r="G58">
        <v>387.22</v>
      </c>
      <c r="H58">
        <v>385.99</v>
      </c>
      <c r="I58">
        <v>386.73</v>
      </c>
      <c r="J58">
        <v>385.52</v>
      </c>
      <c r="K58" s="204"/>
      <c r="M58" s="503"/>
      <c r="N58" s="203">
        <v>386.91</v>
      </c>
      <c r="O58" s="203">
        <v>386.5</v>
      </c>
      <c r="P58" s="203">
        <v>386.38000000000005</v>
      </c>
      <c r="Q58" s="203">
        <v>386.53</v>
      </c>
      <c r="R58" s="203">
        <v>383.03</v>
      </c>
      <c r="S58" s="203">
        <v>387.76000000000005</v>
      </c>
      <c r="T58" s="203">
        <v>386.39</v>
      </c>
      <c r="U58" s="203">
        <v>387.11</v>
      </c>
      <c r="V58" s="203">
        <v>386.02</v>
      </c>
      <c r="W58" s="322">
        <v>385</v>
      </c>
      <c r="Z58" s="23" t="str">
        <v>21/02/2024  04:07</v>
      </c>
      <c r="AA58">
        <v>384.6</v>
      </c>
      <c r="AB58">
        <v>385.1</v>
      </c>
      <c r="AC58">
        <v>385.3</v>
      </c>
    </row>
    <row r="59" spans="1:29" ht="14.45" customHeight="1" x14ac:dyDescent="0.25">
      <c r="A59" s="23" t="str">
        <v>21/02/2024  04:08</v>
      </c>
      <c r="B59">
        <v>386.31</v>
      </c>
      <c r="C59">
        <v>386.13</v>
      </c>
      <c r="D59">
        <v>385.86</v>
      </c>
      <c r="E59">
        <v>385.97</v>
      </c>
      <c r="F59">
        <v>382.27</v>
      </c>
      <c r="G59">
        <v>387.14</v>
      </c>
      <c r="H59">
        <v>385.9</v>
      </c>
      <c r="I59">
        <v>386.65</v>
      </c>
      <c r="J59">
        <v>385.46</v>
      </c>
      <c r="K59" s="204"/>
      <c r="M59" s="503"/>
      <c r="N59" s="203">
        <v>386.86</v>
      </c>
      <c r="O59" s="203">
        <v>386.46999999999997</v>
      </c>
      <c r="P59" s="203">
        <v>386.33000000000004</v>
      </c>
      <c r="Q59" s="203">
        <v>386.49</v>
      </c>
      <c r="R59" s="203">
        <v>383.09</v>
      </c>
      <c r="S59" s="203">
        <v>387.68</v>
      </c>
      <c r="T59" s="203">
        <v>386.29999999999995</v>
      </c>
      <c r="U59" s="203">
        <v>387.03</v>
      </c>
      <c r="V59" s="203">
        <v>385.96</v>
      </c>
      <c r="W59" s="322">
        <v>385</v>
      </c>
      <c r="Z59" s="23" t="str">
        <v>21/02/2024  04:08</v>
      </c>
      <c r="AA59">
        <v>384.5</v>
      </c>
      <c r="AB59">
        <v>385.1</v>
      </c>
      <c r="AC59">
        <v>385.3</v>
      </c>
    </row>
    <row r="60" spans="1:29" ht="14.45" customHeight="1" x14ac:dyDescent="0.25">
      <c r="A60" s="23" t="str">
        <v>21/02/2024  04:09</v>
      </c>
      <c r="B60">
        <v>386.38</v>
      </c>
      <c r="C60">
        <v>386.11</v>
      </c>
      <c r="D60">
        <v>385.91</v>
      </c>
      <c r="E60">
        <v>386.01</v>
      </c>
      <c r="F60">
        <v>382.23</v>
      </c>
      <c r="G60">
        <v>387.15</v>
      </c>
      <c r="H60">
        <v>385.89</v>
      </c>
      <c r="I60">
        <v>386.67</v>
      </c>
      <c r="J60">
        <v>385.48</v>
      </c>
      <c r="K60" s="204"/>
      <c r="M60" s="503"/>
      <c r="N60" s="203">
        <v>386.93</v>
      </c>
      <c r="O60" s="203">
        <v>386.45</v>
      </c>
      <c r="P60" s="203">
        <v>386.38000000000005</v>
      </c>
      <c r="Q60" s="203">
        <v>386.53</v>
      </c>
      <c r="R60" s="203">
        <v>383.05</v>
      </c>
      <c r="S60" s="203">
        <v>387.69</v>
      </c>
      <c r="T60" s="203">
        <v>386.28999999999996</v>
      </c>
      <c r="U60" s="203">
        <v>387.05</v>
      </c>
      <c r="V60" s="203">
        <v>385.98</v>
      </c>
      <c r="W60" s="322">
        <v>385</v>
      </c>
      <c r="Z60" s="23" t="str">
        <v>21/02/2024  04:09</v>
      </c>
      <c r="AA60">
        <v>384.5</v>
      </c>
      <c r="AB60">
        <v>385.1</v>
      </c>
      <c r="AC60">
        <v>385.3</v>
      </c>
    </row>
    <row r="61" spans="1:29" ht="14.45" customHeight="1" x14ac:dyDescent="0.25">
      <c r="A61" s="376"/>
      <c r="B61" s="376"/>
      <c r="C61" s="376"/>
      <c r="D61" s="376"/>
      <c r="E61" s="376"/>
      <c r="F61" s="376"/>
      <c r="G61" s="376"/>
      <c r="H61" s="376"/>
      <c r="I61" s="376"/>
      <c r="J61" s="376"/>
      <c r="K61" s="376"/>
      <c r="L61" s="376"/>
      <c r="M61" s="376"/>
      <c r="N61" s="376"/>
      <c r="O61" s="376"/>
      <c r="P61" s="376"/>
      <c r="Q61" s="376"/>
      <c r="R61" s="376"/>
      <c r="S61" s="376"/>
      <c r="T61" s="376"/>
      <c r="U61" s="376"/>
      <c r="V61" s="376"/>
      <c r="W61" s="376"/>
      <c r="Z61" s="23"/>
    </row>
    <row r="62" spans="1:29" ht="14.45" customHeight="1" x14ac:dyDescent="0.25">
      <c r="A62" s="23"/>
      <c r="K62" s="204"/>
      <c r="Z62" s="23"/>
    </row>
    <row r="63" spans="1:29" ht="14.45" customHeight="1" x14ac:dyDescent="0.25">
      <c r="A63" s="23"/>
      <c r="K63" s="204"/>
      <c r="M63" s="91" t="s">
        <v>90</v>
      </c>
      <c r="N63" s="43">
        <f>MAX(tab_transfert385[Connecteur 1])+N$2+N$3</f>
        <v>387.03000000000003</v>
      </c>
      <c r="O63" s="43">
        <f>MAX(tab_transfert385[Connecteur 2])+O$2+O$3</f>
        <v>386.57</v>
      </c>
      <c r="P63" s="43">
        <f>MAX(tab_transfert385[Connecteur 3])+P$2+P$3</f>
        <v>386.40000000000003</v>
      </c>
      <c r="Q63" s="43">
        <f>MAX(tab_transfert385[Connecteur 4])+Q$2+Q$3</f>
        <v>386.60999999999996</v>
      </c>
      <c r="R63" s="43">
        <f>MAX(tab_transfert385[Connecteur 5])+R$2+R$3</f>
        <v>384.88</v>
      </c>
      <c r="S63" s="43">
        <f>MAX(tab_transfert385[Connecteur 6])+S$2+S$3</f>
        <v>388.88</v>
      </c>
      <c r="T63" s="43">
        <f>MAX(tab_transfert385[Connecteur 7])+T$2+T$3</f>
        <v>386.98999999999995</v>
      </c>
      <c r="U63" s="43">
        <f>MAX(tab_transfert385[Connecteur 8])+U$2+U$3</f>
        <v>388.8</v>
      </c>
      <c r="V63" s="43">
        <f>MAX(tab_transfert385[Connecteur 9])+V$2+V$3</f>
        <v>386.57</v>
      </c>
      <c r="W63" s="200">
        <f>MAX(N63:V63)</f>
        <v>388.88</v>
      </c>
      <c r="Z63" s="23"/>
    </row>
    <row r="64" spans="1:29" ht="14.45" customHeight="1" x14ac:dyDescent="0.25">
      <c r="A64" s="23"/>
      <c r="K64" s="204"/>
      <c r="M64" s="199" t="s">
        <v>91</v>
      </c>
      <c r="N64" s="198">
        <f ca="1">MAX(OFFSET(INDEX(tab_transfert385[Connecteur 1],1),COUNT(tab_transfert385[Connecteur 1])-30,0,30))+N$2+N$3</f>
        <v>387.03000000000003</v>
      </c>
      <c r="O64" s="198">
        <f ca="1">MAX(OFFSET(INDEX(tab_transfert385[Connecteur 2],1),COUNT(tab_transfert385[Connecteur 2])-30,0,30))+O$2+O$3</f>
        <v>386.57</v>
      </c>
      <c r="P64" s="198">
        <f ca="1">MAX(OFFSET(INDEX(tab_transfert385[Connecteur 3],1),COUNT(tab_transfert385[Connecteur 3])-30,0,30))+P$2+P$3</f>
        <v>386.40000000000003</v>
      </c>
      <c r="Q64" s="198">
        <f ca="1">MAX(OFFSET(INDEX(tab_transfert385[Connecteur 4],1),COUNT(tab_transfert385[Connecteur 4])-30,0,30))+Q$2+Q$3</f>
        <v>386.60999999999996</v>
      </c>
      <c r="R64" s="198">
        <f ca="1">MAX(OFFSET(INDEX(tab_transfert385[Connecteur 5],1),COUNT(tab_transfert385[Connecteur 5])-30,0,30))+R$2+R$3</f>
        <v>383.73</v>
      </c>
      <c r="S64" s="198">
        <f ca="1">MAX(OFFSET(INDEX(tab_transfert385[Connecteur 6],1),COUNT(tab_transfert385[Connecteur 6])-30,0,30))+S$2+S$3</f>
        <v>388.36</v>
      </c>
      <c r="T64" s="198">
        <f ca="1">MAX(OFFSET(INDEX(tab_transfert385[Connecteur 7],1),COUNT(tab_transfert385[Connecteur 7])-30,0,30))+T$2+T$3</f>
        <v>386.75</v>
      </c>
      <c r="U64" s="198">
        <f ca="1">MAX(OFFSET(INDEX(tab_transfert385[Connecteur 8],1),COUNT(tab_transfert385[Connecteur 8])-30,0,30))+U$2+U$3</f>
        <v>387.85</v>
      </c>
      <c r="V64" s="198">
        <f ca="1">MAX(OFFSET(INDEX(tab_transfert385[Connecteur 9],1),COUNT(tab_transfert385[Connecteur 9])-30,0,30))+V$2+V$3</f>
        <v>386.33</v>
      </c>
      <c r="W64" s="200">
        <f ca="1">MAX(N64:V64)</f>
        <v>388.36</v>
      </c>
      <c r="Z64" s="23"/>
    </row>
    <row r="65" spans="1:26" ht="14.45" customHeight="1" x14ac:dyDescent="0.25">
      <c r="A65" s="23"/>
      <c r="K65" s="204"/>
      <c r="M65" s="199" t="s">
        <v>93</v>
      </c>
      <c r="N65" s="198">
        <f ca="1">MIN(OFFSET(INDEX(tab_transfert385[Connecteur 1],1),COUNT(tab_transfert385[Connecteur 1])-30,0,30))+N$2+N$3</f>
        <v>386.86</v>
      </c>
      <c r="O65" s="198">
        <f ca="1">MIN(OFFSET(INDEX(tab_transfert385[Connecteur 2],1),COUNT(tab_transfert385[Connecteur 2])-30,0,30))+O$2+O$3</f>
        <v>386.23999999999995</v>
      </c>
      <c r="P65" s="198">
        <f ca="1">MIN(OFFSET(INDEX(tab_transfert385[Connecteur 3],1),COUNT(tab_transfert385[Connecteur 3])-30,0,30))+P$2+P$3</f>
        <v>386.12</v>
      </c>
      <c r="Q65" s="198">
        <f ca="1">MIN(OFFSET(INDEX(tab_transfert385[Connecteur 4],1),COUNT(tab_transfert385[Connecteur 4])-30,0,30))+Q$2+Q$3</f>
        <v>386.46999999999997</v>
      </c>
      <c r="R65" s="198">
        <f ca="1">MIN(OFFSET(INDEX(tab_transfert385[Connecteur 5],1),COUNT(tab_transfert385[Connecteur 5])-30,0,30))+R$2+R$3</f>
        <v>382.94</v>
      </c>
      <c r="S65" s="198">
        <f ca="1">MIN(OFFSET(INDEX(tab_transfert385[Connecteur 6],1),COUNT(tab_transfert385[Connecteur 6])-30,0,30))+S$2+S$3</f>
        <v>387.67</v>
      </c>
      <c r="T65" s="198">
        <f ca="1">MIN(OFFSET(INDEX(tab_transfert385[Connecteur 7],1),COUNT(tab_transfert385[Connecteur 7])-30,0,30))+T$2+T$3</f>
        <v>386.28999999999996</v>
      </c>
      <c r="U65" s="198">
        <f ca="1">MIN(OFFSET(INDEX(tab_transfert385[Connecteur 8],1),COUNT(tab_transfert385[Connecteur 8])-30,0,30))+U$2+U$3</f>
        <v>387.03</v>
      </c>
      <c r="V65" s="198">
        <f ca="1">MIN(OFFSET(INDEX(tab_transfert385[Connecteur 9],1),COUNT(tab_transfert385[Connecteur 9])-30,0,30))+V$2+V$3</f>
        <v>385.96</v>
      </c>
      <c r="W65" s="200">
        <f ca="1">MIN(N65:V65)</f>
        <v>382.94</v>
      </c>
      <c r="Z65" s="23"/>
    </row>
    <row r="66" spans="1:26" ht="14.45" customHeight="1" x14ac:dyDescent="0.25">
      <c r="A66" s="23"/>
      <c r="K66" s="204"/>
      <c r="M66" s="199" t="s">
        <v>95</v>
      </c>
      <c r="N66" s="198">
        <f ca="1">AVERAGE(OFFSET(INDEX(tab_transfert385[Connecteur 1],1),COUNT(tab_transfert385[Connecteur 1])-30,0,30))+N$2+N$3</f>
        <v>386.91533333333331</v>
      </c>
      <c r="O66" s="198">
        <f ca="1">AVERAGE(OFFSET(INDEX(tab_transfert385[Connecteur 2],1),COUNT(tab_transfert385[Connecteur 2])-30,0,30))+O$2+O$3</f>
        <v>386.44766666666658</v>
      </c>
      <c r="P66" s="198">
        <f ca="1">AVERAGE(OFFSET(INDEX(tab_transfert385[Connecteur 3],1),COUNT(tab_transfert385[Connecteur 3])-30,0,30))+P$2+P$3</f>
        <v>386.3123333333333</v>
      </c>
      <c r="Q66" s="198">
        <f ca="1">AVERAGE(OFFSET(INDEX(tab_transfert385[Connecteur 4],1),COUNT(tab_transfert385[Connecteur 4])-30,0,30))+Q$2+Q$3</f>
        <v>386.52833333333342</v>
      </c>
      <c r="R66" s="198">
        <f ca="1">AVERAGE(OFFSET(INDEX(tab_transfert385[Connecteur 5],1),COUNT(tab_transfert385[Connecteur 5])-30,0,30))+R$2+R$3</f>
        <v>383.20266666666663</v>
      </c>
      <c r="S66" s="198">
        <f ca="1">AVERAGE(OFFSET(INDEX(tab_transfert385[Connecteur 6],1),COUNT(tab_transfert385[Connecteur 6])-30,0,30))+S$2+S$3</f>
        <v>387.91033333333331</v>
      </c>
      <c r="T66" s="198">
        <f ca="1">AVERAGE(OFFSET(INDEX(tab_transfert385[Connecteur 7],1),COUNT(tab_transfert385[Connecteur 7])-30,0,30))+T$2+T$3</f>
        <v>386.44866666666661</v>
      </c>
      <c r="U66" s="198">
        <f ca="1">AVERAGE(OFFSET(INDEX(tab_transfert385[Connecteur 8],1),COUNT(tab_transfert385[Connecteur 8])-30,0,30))+U$2+U$3</f>
        <v>387.28833333333341</v>
      </c>
      <c r="V66" s="198">
        <f ca="1">AVERAGE(OFFSET(INDEX(tab_transfert385[Connecteur 9],1),COUNT(tab_transfert385[Connecteur 9])-30,0,30))+V$2+V$3</f>
        <v>386.08133333333336</v>
      </c>
      <c r="W66" s="27"/>
      <c r="Z66" s="23"/>
    </row>
    <row r="67" spans="1:26" ht="14.45" customHeight="1" x14ac:dyDescent="0.25">
      <c r="A67" s="23"/>
      <c r="K67" s="204"/>
      <c r="M67" s="91" t="s">
        <v>96</v>
      </c>
      <c r="N67" s="43">
        <f t="shared" ref="N67:V67" ca="1" si="0">N64-N65</f>
        <v>0.17000000000001592</v>
      </c>
      <c r="O67" s="43">
        <f t="shared" ca="1" si="0"/>
        <v>0.33000000000004093</v>
      </c>
      <c r="P67" s="43">
        <f t="shared" ca="1" si="0"/>
        <v>0.28000000000002956</v>
      </c>
      <c r="Q67" s="43">
        <f t="shared" ca="1" si="0"/>
        <v>0.13999999999998636</v>
      </c>
      <c r="R67" s="43">
        <f t="shared" ca="1" si="0"/>
        <v>0.79000000000002046</v>
      </c>
      <c r="S67" s="43">
        <f t="shared" ca="1" si="0"/>
        <v>0.68999999999999773</v>
      </c>
      <c r="T67" s="43">
        <f t="shared" ca="1" si="0"/>
        <v>0.46000000000003638</v>
      </c>
      <c r="U67" s="43">
        <f t="shared" ca="1" si="0"/>
        <v>0.82000000000005002</v>
      </c>
      <c r="V67" s="43">
        <f t="shared" ca="1" si="0"/>
        <v>0.37000000000000455</v>
      </c>
      <c r="W67" s="27"/>
      <c r="Z67" s="23"/>
    </row>
    <row r="68" spans="1:26" ht="14.45" customHeight="1" x14ac:dyDescent="0.25">
      <c r="A68" s="23"/>
      <c r="K68" s="204"/>
      <c r="M68" s="91" t="s">
        <v>97</v>
      </c>
      <c r="N68" s="375">
        <f ca="1">ABS(MAX(N64:V64) - MIN(N65:V65))</f>
        <v>5.4200000000000159</v>
      </c>
      <c r="O68" s="375"/>
      <c r="P68" s="375"/>
      <c r="Q68" s="375"/>
      <c r="R68" s="375"/>
      <c r="S68" s="375"/>
      <c r="T68" s="375"/>
      <c r="U68" s="375"/>
      <c r="V68" s="375"/>
      <c r="W68" s="44">
        <f ca="1">N68</f>
        <v>5.4200000000000159</v>
      </c>
      <c r="Z68" s="23"/>
    </row>
    <row r="69" spans="1:26" ht="14.45" customHeight="1" x14ac:dyDescent="0.25">
      <c r="A69" s="23"/>
      <c r="K69" s="204"/>
      <c r="M69" s="91" t="s">
        <v>98</v>
      </c>
      <c r="N69" s="375">
        <f ca="1">AVERAGE(N66:V66)</f>
        <v>386.34833333333336</v>
      </c>
      <c r="O69" s="375"/>
      <c r="P69" s="375"/>
      <c r="Q69" s="375"/>
      <c r="R69" s="375"/>
      <c r="S69" s="375"/>
      <c r="T69" s="375"/>
      <c r="U69" s="375"/>
      <c r="V69" s="375"/>
      <c r="W69" s="44">
        <f ca="1">N69</f>
        <v>386.34833333333336</v>
      </c>
      <c r="Z69" s="23"/>
    </row>
    <row r="70" spans="1:26" ht="14.45" customHeight="1" x14ac:dyDescent="0.25">
      <c r="A70" s="23"/>
      <c r="K70" s="204"/>
      <c r="M70" s="196" t="s">
        <v>326</v>
      </c>
      <c r="N70" s="35" t="str" cm="1">
        <f t="array" ref="N70:V70">tab_transfert385[[#Headers],[Connecteur 1]:[Connecteur 9]]</f>
        <v>Connecteur 1</v>
      </c>
      <c r="O70" s="35" t="str">
        <v>Connecteur 2</v>
      </c>
      <c r="P70" s="35" t="str">
        <v>Connecteur 3</v>
      </c>
      <c r="Q70" s="35" t="str">
        <v>Connecteur 4</v>
      </c>
      <c r="R70" s="35" t="str">
        <v>Connecteur 5</v>
      </c>
      <c r="S70" s="35" t="str">
        <v>Connecteur 6</v>
      </c>
      <c r="T70" s="35" t="str">
        <v>Connecteur 7</v>
      </c>
      <c r="U70" s="35" t="str">
        <v>Connecteur 8</v>
      </c>
      <c r="V70" s="35" t="str">
        <v>Connecteur 9</v>
      </c>
      <c r="W70" s="27"/>
      <c r="Z70" s="23"/>
    </row>
    <row r="71" spans="1:26" ht="14.45" customHeight="1" x14ac:dyDescent="0.25">
      <c r="A71" s="23"/>
      <c r="K71" s="204"/>
      <c r="M71" s="193" t="s">
        <v>325</v>
      </c>
      <c r="N71" s="195">
        <f ca="1">_xlfn.STDEV.S(OFFSET(INDEX(tab_transfert385[Connecteur 1],1),COUNT(tab_transfert385[Connecteur 1])-30,0,30))</f>
        <v>3.0255615988619009E-2</v>
      </c>
      <c r="O71" s="195">
        <f ca="1">_xlfn.STDEV.S(OFFSET(INDEX(tab_transfert385[Connecteur 2],1),COUNT(tab_transfert385[Connecteur 2])-30,0,30))</f>
        <v>6.8816764864655169E-2</v>
      </c>
      <c r="P71" s="195">
        <f ca="1">_xlfn.STDEV.S(OFFSET(INDEX(tab_transfert385[Connecteur 3],1),COUNT(tab_transfert385[Connecteur 3])-30,0,30))</f>
        <v>6.8111639257171425E-2</v>
      </c>
      <c r="Q71" s="195">
        <f ca="1">_xlfn.STDEV.S(OFFSET(INDEX(tab_transfert385[Connecteur 4],1),COUNT(tab_transfert385[Connecteur 4])-30,0,30))</f>
        <v>3.2279312616411586E-2</v>
      </c>
      <c r="R71" s="195">
        <f ca="1">_xlfn.STDEV.S(OFFSET(INDEX(tab_transfert385[Connecteur 5],1),COUNT(tab_transfert385[Connecteur 5])-30,0,30))</f>
        <v>0.1931219613457367</v>
      </c>
      <c r="S71" s="195">
        <f ca="1">_xlfn.STDEV.S(OFFSET(INDEX(tab_transfert385[Connecteur 6],1),COUNT(tab_transfert385[Connecteur 6])-30,0,30))</f>
        <v>0.19151813335112533</v>
      </c>
      <c r="T71" s="195">
        <f ca="1">_xlfn.STDEV.S(OFFSET(INDEX(tab_transfert385[Connecteur 7],1),COUNT(tab_transfert385[Connecteur 7])-30,0,30))</f>
        <v>0.12142070871868159</v>
      </c>
      <c r="U71" s="195">
        <f ca="1">_xlfn.STDEV.S(OFFSET(INDEX(tab_transfert385[Connecteur 8],1),COUNT(tab_transfert385[Connecteur 8])-30,0,30))</f>
        <v>0.21418785395444279</v>
      </c>
      <c r="V71" s="195">
        <f ca="1">_xlfn.STDEV.S(OFFSET(INDEX(tab_transfert385[Connecteur 9],1),COUNT(tab_transfert385[Connecteur 9])-30,0,30))</f>
        <v>9.4238630827433487E-2</v>
      </c>
      <c r="W71" s="194">
        <f ca="1">MAX(N71:V71)</f>
        <v>0.21418785395444279</v>
      </c>
      <c r="Z71" s="23"/>
    </row>
    <row r="72" spans="1:26" ht="14.45" customHeight="1" x14ac:dyDescent="0.25">
      <c r="A72" s="23"/>
      <c r="K72" s="204"/>
      <c r="N72" s="27"/>
      <c r="O72" s="27"/>
      <c r="P72" s="27"/>
      <c r="Q72" s="27"/>
      <c r="R72" s="27"/>
      <c r="S72" s="27"/>
      <c r="T72" s="27"/>
      <c r="U72" s="27"/>
      <c r="V72" s="27"/>
      <c r="W72" s="27"/>
      <c r="Z72" s="23"/>
    </row>
    <row r="73" spans="1:26" ht="14.45" customHeight="1" x14ac:dyDescent="0.25">
      <c r="A73" s="23"/>
      <c r="K73" s="204"/>
      <c r="M73" s="193" t="s">
        <v>324</v>
      </c>
      <c r="N73" s="192">
        <f ca="1">W64-(OFFSET(INDEX(tab_four385[Consigne T°],1),COUNT(tab_four385[Consigne T°])-29,0,1))</f>
        <v>3.3600000000000136</v>
      </c>
      <c r="O73" s="27"/>
      <c r="P73" s="27"/>
      <c r="Q73" s="27"/>
      <c r="R73" s="27"/>
      <c r="S73" s="27"/>
      <c r="T73" s="27"/>
      <c r="U73" s="27"/>
      <c r="V73" s="27"/>
      <c r="W73" s="27"/>
      <c r="Z73" s="23"/>
    </row>
    <row r="74" spans="1:26" ht="14.45" customHeight="1" x14ac:dyDescent="0.25">
      <c r="A74" s="23"/>
      <c r="K74" s="204"/>
      <c r="M74" s="193" t="s">
        <v>323</v>
      </c>
      <c r="N74" s="192">
        <f ca="1">W65-(OFFSET(INDEX(tab_four385[Consigne T°],1),COUNT(tab_four385[Consigne T°])-29,0,1))</f>
        <v>-2.0600000000000023</v>
      </c>
      <c r="O74" s="27"/>
      <c r="P74" s="27"/>
      <c r="Q74" s="27"/>
      <c r="R74" s="27"/>
      <c r="S74" s="27"/>
      <c r="T74" s="27"/>
      <c r="U74" s="27"/>
      <c r="V74" s="27"/>
      <c r="W74" s="27"/>
      <c r="Z74" s="23"/>
    </row>
    <row r="75" spans="1:26" ht="14.45" customHeight="1" x14ac:dyDescent="0.25">
      <c r="A75" s="23"/>
      <c r="K75" s="204"/>
      <c r="Z75" s="23"/>
    </row>
    <row r="76" spans="1:26" ht="14.45" customHeight="1" x14ac:dyDescent="0.25">
      <c r="A76" s="23"/>
      <c r="K76" s="204"/>
      <c r="Z76" s="23"/>
    </row>
    <row r="77" spans="1:26" ht="14.45" customHeight="1" x14ac:dyDescent="0.25">
      <c r="A77" s="23"/>
      <c r="K77" s="204"/>
      <c r="Z77" s="23"/>
    </row>
    <row r="78" spans="1:26" ht="14.45" customHeight="1" x14ac:dyDescent="0.25">
      <c r="A78" s="23"/>
      <c r="K78" s="204"/>
      <c r="Z78" s="23"/>
    </row>
    <row r="79" spans="1:26" ht="14.45" customHeight="1" x14ac:dyDescent="0.25">
      <c r="A79" s="23"/>
      <c r="K79" s="204"/>
      <c r="Z79" s="23"/>
    </row>
    <row r="80" spans="1:26" ht="14.45" customHeight="1" x14ac:dyDescent="0.25">
      <c r="A80" s="23"/>
      <c r="K80" s="204"/>
      <c r="Z80" s="23"/>
    </row>
    <row r="81" spans="1:26" ht="14.45" customHeight="1" x14ac:dyDescent="0.25">
      <c r="A81" s="23"/>
      <c r="K81" s="204"/>
      <c r="Z81" s="23"/>
    </row>
    <row r="82" spans="1:26" ht="14.45" customHeight="1" x14ac:dyDescent="0.25">
      <c r="A82" s="23"/>
      <c r="K82" s="204"/>
      <c r="Z82" s="23"/>
    </row>
    <row r="83" spans="1:26" ht="14.45" customHeight="1" x14ac:dyDescent="0.25">
      <c r="A83" s="23"/>
      <c r="K83" s="204"/>
      <c r="Z83" s="23"/>
    </row>
    <row r="84" spans="1:26" ht="14.45" customHeight="1" x14ac:dyDescent="0.25">
      <c r="A84" s="23"/>
      <c r="K84" s="204"/>
      <c r="Z84" s="23"/>
    </row>
    <row r="85" spans="1:26" ht="14.45" customHeight="1" x14ac:dyDescent="0.25">
      <c r="A85" s="23"/>
      <c r="K85" s="204"/>
      <c r="Z85" s="23"/>
    </row>
    <row r="86" spans="1:26" ht="14.45" customHeight="1" x14ac:dyDescent="0.25">
      <c r="A86" s="23"/>
      <c r="K86" s="204"/>
      <c r="Z86" s="23"/>
    </row>
    <row r="87" spans="1:26" ht="14.45" customHeight="1" x14ac:dyDescent="0.25">
      <c r="A87" s="23"/>
      <c r="K87" s="204"/>
      <c r="Z87" s="23"/>
    </row>
    <row r="88" spans="1:26" ht="14.45" customHeight="1" x14ac:dyDescent="0.25">
      <c r="A88" s="23"/>
      <c r="K88" s="204"/>
      <c r="Z88" s="23"/>
    </row>
    <row r="89" spans="1:26" ht="14.45" customHeight="1" x14ac:dyDescent="0.25">
      <c r="A89" s="23"/>
      <c r="K89" s="204"/>
      <c r="Z89" s="23"/>
    </row>
    <row r="90" spans="1:26" ht="14.45" customHeight="1" x14ac:dyDescent="0.25">
      <c r="A90" s="23"/>
      <c r="K90" s="204"/>
      <c r="Z90" s="23"/>
    </row>
    <row r="91" spans="1:26" ht="14.45" customHeight="1" x14ac:dyDescent="0.25">
      <c r="A91" s="23"/>
      <c r="K91" s="204"/>
      <c r="Z91" s="23"/>
    </row>
    <row r="92" spans="1:26" ht="14.45" customHeight="1" x14ac:dyDescent="0.25">
      <c r="A92" s="23"/>
      <c r="K92" s="204"/>
      <c r="Z92" s="23"/>
    </row>
    <row r="93" spans="1:26" ht="14.45" customHeight="1" x14ac:dyDescent="0.25">
      <c r="A93" s="23"/>
      <c r="K93" s="204"/>
      <c r="Z93" s="23"/>
    </row>
    <row r="94" spans="1:26" ht="14.45" customHeight="1" x14ac:dyDescent="0.25">
      <c r="A94" s="23"/>
      <c r="K94" s="204"/>
      <c r="Z94" s="23"/>
    </row>
    <row r="95" spans="1:26" ht="14.45" customHeight="1" x14ac:dyDescent="0.25">
      <c r="A95" s="23"/>
      <c r="K95" s="204"/>
      <c r="Z95" s="23"/>
    </row>
    <row r="96" spans="1:26" ht="14.45" customHeight="1" x14ac:dyDescent="0.25">
      <c r="A96" s="23"/>
      <c r="K96" s="204"/>
      <c r="Z96" s="23"/>
    </row>
    <row r="97" spans="1:26" ht="14.45" customHeight="1" x14ac:dyDescent="0.25">
      <c r="A97" s="23"/>
      <c r="K97" s="204"/>
      <c r="Z97" s="23"/>
    </row>
    <row r="98" spans="1:26" ht="14.45" customHeight="1" x14ac:dyDescent="0.25">
      <c r="A98" s="23"/>
      <c r="K98" s="204"/>
      <c r="Z98" s="23"/>
    </row>
    <row r="99" spans="1:26" ht="14.45" customHeight="1" x14ac:dyDescent="0.25">
      <c r="A99" s="23"/>
      <c r="K99" s="204"/>
      <c r="Z99" s="23"/>
    </row>
    <row r="100" spans="1:26" ht="14.45" customHeight="1" x14ac:dyDescent="0.25">
      <c r="A100" s="23"/>
      <c r="K100" s="204"/>
      <c r="Z100" s="23"/>
    </row>
    <row r="101" spans="1:26" ht="14.45" customHeight="1" x14ac:dyDescent="0.25">
      <c r="A101" s="23"/>
      <c r="K101" s="204"/>
      <c r="Z101" s="23"/>
    </row>
    <row r="102" spans="1:26" ht="14.45" customHeight="1" x14ac:dyDescent="0.25">
      <c r="A102" s="23"/>
      <c r="K102" s="204"/>
      <c r="Z102" s="23"/>
    </row>
    <row r="103" spans="1:26" ht="14.45" customHeight="1" x14ac:dyDescent="0.25">
      <c r="A103" s="23"/>
      <c r="K103" s="204"/>
      <c r="Z103" s="23"/>
    </row>
    <row r="104" spans="1:26" ht="14.45" customHeight="1" x14ac:dyDescent="0.25">
      <c r="A104" s="23"/>
      <c r="K104" s="204"/>
      <c r="Z104" s="23"/>
    </row>
    <row r="105" spans="1:26" ht="14.45" customHeight="1" x14ac:dyDescent="0.25">
      <c r="A105" s="23"/>
      <c r="K105" s="204"/>
      <c r="Z105" s="23"/>
    </row>
    <row r="106" spans="1:26" ht="14.45" customHeight="1" x14ac:dyDescent="0.25">
      <c r="A106" s="23"/>
      <c r="K106" s="204"/>
      <c r="Z106" s="23"/>
    </row>
    <row r="107" spans="1:26" ht="14.45" customHeight="1" x14ac:dyDescent="0.25">
      <c r="A107" s="23"/>
      <c r="K107" s="204"/>
      <c r="Z107" s="23"/>
    </row>
    <row r="108" spans="1:26" ht="14.45" customHeight="1" x14ac:dyDescent="0.25">
      <c r="A108" s="23"/>
      <c r="K108" s="204"/>
      <c r="Z108" s="23"/>
    </row>
    <row r="109" spans="1:26" ht="14.45" customHeight="1" x14ac:dyDescent="0.25">
      <c r="A109" s="23"/>
      <c r="K109" s="204"/>
      <c r="Z109" s="23"/>
    </row>
    <row r="110" spans="1:26" ht="14.45" customHeight="1" x14ac:dyDescent="0.25">
      <c r="A110" s="23"/>
      <c r="K110" s="204"/>
      <c r="Z110" s="23"/>
    </row>
    <row r="111" spans="1:26" ht="14.45" customHeight="1" x14ac:dyDescent="0.25">
      <c r="A111" s="23"/>
      <c r="K111" s="204"/>
      <c r="Z111" s="23"/>
    </row>
    <row r="112" spans="1:26" ht="14.45" customHeight="1" x14ac:dyDescent="0.25">
      <c r="A112" s="23"/>
      <c r="K112" s="204"/>
      <c r="Z112" s="23"/>
    </row>
    <row r="113" spans="1:29" ht="14.45" customHeight="1" x14ac:dyDescent="0.25">
      <c r="A113" s="23"/>
      <c r="K113" s="204"/>
      <c r="Z113" s="23"/>
    </row>
    <row r="114" spans="1:29" ht="14.45" customHeight="1" x14ac:dyDescent="0.25">
      <c r="A114" s="23"/>
      <c r="K114" s="204"/>
      <c r="Z114" s="23"/>
    </row>
    <row r="115" spans="1:29" ht="14.45" customHeight="1" x14ac:dyDescent="0.25">
      <c r="A115" s="145"/>
      <c r="B115" s="145"/>
      <c r="C115" s="145"/>
      <c r="D115" s="145"/>
      <c r="E115" s="145"/>
      <c r="F115" s="145"/>
      <c r="G115" s="145"/>
      <c r="H115" s="145"/>
      <c r="I115" s="145"/>
      <c r="J115" s="145"/>
      <c r="K115" s="145"/>
      <c r="L115" s="145"/>
      <c r="X115" s="145"/>
      <c r="Y115" s="145"/>
      <c r="Z115" s="145"/>
      <c r="AA115" s="145"/>
      <c r="AB115" s="145"/>
      <c r="AC115" s="145"/>
    </row>
    <row r="116" spans="1:29" ht="14.45" customHeight="1" x14ac:dyDescent="0.25">
      <c r="X116" s="27"/>
      <c r="Z116" s="23"/>
      <c r="AA116" s="201" t="str" cm="1">
        <f t="array" ref="AA116:AC116">AA6:AC6</f>
        <v>Pt Froid</v>
      </c>
      <c r="AB116" s="201" t="str">
        <v>Regulation</v>
      </c>
      <c r="AC116" s="201" t="str">
        <v>Pt Chaud</v>
      </c>
    </row>
    <row r="117" spans="1:29" ht="14.45" customHeight="1" x14ac:dyDescent="0.25">
      <c r="X117" s="27"/>
      <c r="Z117" s="197" t="s">
        <v>90</v>
      </c>
      <c r="AA117" s="43">
        <f>MAX(tab_four385[Pt Froid])</f>
        <v>386.5</v>
      </c>
      <c r="AB117" s="43">
        <f>MAX(tab_four385[Regulation])</f>
        <v>385.5</v>
      </c>
      <c r="AC117" s="43">
        <f>MAX(tab_four385[Pt Chaud])</f>
        <v>385.6</v>
      </c>
    </row>
    <row r="118" spans="1:29" ht="14.45" customHeight="1" x14ac:dyDescent="0.25">
      <c r="X118" s="27"/>
      <c r="Z118" s="197" t="s">
        <v>91</v>
      </c>
      <c r="AA118" s="43">
        <f ca="1">MAX(OFFSET(INDEX(tab_four385[Pt Froid],1),COUNT(tab_four385[Pt Froid])-30,0,30))</f>
        <v>385.5</v>
      </c>
      <c r="AB118" s="43">
        <f ca="1">MAX(OFFSET(INDEX(tab_four385[Regulation],1),COUNT(tab_four385[Regulation])-30,0,30))</f>
        <v>385.5</v>
      </c>
      <c r="AC118" s="43">
        <f ca="1">MAX(OFFSET(INDEX(tab_four385[Pt Chaud],1),COUNT(tab_four385[Pt Chaud])-30,0,30))</f>
        <v>385.6</v>
      </c>
    </row>
    <row r="119" spans="1:29" ht="14.45" customHeight="1" x14ac:dyDescent="0.25">
      <c r="X119" s="27"/>
      <c r="Z119" s="197" t="s">
        <v>93</v>
      </c>
      <c r="AA119" s="43">
        <f ca="1">MIN(OFFSET(INDEX(tab_four385[Pt Froid],1),COUNT(tab_four385[Pt Froid])-30,0,30))</f>
        <v>384.5</v>
      </c>
      <c r="AB119" s="43">
        <f ca="1">MIN(OFFSET(INDEX(tab_four385[Regulation],1),COUNT(tab_four385[Regulation])-30,0,30))</f>
        <v>385</v>
      </c>
      <c r="AC119" s="43">
        <f ca="1">MIN(OFFSET(INDEX(tab_four385[Pt Chaud],1),COUNT(tab_four385[Pt Chaud])-30,0,30))</f>
        <v>385.3</v>
      </c>
    </row>
    <row r="120" spans="1:29" ht="14.45" customHeight="1" x14ac:dyDescent="0.25">
      <c r="X120" s="27"/>
      <c r="Z120" s="197" t="s">
        <v>95</v>
      </c>
      <c r="AA120" s="43">
        <f ca="1">AVERAGE(OFFSET(INDEX(tab_four385[Pt Froid],1),COUNT(tab_four385[Pt Froid])-30,0,30))</f>
        <v>384.78666666666675</v>
      </c>
      <c r="AB120" s="43">
        <f ca="1">AVERAGE(OFFSET(INDEX(tab_four385[Regulation],1),COUNT(tab_four385[Regulation])-30,0,30))</f>
        <v>385.17000000000013</v>
      </c>
      <c r="AC120" s="43">
        <f ca="1">AVERAGE(OFFSET(INDEX(tab_four385[Pt Chaud],1),COUNT(tab_four385[Pt Chaud])-30,0,30))</f>
        <v>385.36999999999983</v>
      </c>
    </row>
    <row r="121" spans="1:29" ht="14.45" customHeight="1" x14ac:dyDescent="0.25">
      <c r="X121" s="27"/>
    </row>
    <row r="122" spans="1:29" ht="14.45" customHeight="1" x14ac:dyDescent="0.25">
      <c r="X122" s="27"/>
      <c r="Z122" s="23"/>
    </row>
    <row r="123" spans="1:29" x14ac:dyDescent="0.25">
      <c r="X123" s="27"/>
    </row>
    <row r="124" spans="1:29" x14ac:dyDescent="0.25">
      <c r="X124" s="27"/>
    </row>
    <row r="125" spans="1:29" x14ac:dyDescent="0.25">
      <c r="X125" s="27"/>
    </row>
    <row r="128" spans="1:29"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row r="190" spans="1:11" x14ac:dyDescent="0.25">
      <c r="A190" s="191"/>
      <c r="B190" s="27"/>
      <c r="C190" s="27"/>
      <c r="D190" s="27"/>
      <c r="E190" s="27"/>
      <c r="F190" s="27"/>
      <c r="G190" s="27"/>
      <c r="H190" s="27"/>
      <c r="I190" s="27"/>
      <c r="J190" s="27"/>
      <c r="K190" s="27"/>
    </row>
    <row r="191" spans="1:11" x14ac:dyDescent="0.25">
      <c r="A191" s="191"/>
      <c r="B191" s="27"/>
      <c r="C191" s="27"/>
      <c r="D191" s="27"/>
      <c r="E191" s="27"/>
      <c r="F191" s="27"/>
      <c r="G191" s="27"/>
      <c r="H191" s="27"/>
      <c r="I191" s="27"/>
      <c r="J191" s="27"/>
      <c r="K191" s="27"/>
    </row>
    <row r="192" spans="1:11" x14ac:dyDescent="0.25">
      <c r="A192" s="191"/>
      <c r="B192" s="27"/>
      <c r="C192" s="27"/>
      <c r="D192" s="27"/>
      <c r="E192" s="27"/>
      <c r="F192" s="27"/>
      <c r="G192" s="27"/>
      <c r="H192" s="27"/>
      <c r="I192" s="27"/>
      <c r="J192" s="27"/>
      <c r="K192" s="27"/>
    </row>
    <row r="193" spans="1:11" x14ac:dyDescent="0.25">
      <c r="A193" s="191"/>
      <c r="B193" s="27"/>
      <c r="C193" s="27"/>
      <c r="D193" s="27"/>
      <c r="E193" s="27"/>
      <c r="F193" s="27"/>
      <c r="G193" s="27"/>
      <c r="H193" s="27"/>
      <c r="I193" s="27"/>
      <c r="J193" s="27"/>
      <c r="K193" s="27"/>
    </row>
    <row r="194" spans="1:11" x14ac:dyDescent="0.25">
      <c r="A194" s="191"/>
      <c r="B194" s="27"/>
      <c r="C194" s="27"/>
      <c r="D194" s="27"/>
      <c r="E194" s="27"/>
      <c r="F194" s="27"/>
      <c r="G194" s="27"/>
      <c r="H194" s="27"/>
      <c r="I194" s="27"/>
      <c r="J194" s="27"/>
      <c r="K194" s="27"/>
    </row>
    <row r="195" spans="1:11" x14ac:dyDescent="0.25">
      <c r="A195" s="191"/>
      <c r="B195" s="27"/>
      <c r="C195" s="27"/>
      <c r="D195" s="27"/>
      <c r="E195" s="27"/>
      <c r="F195" s="27"/>
      <c r="G195" s="27"/>
      <c r="H195" s="27"/>
      <c r="I195" s="27"/>
      <c r="J195" s="27"/>
      <c r="K195" s="27"/>
    </row>
    <row r="196" spans="1:11" x14ac:dyDescent="0.25">
      <c r="A196" s="191"/>
      <c r="B196" s="27"/>
      <c r="C196" s="27"/>
      <c r="D196" s="27"/>
      <c r="E196" s="27"/>
      <c r="F196" s="27"/>
      <c r="G196" s="27"/>
      <c r="H196" s="27"/>
      <c r="I196" s="27"/>
      <c r="J196" s="27"/>
      <c r="K196" s="27"/>
    </row>
    <row r="197" spans="1:11" x14ac:dyDescent="0.25">
      <c r="A197" s="191"/>
      <c r="B197" s="27"/>
      <c r="C197" s="27"/>
      <c r="D197" s="27"/>
      <c r="E197" s="27"/>
      <c r="F197" s="27"/>
      <c r="G197" s="27"/>
      <c r="H197" s="27"/>
      <c r="I197" s="27"/>
      <c r="J197" s="27"/>
      <c r="K197" s="27"/>
    </row>
    <row r="198" spans="1:11" x14ac:dyDescent="0.25">
      <c r="A198" s="191"/>
      <c r="B198" s="27"/>
      <c r="C198" s="27"/>
      <c r="D198" s="27"/>
      <c r="E198" s="27"/>
      <c r="F198" s="27"/>
      <c r="G198" s="27"/>
      <c r="H198" s="27"/>
      <c r="I198" s="27"/>
      <c r="J198" s="27"/>
      <c r="K198" s="27"/>
    </row>
    <row r="199" spans="1:11" x14ac:dyDescent="0.25">
      <c r="A199" s="191"/>
      <c r="B199" s="27"/>
      <c r="C199" s="27"/>
      <c r="D199" s="27"/>
      <c r="E199" s="27"/>
      <c r="F199" s="27"/>
      <c r="G199" s="27"/>
      <c r="H199" s="27"/>
      <c r="I199" s="27"/>
      <c r="J199" s="27"/>
      <c r="K199" s="27"/>
    </row>
    <row r="200" spans="1:11" x14ac:dyDescent="0.25">
      <c r="A200" s="191"/>
      <c r="B200" s="27"/>
      <c r="C200" s="27"/>
      <c r="D200" s="27"/>
      <c r="E200" s="27"/>
      <c r="F200" s="27"/>
      <c r="G200" s="27"/>
      <c r="H200" s="27"/>
      <c r="I200" s="27"/>
      <c r="J200" s="27"/>
      <c r="K200" s="27"/>
    </row>
    <row r="201" spans="1:11" x14ac:dyDescent="0.25">
      <c r="A201" s="191"/>
      <c r="B201" s="27"/>
      <c r="C201" s="27"/>
      <c r="D201" s="27"/>
      <c r="E201" s="27"/>
      <c r="F201" s="27"/>
      <c r="G201" s="27"/>
      <c r="H201" s="27"/>
      <c r="I201" s="27"/>
      <c r="J201" s="27"/>
      <c r="K201" s="27"/>
    </row>
    <row r="202" spans="1:11" x14ac:dyDescent="0.25">
      <c r="A202" s="191"/>
      <c r="B202" s="27"/>
      <c r="C202" s="27"/>
      <c r="D202" s="27"/>
      <c r="E202" s="27"/>
      <c r="F202" s="27"/>
      <c r="G202" s="27"/>
      <c r="H202" s="27"/>
      <c r="I202" s="27"/>
      <c r="J202" s="27"/>
      <c r="K202" s="27"/>
    </row>
    <row r="203" spans="1:11" x14ac:dyDescent="0.25">
      <c r="A203" s="191"/>
      <c r="B203" s="27"/>
      <c r="C203" s="27"/>
      <c r="D203" s="27"/>
      <c r="E203" s="27"/>
      <c r="F203" s="27"/>
      <c r="G203" s="27"/>
      <c r="H203" s="27"/>
      <c r="I203" s="27"/>
      <c r="J203" s="27"/>
      <c r="K203" s="27"/>
    </row>
    <row r="204" spans="1:11" x14ac:dyDescent="0.25">
      <c r="A204" s="191"/>
      <c r="B204" s="27"/>
      <c r="C204" s="27"/>
      <c r="D204" s="27"/>
      <c r="E204" s="27"/>
      <c r="F204" s="27"/>
      <c r="G204" s="27"/>
      <c r="H204" s="27"/>
      <c r="I204" s="27"/>
      <c r="J204" s="27"/>
      <c r="K204" s="27"/>
    </row>
    <row r="205" spans="1:11" x14ac:dyDescent="0.25">
      <c r="A205" s="191"/>
      <c r="B205" s="27"/>
      <c r="C205" s="27"/>
      <c r="D205" s="27"/>
      <c r="E205" s="27"/>
      <c r="F205" s="27"/>
      <c r="G205" s="27"/>
      <c r="H205" s="27"/>
      <c r="I205" s="27"/>
      <c r="J205" s="27"/>
      <c r="K205" s="27"/>
    </row>
    <row r="206" spans="1:11" x14ac:dyDescent="0.25">
      <c r="A206" s="191"/>
      <c r="B206" s="27"/>
      <c r="C206" s="27"/>
      <c r="D206" s="27"/>
      <c r="E206" s="27"/>
      <c r="F206" s="27"/>
      <c r="G206" s="27"/>
      <c r="H206" s="27"/>
      <c r="I206" s="27"/>
      <c r="J206" s="27"/>
      <c r="K206" s="27"/>
    </row>
    <row r="207" spans="1:11" x14ac:dyDescent="0.25">
      <c r="A207" s="191"/>
      <c r="B207" s="27"/>
      <c r="C207" s="27"/>
      <c r="D207" s="27"/>
      <c r="E207" s="27"/>
      <c r="F207" s="27"/>
      <c r="G207" s="27"/>
      <c r="H207" s="27"/>
      <c r="I207" s="27"/>
      <c r="J207" s="27"/>
      <c r="K207" s="27"/>
    </row>
    <row r="208" spans="1:11" x14ac:dyDescent="0.25">
      <c r="A208" s="191"/>
      <c r="B208" s="27"/>
      <c r="C208" s="27"/>
      <c r="D208" s="27"/>
      <c r="E208" s="27"/>
      <c r="F208" s="27"/>
      <c r="G208" s="27"/>
      <c r="H208" s="27"/>
      <c r="I208" s="27"/>
      <c r="J208" s="27"/>
      <c r="K208" s="27"/>
    </row>
    <row r="209" spans="1:11" x14ac:dyDescent="0.25">
      <c r="A209" s="191"/>
      <c r="B209" s="27"/>
      <c r="C209" s="27"/>
      <c r="D209" s="27"/>
      <c r="E209" s="27"/>
      <c r="F209" s="27"/>
      <c r="G209" s="27"/>
      <c r="H209" s="27"/>
      <c r="I209" s="27"/>
      <c r="J209" s="27"/>
      <c r="K209" s="27"/>
    </row>
    <row r="210" spans="1:11" x14ac:dyDescent="0.25">
      <c r="A210" s="191"/>
      <c r="B210" s="27"/>
      <c r="C210" s="27"/>
      <c r="D210" s="27"/>
      <c r="E210" s="27"/>
      <c r="F210" s="27"/>
      <c r="G210" s="27"/>
      <c r="H210" s="27"/>
      <c r="I210" s="27"/>
      <c r="J210" s="27"/>
      <c r="K210" s="27"/>
    </row>
    <row r="211" spans="1:11" x14ac:dyDescent="0.25">
      <c r="A211" s="191"/>
      <c r="B211" s="27"/>
      <c r="C211" s="27"/>
      <c r="D211" s="27"/>
      <c r="E211" s="27"/>
      <c r="F211" s="27"/>
      <c r="G211" s="27"/>
      <c r="H211" s="27"/>
      <c r="I211" s="27"/>
      <c r="J211" s="27"/>
      <c r="K211" s="27"/>
    </row>
    <row r="212" spans="1:11" x14ac:dyDescent="0.25">
      <c r="A212" s="191"/>
      <c r="B212" s="27"/>
      <c r="C212" s="27"/>
      <c r="D212" s="27"/>
      <c r="E212" s="27"/>
      <c r="F212" s="27"/>
      <c r="G212" s="27"/>
      <c r="H212" s="27"/>
      <c r="I212" s="27"/>
      <c r="J212" s="27"/>
      <c r="K212" s="27"/>
    </row>
    <row r="213" spans="1:11" x14ac:dyDescent="0.25">
      <c r="A213" s="191"/>
      <c r="B213" s="27"/>
      <c r="C213" s="27"/>
      <c r="D213" s="27"/>
      <c r="E213" s="27"/>
      <c r="F213" s="27"/>
      <c r="G213" s="27"/>
      <c r="H213" s="27"/>
      <c r="I213" s="27"/>
      <c r="J213" s="27"/>
      <c r="K213" s="27"/>
    </row>
    <row r="214" spans="1:11" x14ac:dyDescent="0.25">
      <c r="A214" s="191"/>
      <c r="B214" s="27"/>
      <c r="C214" s="27"/>
      <c r="D214" s="27"/>
      <c r="E214" s="27"/>
      <c r="F214" s="27"/>
      <c r="G214" s="27"/>
      <c r="H214" s="27"/>
      <c r="I214" s="27"/>
      <c r="J214" s="27"/>
      <c r="K214" s="27"/>
    </row>
    <row r="215" spans="1:11" x14ac:dyDescent="0.25">
      <c r="A215" s="191"/>
      <c r="B215" s="27"/>
      <c r="C215" s="27"/>
      <c r="D215" s="27"/>
      <c r="E215" s="27"/>
      <c r="F215" s="27"/>
      <c r="G215" s="27"/>
      <c r="H215" s="27"/>
      <c r="I215" s="27"/>
      <c r="J215" s="27"/>
      <c r="K215" s="27"/>
    </row>
    <row r="216" spans="1:11" x14ac:dyDescent="0.25">
      <c r="A216" s="191"/>
      <c r="B216" s="27"/>
      <c r="C216" s="27"/>
      <c r="D216" s="27"/>
      <c r="E216" s="27"/>
      <c r="F216" s="27"/>
      <c r="G216" s="27"/>
      <c r="H216" s="27"/>
      <c r="I216" s="27"/>
      <c r="J216" s="27"/>
      <c r="K216" s="27"/>
    </row>
    <row r="217" spans="1:11" x14ac:dyDescent="0.25">
      <c r="A217" s="191"/>
      <c r="B217" s="27"/>
      <c r="C217" s="27"/>
      <c r="D217" s="27"/>
      <c r="E217" s="27"/>
      <c r="F217" s="27"/>
      <c r="G217" s="27"/>
      <c r="H217" s="27"/>
      <c r="I217" s="27"/>
      <c r="J217" s="27"/>
      <c r="K217" s="27"/>
    </row>
    <row r="218" spans="1:11" x14ac:dyDescent="0.25">
      <c r="A218" s="191"/>
      <c r="B218" s="27"/>
      <c r="C218" s="27"/>
      <c r="D218" s="27"/>
      <c r="E218" s="27"/>
      <c r="F218" s="27"/>
      <c r="G218" s="27"/>
      <c r="H218" s="27"/>
      <c r="I218" s="27"/>
      <c r="J218" s="27"/>
      <c r="K218" s="27"/>
    </row>
    <row r="219" spans="1:11" x14ac:dyDescent="0.25">
      <c r="A219" s="191"/>
      <c r="B219" s="27"/>
      <c r="C219" s="27"/>
      <c r="D219" s="27"/>
      <c r="E219" s="27"/>
      <c r="F219" s="27"/>
      <c r="G219" s="27"/>
      <c r="H219" s="27"/>
      <c r="I219" s="27"/>
      <c r="J219" s="27"/>
      <c r="K219" s="27"/>
    </row>
    <row r="220" spans="1:11" x14ac:dyDescent="0.25">
      <c r="A220" s="191"/>
      <c r="B220" s="27"/>
      <c r="C220" s="27"/>
      <c r="D220" s="27"/>
      <c r="E220" s="27"/>
      <c r="F220" s="27"/>
      <c r="G220" s="27"/>
      <c r="H220" s="27"/>
      <c r="I220" s="27"/>
      <c r="J220" s="27"/>
      <c r="K220" s="27"/>
    </row>
    <row r="221" spans="1:11" x14ac:dyDescent="0.25">
      <c r="A221" s="191"/>
      <c r="B221" s="27"/>
      <c r="C221" s="27"/>
      <c r="D221" s="27"/>
      <c r="E221" s="27"/>
      <c r="F221" s="27"/>
      <c r="G221" s="27"/>
      <c r="H221" s="27"/>
      <c r="I221" s="27"/>
      <c r="J221" s="27"/>
      <c r="K221" s="27"/>
    </row>
    <row r="222" spans="1:11" x14ac:dyDescent="0.25">
      <c r="A222" s="191"/>
      <c r="B222" s="27"/>
      <c r="C222" s="27"/>
      <c r="D222" s="27"/>
      <c r="E222" s="27"/>
      <c r="F222" s="27"/>
      <c r="G222" s="27"/>
      <c r="H222" s="27"/>
      <c r="I222" s="27"/>
      <c r="J222" s="27"/>
      <c r="K222" s="27"/>
    </row>
    <row r="223" spans="1:11" x14ac:dyDescent="0.25">
      <c r="A223" s="191"/>
      <c r="B223" s="27"/>
      <c r="C223" s="27"/>
      <c r="D223" s="27"/>
      <c r="E223" s="27"/>
      <c r="F223" s="27"/>
      <c r="G223" s="27"/>
      <c r="H223" s="27"/>
      <c r="I223" s="27"/>
      <c r="J223" s="27"/>
      <c r="K223" s="27"/>
    </row>
    <row r="224" spans="1:11" x14ac:dyDescent="0.25">
      <c r="A224" s="191"/>
      <c r="B224" s="27"/>
      <c r="C224" s="27"/>
      <c r="D224" s="27"/>
      <c r="E224" s="27"/>
      <c r="F224" s="27"/>
      <c r="G224" s="27"/>
      <c r="H224" s="27"/>
      <c r="I224" s="27"/>
      <c r="J224" s="27"/>
      <c r="K224" s="27"/>
    </row>
    <row r="225" spans="1:11" x14ac:dyDescent="0.25">
      <c r="A225" s="191"/>
      <c r="B225" s="27"/>
      <c r="C225" s="27"/>
      <c r="D225" s="27"/>
      <c r="E225" s="27"/>
      <c r="F225" s="27"/>
      <c r="G225" s="27"/>
      <c r="H225" s="27"/>
      <c r="I225" s="27"/>
      <c r="J225" s="27"/>
      <c r="K225" s="27"/>
    </row>
    <row r="226" spans="1:11" x14ac:dyDescent="0.25">
      <c r="A226" s="191"/>
      <c r="B226" s="27"/>
      <c r="C226" s="27"/>
      <c r="D226" s="27"/>
      <c r="E226" s="27"/>
      <c r="F226" s="27"/>
      <c r="G226" s="27"/>
      <c r="H226" s="27"/>
      <c r="I226" s="27"/>
      <c r="J226" s="27"/>
      <c r="K226" s="27"/>
    </row>
    <row r="227" spans="1:11" x14ac:dyDescent="0.25">
      <c r="A227" s="191"/>
      <c r="B227" s="27"/>
      <c r="C227" s="27"/>
      <c r="D227" s="27"/>
      <c r="E227" s="27"/>
      <c r="F227" s="27"/>
      <c r="G227" s="27"/>
      <c r="H227" s="27"/>
      <c r="I227" s="27"/>
      <c r="J227" s="27"/>
      <c r="K227" s="27"/>
    </row>
    <row r="228" spans="1:11" x14ac:dyDescent="0.25">
      <c r="A228" s="191"/>
      <c r="B228" s="27"/>
      <c r="C228" s="27"/>
      <c r="D228" s="27"/>
      <c r="E228" s="27"/>
      <c r="F228" s="27"/>
      <c r="G228" s="27"/>
      <c r="H228" s="27"/>
      <c r="I228" s="27"/>
      <c r="J228" s="27"/>
      <c r="K228" s="27"/>
    </row>
    <row r="229" spans="1:11" x14ac:dyDescent="0.25">
      <c r="A229" s="191"/>
      <c r="B229" s="27"/>
      <c r="C229" s="27"/>
      <c r="D229" s="27"/>
      <c r="E229" s="27"/>
      <c r="F229" s="27"/>
      <c r="G229" s="27"/>
      <c r="H229" s="27"/>
      <c r="I229" s="27"/>
      <c r="J229" s="27"/>
      <c r="K229" s="27"/>
    </row>
    <row r="230" spans="1:11" x14ac:dyDescent="0.25">
      <c r="A230" s="191"/>
      <c r="B230" s="27"/>
      <c r="C230" s="27"/>
      <c r="D230" s="27"/>
      <c r="E230" s="27"/>
      <c r="F230" s="27"/>
      <c r="G230" s="27"/>
      <c r="H230" s="27"/>
      <c r="I230" s="27"/>
      <c r="J230" s="27"/>
      <c r="K230" s="27"/>
    </row>
    <row r="231" spans="1:11" x14ac:dyDescent="0.25">
      <c r="A231" s="191"/>
      <c r="B231" s="27"/>
      <c r="C231" s="27"/>
      <c r="D231" s="27"/>
      <c r="E231" s="27"/>
      <c r="F231" s="27"/>
      <c r="G231" s="27"/>
      <c r="H231" s="27"/>
      <c r="I231" s="27"/>
      <c r="J231" s="27"/>
      <c r="K231" s="27"/>
    </row>
    <row r="232" spans="1:11" x14ac:dyDescent="0.25">
      <c r="A232" s="191"/>
      <c r="B232" s="27"/>
      <c r="C232" s="27"/>
      <c r="D232" s="27"/>
      <c r="E232" s="27"/>
      <c r="F232" s="27"/>
      <c r="G232" s="27"/>
      <c r="H232" s="27"/>
      <c r="I232" s="27"/>
      <c r="J232" s="27"/>
      <c r="K232" s="27"/>
    </row>
    <row r="233" spans="1:11" x14ac:dyDescent="0.25">
      <c r="A233" s="191"/>
      <c r="B233" s="27"/>
      <c r="C233" s="27"/>
      <c r="D233" s="27"/>
      <c r="E233" s="27"/>
      <c r="F233" s="27"/>
      <c r="G233" s="27"/>
      <c r="H233" s="27"/>
      <c r="I233" s="27"/>
      <c r="J233" s="27"/>
      <c r="K233" s="27"/>
    </row>
    <row r="234" spans="1:11" x14ac:dyDescent="0.25">
      <c r="A234" s="191"/>
      <c r="B234" s="27"/>
      <c r="C234" s="27"/>
      <c r="D234" s="27"/>
      <c r="E234" s="27"/>
      <c r="F234" s="27"/>
      <c r="G234" s="27"/>
      <c r="H234" s="27"/>
      <c r="I234" s="27"/>
      <c r="J234" s="27"/>
      <c r="K234" s="27"/>
    </row>
    <row r="235" spans="1:11" x14ac:dyDescent="0.25">
      <c r="A235" s="191"/>
      <c r="B235" s="27"/>
      <c r="C235" s="27"/>
      <c r="D235" s="27"/>
      <c r="E235" s="27"/>
      <c r="F235" s="27"/>
      <c r="G235" s="27"/>
      <c r="H235" s="27"/>
      <c r="I235" s="27"/>
      <c r="J235" s="27"/>
      <c r="K235" s="27"/>
    </row>
    <row r="236" spans="1:11" x14ac:dyDescent="0.25">
      <c r="A236" s="191"/>
      <c r="B236" s="27"/>
      <c r="C236" s="27"/>
      <c r="D236" s="27"/>
      <c r="E236" s="27"/>
      <c r="F236" s="27"/>
      <c r="G236" s="27"/>
      <c r="H236" s="27"/>
      <c r="I236" s="27"/>
      <c r="J236" s="27"/>
      <c r="K236" s="27"/>
    </row>
    <row r="237" spans="1:11" x14ac:dyDescent="0.25">
      <c r="A237" s="191"/>
      <c r="B237" s="27"/>
      <c r="C237" s="27"/>
      <c r="D237" s="27"/>
      <c r="E237" s="27"/>
      <c r="F237" s="27"/>
      <c r="G237" s="27"/>
      <c r="H237" s="27"/>
      <c r="I237" s="27"/>
      <c r="J237" s="27"/>
      <c r="K237" s="27"/>
    </row>
    <row r="238" spans="1:11" x14ac:dyDescent="0.25">
      <c r="A238" s="191"/>
      <c r="B238" s="27"/>
      <c r="C238" s="27"/>
      <c r="D238" s="27"/>
      <c r="E238" s="27"/>
      <c r="F238" s="27"/>
      <c r="G238" s="27"/>
      <c r="H238" s="27"/>
      <c r="I238" s="27"/>
      <c r="J238" s="27"/>
      <c r="K238" s="27"/>
    </row>
    <row r="239" spans="1:11" x14ac:dyDescent="0.25">
      <c r="A239" s="191"/>
      <c r="B239" s="27"/>
      <c r="C239" s="27"/>
      <c r="D239" s="27"/>
      <c r="E239" s="27"/>
      <c r="F239" s="27"/>
      <c r="G239" s="27"/>
      <c r="H239" s="27"/>
      <c r="I239" s="27"/>
      <c r="J239" s="27"/>
      <c r="K239" s="27"/>
    </row>
    <row r="240" spans="1:11" x14ac:dyDescent="0.25">
      <c r="A240" s="191"/>
      <c r="B240" s="27"/>
      <c r="C240" s="27"/>
      <c r="D240" s="27"/>
      <c r="E240" s="27"/>
      <c r="F240" s="27"/>
      <c r="G240" s="27"/>
      <c r="H240" s="27"/>
      <c r="I240" s="27"/>
      <c r="J240" s="27"/>
      <c r="K240" s="27"/>
    </row>
    <row r="241" spans="1:11" x14ac:dyDescent="0.25">
      <c r="A241" s="191"/>
      <c r="B241" s="27"/>
      <c r="C241" s="27"/>
      <c r="D241" s="27"/>
      <c r="E241" s="27"/>
      <c r="F241" s="27"/>
      <c r="G241" s="27"/>
      <c r="H241" s="27"/>
      <c r="I241" s="27"/>
      <c r="J241" s="27"/>
      <c r="K241" s="27"/>
    </row>
  </sheetData>
  <sheetProtection algorithmName="SHA-512" hashValue="aqU7ZHWy7sR2QKBwBDtFgi/HXiWdbtgjp4MsH1+th2JQ4MpMQbeUYvDscbawVL3NBLzIKzP8nqnKiD+hH1Z+bg==" saltValue="8bs4VGiU/0/tHlPI6DxLBw==" spinCount="100000" sheet="1" objects="1" scenarios="1"/>
  <mergeCells count="8">
    <mergeCell ref="N69:V69"/>
    <mergeCell ref="A5:J5"/>
    <mergeCell ref="M5:V5"/>
    <mergeCell ref="N68:V68"/>
    <mergeCell ref="A1:AC1"/>
    <mergeCell ref="A61:W61"/>
    <mergeCell ref="M30:M60"/>
    <mergeCell ref="M7:M29"/>
  </mergeCells>
  <conditionalFormatting sqref="N63:V63">
    <cfRule type="cellIs" dxfId="87" priority="6" operator="equal">
      <formula>$W$63</formula>
    </cfRule>
  </conditionalFormatting>
  <conditionalFormatting sqref="N64:V64">
    <cfRule type="cellIs" dxfId="86" priority="2" operator="equal">
      <formula>$W$64</formula>
    </cfRule>
    <cfRule type="cellIs" dxfId="85" priority="5" operator="equal">
      <formula>#REF!</formula>
    </cfRule>
  </conditionalFormatting>
  <conditionalFormatting sqref="N65:V65">
    <cfRule type="cellIs" dxfId="84" priority="1" operator="equal">
      <formula>$W$65</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33"/>
  <sheetViews>
    <sheetView zoomScale="85" zoomScaleNormal="85" workbookViewId="0">
      <selection activeCell="A20" sqref="A20"/>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7" t="str">
        <f>Mesures_Four!G27</f>
        <v>535°C</v>
      </c>
      <c r="B1" s="378"/>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row>
    <row r="2" spans="1:29" x14ac:dyDescent="0.25">
      <c r="A2" s="145"/>
      <c r="B2" s="134"/>
      <c r="C2" s="134"/>
      <c r="D2" s="134"/>
      <c r="E2" s="134"/>
      <c r="F2" s="134"/>
      <c r="G2" s="134"/>
      <c r="H2" s="134"/>
      <c r="I2" s="134"/>
      <c r="J2" s="134"/>
      <c r="M2" s="211" t="s">
        <v>87</v>
      </c>
      <c r="N2" s="44">
        <f>_xlfn.XLOOKUP(INT(SUBSTITUTE(N6,"Connecteur ", "")),Mesures_Four!C40:C48,Mesures_Four!G40:G48)</f>
        <v>0.24</v>
      </c>
      <c r="O2" s="44">
        <f>_xlfn.XLOOKUP(INT(SUBSTITUTE(O6,"Connecteur ", "")),Mesures_Four!C40:C48,Mesures_Four!G40:G48)</f>
        <v>0.12</v>
      </c>
      <c r="P2" s="44">
        <f>_xlfn.XLOOKUP(INT(SUBSTITUTE(P6,"Connecteur ", "")),Mesures_Four!C40:C48,Mesures_Four!G40:G48)</f>
        <v>0.25</v>
      </c>
      <c r="Q2" s="44">
        <f>_xlfn.XLOOKUP(INT(SUBSTITUTE(Q6,"Connecteur ", "")),Mesures_Four!C40:C48,Mesures_Four!G40:G48)</f>
        <v>0.3</v>
      </c>
      <c r="R2" s="44">
        <f>_xlfn.XLOOKUP(INT(SUBSTITUTE(R6,"Connecteur ", "")),Mesures_Four!C40:C48,Mesures_Four!G40:G48)</f>
        <v>0.22</v>
      </c>
      <c r="S2" s="44">
        <f>_xlfn.XLOOKUP(INT(SUBSTITUTE(S6,"Connecteur ", "")),Mesures_Four!C40:C48,Mesures_Four!G40:G48)</f>
        <v>0.43</v>
      </c>
      <c r="T2" s="44">
        <f>_xlfn.XLOOKUP(INT(SUBSTITUTE(T6,"Connecteur ", "")),Mesures_Four!C40:C48,Mesures_Four!G40:G48)</f>
        <v>0.21</v>
      </c>
      <c r="U2" s="44">
        <f>_xlfn.XLOOKUP(INT(SUBSTITUTE(U6,"Connecteur ", "")),Mesures_Four!C40:C48,Mesures_Four!G40:G48)</f>
        <v>0.23</v>
      </c>
      <c r="V2" s="44">
        <f>_xlfn.XLOOKUP(INT(SUBSTITUTE(V6,"Connecteur ", "")),Mesures_Four!C40:C48,Mesures_Four!G40:G48)</f>
        <v>0.35</v>
      </c>
      <c r="W2" s="210"/>
      <c r="X2" s="210"/>
      <c r="Y2" s="158"/>
    </row>
    <row r="3" spans="1:29" x14ac:dyDescent="0.25">
      <c r="B3" s="134"/>
      <c r="C3" s="134"/>
      <c r="D3" s="134"/>
      <c r="E3" s="134"/>
      <c r="F3" s="134"/>
      <c r="G3" s="134"/>
      <c r="H3" s="134"/>
      <c r="I3" s="134"/>
      <c r="J3" s="134"/>
      <c r="M3" s="211" t="s">
        <v>23</v>
      </c>
      <c r="N3" s="44" cm="1">
        <f t="array" ref="N3">_xlfn.XLOOKUP(INT(SUBSTITUTE(N6,"Connecteur ", "")),INT(Mesures_Four!B28:B36),Mesures_Four!G28:G36)</f>
        <v>-0.12</v>
      </c>
      <c r="O3" s="44" cm="1">
        <f t="array" ref="O3">_xlfn.XLOOKUP(INT(SUBSTITUTE(O6,"Connecteur ", "")),INT(Mesures_Four!B28:B36),Mesures_Four!G28:G36)</f>
        <v>-0.12</v>
      </c>
      <c r="P3" s="44" cm="1">
        <f t="array" ref="P3">_xlfn.XLOOKUP(INT(SUBSTITUTE(P6,"Connecteur ", "")),INT(Mesures_Four!B28:B36),Mesures_Four!G28:G36)</f>
        <v>-0.12</v>
      </c>
      <c r="Q3" s="44" cm="1">
        <f t="array" ref="Q3">_xlfn.XLOOKUP(INT(SUBSTITUTE(Q6,"Connecteur ", "")),INT(Mesures_Four!B28:B36),Mesures_Four!G28:G36)</f>
        <v>-0.12</v>
      </c>
      <c r="R3" s="44" cm="1">
        <f t="array" ref="R3">_xlfn.XLOOKUP(INT(SUBSTITUTE(R6,"Connecteur ", "")),INT(Mesures_Four!B28:B36),Mesures_Four!G28:G36)</f>
        <v>0.33</v>
      </c>
      <c r="S3" s="44" cm="1">
        <f t="array" ref="S3">_xlfn.XLOOKUP(INT(SUBSTITUTE(S6,"Connecteur ", "")),INT(Mesures_Four!B28:B36),Mesures_Four!G28:G36)</f>
        <v>-0.12</v>
      </c>
      <c r="T3" s="44" cm="1">
        <f t="array" ref="T3">_xlfn.XLOOKUP(INT(SUBSTITUTE(T6,"Connecteur ", "")),INT(Mesures_Four!B28:B36),Mesures_Four!G28:G36)</f>
        <v>-0.12</v>
      </c>
      <c r="U3" s="44" cm="1">
        <f t="array" ref="U3">_xlfn.XLOOKUP(INT(SUBSTITUTE(U6,"Connecteur ", "")),INT(Mesures_Four!B28:B36),Mesures_Four!G28:G36)</f>
        <v>-0.12</v>
      </c>
      <c r="V3" s="44" cm="1">
        <f t="array" ref="V3">_xlfn.XLOOKUP(INT(SUBSTITUTE(V6,"Connecteur ", "")),INT(Mesures_Four!B28:B36),Mesures_Four!G28:G36)</f>
        <v>-0.12</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4" t="s">
        <v>330</v>
      </c>
      <c r="B5" s="374"/>
      <c r="C5" s="374"/>
      <c r="D5" s="374"/>
      <c r="E5" s="374"/>
      <c r="F5" s="374"/>
      <c r="G5" s="374"/>
      <c r="H5" s="374"/>
      <c r="I5" s="374"/>
      <c r="J5" s="374"/>
      <c r="M5" s="374" t="s">
        <v>88</v>
      </c>
      <c r="N5" s="374"/>
      <c r="O5" s="374"/>
      <c r="P5" s="374"/>
      <c r="Q5" s="374"/>
      <c r="R5" s="374"/>
      <c r="S5" s="374"/>
      <c r="T5" s="374"/>
      <c r="U5" s="374"/>
      <c r="V5" s="374"/>
      <c r="AA5"/>
      <c r="AB5"/>
      <c r="AC5"/>
    </row>
    <row r="6" spans="1:29" x14ac:dyDescent="0.25">
      <c r="A6" s="214" t="str" cm="1">
        <f t="array" ref="A6:J64">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329</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64">tab_four535[[#All],[Consigne T°]]</f>
        <v>Consigne T°</v>
      </c>
      <c r="Z6" s="201" t="str" cm="1">
        <f t="array" ref="Z6:AC64">tab_four535[[#All],[Date/Heure]:[Pt Chaud]]</f>
        <v>Date/Heure</v>
      </c>
      <c r="AA6" s="201" t="str">
        <v>Pt Froid</v>
      </c>
      <c r="AB6" s="201" t="str">
        <v>Regulation</v>
      </c>
      <c r="AC6" s="201" t="str">
        <v>Pt Chaud</v>
      </c>
    </row>
    <row r="7" spans="1:29" ht="14.45" customHeight="1" x14ac:dyDescent="0.25">
      <c r="A7" s="23" t="str">
        <v>21/02/2024  04:49</v>
      </c>
      <c r="B7">
        <v>491.71</v>
      </c>
      <c r="C7">
        <v>490.18</v>
      </c>
      <c r="D7">
        <v>490.24</v>
      </c>
      <c r="E7">
        <v>491.95</v>
      </c>
      <c r="F7">
        <v>491.02</v>
      </c>
      <c r="G7">
        <v>494.49</v>
      </c>
      <c r="H7">
        <v>491.95</v>
      </c>
      <c r="I7">
        <v>495.53</v>
      </c>
      <c r="J7">
        <v>492.21</v>
      </c>
      <c r="K7" s="216"/>
      <c r="M7" s="504" t="s">
        <v>328</v>
      </c>
      <c r="N7" s="205" cm="1">
        <f t="array" ref="N7:V64">tab_transfert535[[Connecteur 1]:[Connecteur 9]]+N2:V2+N3:V3</f>
        <v>491.83</v>
      </c>
      <c r="O7" s="205">
        <v>490.18</v>
      </c>
      <c r="P7" s="205">
        <v>490.37</v>
      </c>
      <c r="Q7" s="205">
        <v>492.13</v>
      </c>
      <c r="R7" s="205">
        <v>491.57</v>
      </c>
      <c r="S7" s="205">
        <v>494.8</v>
      </c>
      <c r="T7" s="205">
        <v>492.03999999999996</v>
      </c>
      <c r="U7" s="205">
        <v>495.64</v>
      </c>
      <c r="V7" s="205">
        <v>492.44</v>
      </c>
      <c r="W7" s="213">
        <v>535</v>
      </c>
      <c r="Z7" s="23" t="str">
        <v>21/02/2024  04:49</v>
      </c>
      <c r="AA7">
        <v>489.3</v>
      </c>
      <c r="AB7">
        <v>486.5</v>
      </c>
      <c r="AC7">
        <v>485.8</v>
      </c>
    </row>
    <row r="8" spans="1:29" ht="14.45" customHeight="1" x14ac:dyDescent="0.25">
      <c r="A8" s="23" t="str">
        <v>21/02/2024  04:50</v>
      </c>
      <c r="B8">
        <v>494.21</v>
      </c>
      <c r="C8">
        <v>492.76</v>
      </c>
      <c r="D8">
        <v>492.65</v>
      </c>
      <c r="E8">
        <v>494.49</v>
      </c>
      <c r="F8">
        <v>493.7</v>
      </c>
      <c r="G8">
        <v>496.74</v>
      </c>
      <c r="H8">
        <v>494.44</v>
      </c>
      <c r="I8">
        <v>497.93</v>
      </c>
      <c r="J8">
        <v>494.77</v>
      </c>
      <c r="K8" s="216"/>
      <c r="M8" s="504"/>
      <c r="N8" s="205">
        <v>494.33</v>
      </c>
      <c r="O8" s="205">
        <v>492.76</v>
      </c>
      <c r="P8" s="205">
        <v>492.78</v>
      </c>
      <c r="Q8" s="205">
        <v>494.67</v>
      </c>
      <c r="R8" s="205">
        <v>494.25</v>
      </c>
      <c r="S8" s="205">
        <v>497.05</v>
      </c>
      <c r="T8" s="205">
        <v>494.53</v>
      </c>
      <c r="U8" s="205">
        <v>498.04</v>
      </c>
      <c r="V8" s="205">
        <v>495</v>
      </c>
      <c r="W8" s="213">
        <v>535</v>
      </c>
      <c r="Z8" s="23" t="str">
        <v>21/02/2024  04:50</v>
      </c>
      <c r="AA8">
        <v>491.8</v>
      </c>
      <c r="AB8">
        <v>488.9</v>
      </c>
      <c r="AC8">
        <v>488.2</v>
      </c>
    </row>
    <row r="9" spans="1:29" ht="14.45" customHeight="1" x14ac:dyDescent="0.25">
      <c r="A9" s="23" t="str">
        <v>21/02/2024  04:51</v>
      </c>
      <c r="B9">
        <v>496.66</v>
      </c>
      <c r="C9">
        <v>495.14</v>
      </c>
      <c r="D9">
        <v>495.15</v>
      </c>
      <c r="E9">
        <v>496.98</v>
      </c>
      <c r="F9">
        <v>495.88</v>
      </c>
      <c r="G9">
        <v>499.19</v>
      </c>
      <c r="H9">
        <v>496.99</v>
      </c>
      <c r="I9">
        <v>500.37</v>
      </c>
      <c r="J9">
        <v>497.15</v>
      </c>
      <c r="K9" s="216"/>
      <c r="M9" s="504"/>
      <c r="N9" s="205">
        <v>496.78000000000003</v>
      </c>
      <c r="O9" s="205">
        <v>495.14</v>
      </c>
      <c r="P9" s="205">
        <v>495.28</v>
      </c>
      <c r="Q9" s="205">
        <v>497.16</v>
      </c>
      <c r="R9" s="205">
        <v>496.43</v>
      </c>
      <c r="S9" s="205">
        <v>499.5</v>
      </c>
      <c r="T9" s="205">
        <v>497.08</v>
      </c>
      <c r="U9" s="205">
        <v>500.48</v>
      </c>
      <c r="V9" s="205">
        <v>497.38</v>
      </c>
      <c r="W9" s="213">
        <v>535</v>
      </c>
      <c r="Z9" s="23" t="str">
        <v>21/02/2024  04:51</v>
      </c>
      <c r="AA9">
        <v>494.1</v>
      </c>
      <c r="AB9">
        <v>491.5</v>
      </c>
      <c r="AC9">
        <v>490.6</v>
      </c>
    </row>
    <row r="10" spans="1:29" ht="14.45" customHeight="1" x14ac:dyDescent="0.25">
      <c r="A10" s="23" t="str">
        <v>21/02/2024  04:52</v>
      </c>
      <c r="B10">
        <v>499.07</v>
      </c>
      <c r="C10">
        <v>497.63</v>
      </c>
      <c r="D10">
        <v>497.7</v>
      </c>
      <c r="E10">
        <v>499.39</v>
      </c>
      <c r="F10">
        <v>498.37</v>
      </c>
      <c r="G10">
        <v>501.79</v>
      </c>
      <c r="H10">
        <v>499.39</v>
      </c>
      <c r="I10">
        <v>502.77</v>
      </c>
      <c r="J10">
        <v>499.64</v>
      </c>
      <c r="K10" s="216"/>
      <c r="M10" s="504"/>
      <c r="N10" s="205">
        <v>499.19</v>
      </c>
      <c r="O10" s="205">
        <v>497.63</v>
      </c>
      <c r="P10" s="205">
        <v>497.83</v>
      </c>
      <c r="Q10" s="205">
        <v>499.57</v>
      </c>
      <c r="R10" s="205">
        <v>498.92</v>
      </c>
      <c r="S10" s="205">
        <v>502.1</v>
      </c>
      <c r="T10" s="205">
        <v>499.47999999999996</v>
      </c>
      <c r="U10" s="205">
        <v>502.88</v>
      </c>
      <c r="V10" s="205">
        <v>499.87</v>
      </c>
      <c r="W10" s="213">
        <v>535</v>
      </c>
      <c r="Z10" s="23" t="str">
        <v>21/02/2024  04:52</v>
      </c>
      <c r="AA10">
        <v>496.6</v>
      </c>
      <c r="AB10">
        <v>493.9</v>
      </c>
      <c r="AC10">
        <v>493</v>
      </c>
    </row>
    <row r="11" spans="1:29" ht="14.45" customHeight="1" x14ac:dyDescent="0.25">
      <c r="A11" s="23" t="str">
        <v>21/02/2024  04:53</v>
      </c>
      <c r="B11">
        <v>501.51</v>
      </c>
      <c r="C11">
        <v>500.06</v>
      </c>
      <c r="D11">
        <v>500.07</v>
      </c>
      <c r="E11">
        <v>501.84</v>
      </c>
      <c r="F11">
        <v>500.78</v>
      </c>
      <c r="G11">
        <v>504.01</v>
      </c>
      <c r="H11">
        <v>501.76</v>
      </c>
      <c r="I11">
        <v>505.15</v>
      </c>
      <c r="J11">
        <v>502.11</v>
      </c>
      <c r="K11" s="216"/>
      <c r="M11" s="504"/>
      <c r="N11" s="205">
        <v>501.63</v>
      </c>
      <c r="O11" s="205">
        <v>500.06</v>
      </c>
      <c r="P11" s="205">
        <v>500.2</v>
      </c>
      <c r="Q11" s="205">
        <v>502.02</v>
      </c>
      <c r="R11" s="205">
        <v>501.33</v>
      </c>
      <c r="S11" s="205">
        <v>504.32</v>
      </c>
      <c r="T11" s="205">
        <v>501.84999999999997</v>
      </c>
      <c r="U11" s="205">
        <v>505.26</v>
      </c>
      <c r="V11" s="205">
        <v>502.34000000000003</v>
      </c>
      <c r="W11" s="213">
        <v>535</v>
      </c>
      <c r="Z11" s="23" t="str">
        <v>21/02/2024  04:53</v>
      </c>
      <c r="AA11">
        <v>499</v>
      </c>
      <c r="AB11">
        <v>496.4</v>
      </c>
      <c r="AC11">
        <v>495.4</v>
      </c>
    </row>
    <row r="12" spans="1:29" ht="14.45" customHeight="1" x14ac:dyDescent="0.25">
      <c r="A12" s="23" t="str">
        <v>21/02/2024  04:54</v>
      </c>
      <c r="B12">
        <v>503.93</v>
      </c>
      <c r="C12">
        <v>502.48</v>
      </c>
      <c r="D12">
        <v>502.58</v>
      </c>
      <c r="E12">
        <v>504.23</v>
      </c>
      <c r="F12">
        <v>503.19</v>
      </c>
      <c r="G12">
        <v>506.41</v>
      </c>
      <c r="H12">
        <v>504.18</v>
      </c>
      <c r="I12">
        <v>507.59</v>
      </c>
      <c r="J12">
        <v>504.47</v>
      </c>
      <c r="K12" s="216"/>
      <c r="M12" s="504"/>
      <c r="N12" s="205">
        <v>504.05</v>
      </c>
      <c r="O12" s="205">
        <v>502.48</v>
      </c>
      <c r="P12" s="205">
        <v>502.71</v>
      </c>
      <c r="Q12" s="205">
        <v>504.41</v>
      </c>
      <c r="R12" s="205">
        <v>503.74</v>
      </c>
      <c r="S12" s="205">
        <v>506.72</v>
      </c>
      <c r="T12" s="205">
        <v>504.27</v>
      </c>
      <c r="U12" s="205">
        <v>507.7</v>
      </c>
      <c r="V12" s="205">
        <v>504.70000000000005</v>
      </c>
      <c r="W12" s="213">
        <v>535</v>
      </c>
      <c r="Z12" s="23" t="str">
        <v>21/02/2024  04:54</v>
      </c>
      <c r="AA12">
        <v>501.4</v>
      </c>
      <c r="AB12">
        <v>498.8</v>
      </c>
      <c r="AC12">
        <v>497.8</v>
      </c>
    </row>
    <row r="13" spans="1:29" ht="14.45" customHeight="1" x14ac:dyDescent="0.25">
      <c r="A13" s="23" t="str">
        <v>21/02/2024  04:55</v>
      </c>
      <c r="B13">
        <v>506.39</v>
      </c>
      <c r="C13">
        <v>505.05</v>
      </c>
      <c r="D13">
        <v>504.96</v>
      </c>
      <c r="E13">
        <v>506.62</v>
      </c>
      <c r="F13">
        <v>505.67</v>
      </c>
      <c r="G13">
        <v>508.69</v>
      </c>
      <c r="H13">
        <v>506.65</v>
      </c>
      <c r="I13">
        <v>509.9</v>
      </c>
      <c r="J13">
        <v>506.82</v>
      </c>
      <c r="K13" s="216"/>
      <c r="M13" s="504"/>
      <c r="N13" s="205">
        <v>506.51</v>
      </c>
      <c r="O13" s="205">
        <v>505.05</v>
      </c>
      <c r="P13" s="205">
        <v>505.09</v>
      </c>
      <c r="Q13" s="205">
        <v>506.8</v>
      </c>
      <c r="R13" s="205">
        <v>506.22</v>
      </c>
      <c r="S13" s="205">
        <v>509</v>
      </c>
      <c r="T13" s="205">
        <v>506.73999999999995</v>
      </c>
      <c r="U13" s="205">
        <v>510.01</v>
      </c>
      <c r="V13" s="205">
        <v>507.05</v>
      </c>
      <c r="W13" s="213">
        <v>535</v>
      </c>
      <c r="Z13" s="23" t="str">
        <v>21/02/2024  04:55</v>
      </c>
      <c r="AA13">
        <v>503.6</v>
      </c>
      <c r="AB13">
        <v>501.1</v>
      </c>
      <c r="AC13">
        <v>500.2</v>
      </c>
    </row>
    <row r="14" spans="1:29" ht="14.45" customHeight="1" x14ac:dyDescent="0.25">
      <c r="A14" s="23" t="str">
        <v>21/02/2024  04:56</v>
      </c>
      <c r="B14">
        <v>508.79</v>
      </c>
      <c r="C14">
        <v>507.51</v>
      </c>
      <c r="D14">
        <v>507.36</v>
      </c>
      <c r="E14">
        <v>508.99</v>
      </c>
      <c r="F14">
        <v>507.87</v>
      </c>
      <c r="G14">
        <v>511.08</v>
      </c>
      <c r="H14">
        <v>508.96</v>
      </c>
      <c r="I14">
        <v>512.34</v>
      </c>
      <c r="J14">
        <v>509.27</v>
      </c>
      <c r="K14" s="216"/>
      <c r="M14" s="504"/>
      <c r="N14" s="205">
        <v>508.91</v>
      </c>
      <c r="O14" s="205">
        <v>507.51</v>
      </c>
      <c r="P14" s="205">
        <v>507.49</v>
      </c>
      <c r="Q14" s="205">
        <v>509.17</v>
      </c>
      <c r="R14" s="205">
        <v>508.42</v>
      </c>
      <c r="S14" s="205">
        <v>511.39</v>
      </c>
      <c r="T14" s="205">
        <v>509.04999999999995</v>
      </c>
      <c r="U14" s="205">
        <v>512.45000000000005</v>
      </c>
      <c r="V14" s="205">
        <v>509.5</v>
      </c>
      <c r="W14" s="213">
        <v>535</v>
      </c>
      <c r="Z14" s="23" t="str">
        <v>21/02/2024  04:56</v>
      </c>
      <c r="AA14">
        <v>505.9</v>
      </c>
      <c r="AB14">
        <v>503.4</v>
      </c>
      <c r="AC14">
        <v>502.6</v>
      </c>
    </row>
    <row r="15" spans="1:29" ht="14.45" customHeight="1" x14ac:dyDescent="0.25">
      <c r="A15" s="23" t="str">
        <v>21/02/2024  04:57</v>
      </c>
      <c r="B15">
        <v>511.08</v>
      </c>
      <c r="C15">
        <v>509.71</v>
      </c>
      <c r="D15">
        <v>509.77</v>
      </c>
      <c r="E15">
        <v>511.35</v>
      </c>
      <c r="F15">
        <v>510.21</v>
      </c>
      <c r="G15">
        <v>513.52</v>
      </c>
      <c r="H15">
        <v>511.36</v>
      </c>
      <c r="I15">
        <v>514.66</v>
      </c>
      <c r="J15">
        <v>511.6</v>
      </c>
      <c r="K15" s="216"/>
      <c r="M15" s="504"/>
      <c r="N15" s="205">
        <v>511.2</v>
      </c>
      <c r="O15" s="205">
        <v>509.71</v>
      </c>
      <c r="P15" s="205">
        <v>509.9</v>
      </c>
      <c r="Q15" s="205">
        <v>511.53000000000003</v>
      </c>
      <c r="R15" s="205">
        <v>510.76</v>
      </c>
      <c r="S15" s="205">
        <v>513.82999999999993</v>
      </c>
      <c r="T15" s="205">
        <v>511.45</v>
      </c>
      <c r="U15" s="205">
        <v>514.77</v>
      </c>
      <c r="V15" s="205">
        <v>511.83000000000004</v>
      </c>
      <c r="W15" s="213">
        <v>535</v>
      </c>
      <c r="Z15" s="23" t="str">
        <v>21/02/2024  04:57</v>
      </c>
      <c r="AA15">
        <v>508.4</v>
      </c>
      <c r="AB15">
        <v>505.9</v>
      </c>
      <c r="AC15">
        <v>505</v>
      </c>
    </row>
    <row r="16" spans="1:29" ht="14.45" customHeight="1" x14ac:dyDescent="0.25">
      <c r="A16" s="23" t="str">
        <v>21/02/2024  04:58</v>
      </c>
      <c r="B16">
        <v>513.54999999999995</v>
      </c>
      <c r="C16">
        <v>512.27</v>
      </c>
      <c r="D16">
        <v>512.09</v>
      </c>
      <c r="E16">
        <v>513.71</v>
      </c>
      <c r="F16">
        <v>512.78</v>
      </c>
      <c r="G16">
        <v>515.76</v>
      </c>
      <c r="H16">
        <v>513.64</v>
      </c>
      <c r="I16">
        <v>516.9</v>
      </c>
      <c r="J16">
        <v>514.01</v>
      </c>
      <c r="K16" s="216"/>
      <c r="M16" s="504"/>
      <c r="N16" s="205">
        <v>513.66999999999996</v>
      </c>
      <c r="O16" s="205">
        <v>512.27</v>
      </c>
      <c r="P16" s="205">
        <v>512.22</v>
      </c>
      <c r="Q16" s="205">
        <v>513.89</v>
      </c>
      <c r="R16" s="205">
        <v>513.33000000000004</v>
      </c>
      <c r="S16" s="205">
        <v>516.06999999999994</v>
      </c>
      <c r="T16" s="205">
        <v>513.73</v>
      </c>
      <c r="U16" s="205">
        <v>517.01</v>
      </c>
      <c r="V16" s="205">
        <v>514.24</v>
      </c>
      <c r="W16" s="213">
        <v>535</v>
      </c>
      <c r="Z16" s="23" t="str">
        <v>21/02/2024  04:58</v>
      </c>
      <c r="AA16">
        <v>510.6</v>
      </c>
      <c r="AB16">
        <v>508.3</v>
      </c>
      <c r="AC16">
        <v>507.3</v>
      </c>
    </row>
    <row r="17" spans="1:29" ht="14.45" customHeight="1" x14ac:dyDescent="0.25">
      <c r="A17" s="23" t="str">
        <v>21/02/2024  04:59</v>
      </c>
      <c r="B17">
        <v>515.75</v>
      </c>
      <c r="C17">
        <v>514.44000000000005</v>
      </c>
      <c r="D17">
        <v>514.59</v>
      </c>
      <c r="E17">
        <v>516.01</v>
      </c>
      <c r="F17">
        <v>514.94000000000005</v>
      </c>
      <c r="G17">
        <v>518.1</v>
      </c>
      <c r="H17">
        <v>516.13</v>
      </c>
      <c r="I17">
        <v>519.42999999999995</v>
      </c>
      <c r="J17">
        <v>516.30999999999995</v>
      </c>
      <c r="K17" s="216"/>
      <c r="M17" s="504"/>
      <c r="N17" s="205">
        <v>515.87</v>
      </c>
      <c r="O17" s="205">
        <v>514.44000000000005</v>
      </c>
      <c r="P17" s="205">
        <v>514.72</v>
      </c>
      <c r="Q17" s="205">
        <v>516.18999999999994</v>
      </c>
      <c r="R17" s="205">
        <v>515.49000000000012</v>
      </c>
      <c r="S17" s="205">
        <v>518.41</v>
      </c>
      <c r="T17" s="205">
        <v>516.22</v>
      </c>
      <c r="U17" s="205">
        <v>519.54</v>
      </c>
      <c r="V17" s="205">
        <v>516.54</v>
      </c>
      <c r="W17" s="213">
        <v>535</v>
      </c>
      <c r="Z17" s="23" t="str">
        <v>21/02/2024  04:59</v>
      </c>
      <c r="AA17">
        <v>513</v>
      </c>
      <c r="AB17">
        <v>510.7</v>
      </c>
      <c r="AC17">
        <v>509.5</v>
      </c>
    </row>
    <row r="18" spans="1:29" ht="14.45" customHeight="1" x14ac:dyDescent="0.25">
      <c r="A18" s="23" t="str">
        <v>21/02/2024  05:00</v>
      </c>
      <c r="B18">
        <v>518.14</v>
      </c>
      <c r="C18">
        <v>516.84</v>
      </c>
      <c r="D18">
        <v>516.77</v>
      </c>
      <c r="E18">
        <v>518.38</v>
      </c>
      <c r="F18">
        <v>517.37</v>
      </c>
      <c r="G18">
        <v>520.58000000000004</v>
      </c>
      <c r="H18">
        <v>518.29999999999995</v>
      </c>
      <c r="I18">
        <v>521.6</v>
      </c>
      <c r="J18">
        <v>518.66</v>
      </c>
      <c r="K18" s="216"/>
      <c r="M18" s="504"/>
      <c r="N18" s="205">
        <v>518.26</v>
      </c>
      <c r="O18" s="205">
        <v>516.84</v>
      </c>
      <c r="P18" s="205">
        <v>516.9</v>
      </c>
      <c r="Q18" s="205">
        <v>518.55999999999995</v>
      </c>
      <c r="R18" s="205">
        <v>517.92000000000007</v>
      </c>
      <c r="S18" s="205">
        <v>520.89</v>
      </c>
      <c r="T18" s="205">
        <v>518.39</v>
      </c>
      <c r="U18" s="205">
        <v>521.71</v>
      </c>
      <c r="V18" s="205">
        <v>518.89</v>
      </c>
      <c r="W18" s="213">
        <v>535</v>
      </c>
      <c r="Z18" s="23" t="str">
        <v>21/02/2024  05:00</v>
      </c>
      <c r="AA18">
        <v>515.29999999999995</v>
      </c>
      <c r="AB18">
        <v>513</v>
      </c>
      <c r="AC18">
        <v>511.9</v>
      </c>
    </row>
    <row r="19" spans="1:29" ht="14.45" customHeight="1" x14ac:dyDescent="0.25">
      <c r="A19" s="23" t="str">
        <v>21/02/2024  05:01</v>
      </c>
      <c r="B19">
        <v>520.42999999999995</v>
      </c>
      <c r="C19">
        <v>519.24</v>
      </c>
      <c r="D19">
        <v>519.12</v>
      </c>
      <c r="E19">
        <v>520.72</v>
      </c>
      <c r="F19">
        <v>519.61</v>
      </c>
      <c r="G19">
        <v>522.91</v>
      </c>
      <c r="H19">
        <v>520.57000000000005</v>
      </c>
      <c r="I19">
        <v>523.94000000000005</v>
      </c>
      <c r="J19">
        <v>520.91999999999996</v>
      </c>
      <c r="K19" s="216"/>
      <c r="M19" s="504"/>
      <c r="N19" s="205">
        <v>520.54999999999995</v>
      </c>
      <c r="O19" s="205">
        <v>519.24</v>
      </c>
      <c r="P19" s="205">
        <v>519.25</v>
      </c>
      <c r="Q19" s="205">
        <v>520.9</v>
      </c>
      <c r="R19" s="205">
        <v>520.16000000000008</v>
      </c>
      <c r="S19" s="205">
        <v>523.21999999999991</v>
      </c>
      <c r="T19" s="205">
        <v>520.66000000000008</v>
      </c>
      <c r="U19" s="205">
        <v>524.05000000000007</v>
      </c>
      <c r="V19" s="205">
        <v>521.15</v>
      </c>
      <c r="W19" s="213">
        <v>535</v>
      </c>
      <c r="Z19" s="23" t="str">
        <v>21/02/2024  05:01</v>
      </c>
      <c r="AA19">
        <v>517.5</v>
      </c>
      <c r="AB19">
        <v>515.29999999999995</v>
      </c>
      <c r="AC19">
        <v>514.20000000000005</v>
      </c>
    </row>
    <row r="20" spans="1:29" ht="14.45" customHeight="1" x14ac:dyDescent="0.25">
      <c r="A20" s="23" t="str">
        <v>21/02/2024  05:02</v>
      </c>
      <c r="B20">
        <v>522.80999999999995</v>
      </c>
      <c r="C20">
        <v>521.47</v>
      </c>
      <c r="D20">
        <v>521.38</v>
      </c>
      <c r="E20">
        <v>523.04</v>
      </c>
      <c r="F20">
        <v>521.64</v>
      </c>
      <c r="G20">
        <v>525.1</v>
      </c>
      <c r="H20">
        <v>522.9</v>
      </c>
      <c r="I20">
        <v>526.12</v>
      </c>
      <c r="J20">
        <v>523.20000000000005</v>
      </c>
      <c r="K20" s="216"/>
      <c r="M20" s="504"/>
      <c r="N20" s="205">
        <v>522.92999999999995</v>
      </c>
      <c r="O20" s="205">
        <v>521.47</v>
      </c>
      <c r="P20" s="205">
        <v>521.51</v>
      </c>
      <c r="Q20" s="205">
        <v>523.21999999999991</v>
      </c>
      <c r="R20" s="205">
        <v>522.19000000000005</v>
      </c>
      <c r="S20" s="205">
        <v>525.41</v>
      </c>
      <c r="T20" s="205">
        <v>522.99</v>
      </c>
      <c r="U20" s="205">
        <v>526.23</v>
      </c>
      <c r="V20" s="205">
        <v>523.43000000000006</v>
      </c>
      <c r="W20" s="213">
        <v>535</v>
      </c>
      <c r="Z20" s="23" t="str">
        <v>21/02/2024  05:02</v>
      </c>
      <c r="AA20">
        <v>519.70000000000005</v>
      </c>
      <c r="AB20">
        <v>517.5</v>
      </c>
      <c r="AC20">
        <v>516.4</v>
      </c>
    </row>
    <row r="21" spans="1:29" ht="14.45" customHeight="1" x14ac:dyDescent="0.25">
      <c r="A21" s="23" t="str">
        <v>21/02/2024  05:03</v>
      </c>
      <c r="B21">
        <v>525.07000000000005</v>
      </c>
      <c r="C21">
        <v>523.71</v>
      </c>
      <c r="D21">
        <v>523.84</v>
      </c>
      <c r="E21">
        <v>525.29999999999995</v>
      </c>
      <c r="F21">
        <v>524.04</v>
      </c>
      <c r="G21">
        <v>527.38</v>
      </c>
      <c r="H21">
        <v>525.22</v>
      </c>
      <c r="I21">
        <v>528.5</v>
      </c>
      <c r="J21">
        <v>525.62</v>
      </c>
      <c r="K21" s="216"/>
      <c r="M21" s="504"/>
      <c r="N21" s="205">
        <v>525.19000000000005</v>
      </c>
      <c r="O21" s="205">
        <v>523.71</v>
      </c>
      <c r="P21" s="205">
        <v>523.97</v>
      </c>
      <c r="Q21" s="205">
        <v>525.4799999999999</v>
      </c>
      <c r="R21" s="205">
        <v>524.59</v>
      </c>
      <c r="S21" s="205">
        <v>527.68999999999994</v>
      </c>
      <c r="T21" s="205">
        <v>525.31000000000006</v>
      </c>
      <c r="U21" s="205">
        <v>528.61</v>
      </c>
      <c r="V21" s="205">
        <v>525.85</v>
      </c>
      <c r="W21" s="213">
        <v>535</v>
      </c>
      <c r="Z21" s="23" t="str">
        <v>21/02/2024  05:03</v>
      </c>
      <c r="AA21">
        <v>522</v>
      </c>
      <c r="AB21">
        <v>519.9</v>
      </c>
      <c r="AC21">
        <v>518.70000000000005</v>
      </c>
    </row>
    <row r="22" spans="1:29" ht="14.45" customHeight="1" x14ac:dyDescent="0.25">
      <c r="A22" s="23" t="str">
        <v>21/02/2024  05:04</v>
      </c>
      <c r="B22">
        <v>527.4</v>
      </c>
      <c r="C22">
        <v>526.14</v>
      </c>
      <c r="D22">
        <v>526.09</v>
      </c>
      <c r="E22">
        <v>527.54</v>
      </c>
      <c r="F22">
        <v>526.30999999999995</v>
      </c>
      <c r="G22">
        <v>529.64</v>
      </c>
      <c r="H22">
        <v>527.5</v>
      </c>
      <c r="I22">
        <v>530.69000000000005</v>
      </c>
      <c r="J22">
        <v>527.83000000000004</v>
      </c>
      <c r="K22" s="216"/>
      <c r="M22" s="504"/>
      <c r="N22" s="205">
        <v>527.52</v>
      </c>
      <c r="O22" s="205">
        <v>526.14</v>
      </c>
      <c r="P22" s="205">
        <v>526.22</v>
      </c>
      <c r="Q22" s="205">
        <v>527.71999999999991</v>
      </c>
      <c r="R22" s="205">
        <v>526.86</v>
      </c>
      <c r="S22" s="205">
        <v>529.94999999999993</v>
      </c>
      <c r="T22" s="205">
        <v>527.59</v>
      </c>
      <c r="U22" s="205">
        <v>530.80000000000007</v>
      </c>
      <c r="V22" s="205">
        <v>528.06000000000006</v>
      </c>
      <c r="W22" s="213">
        <v>535</v>
      </c>
      <c r="Z22" s="23" t="str">
        <v>21/02/2024  05:04</v>
      </c>
      <c r="AA22">
        <v>524.20000000000005</v>
      </c>
      <c r="AB22">
        <v>522.29999999999995</v>
      </c>
      <c r="AC22">
        <v>520.9</v>
      </c>
    </row>
    <row r="23" spans="1:29" ht="14.45" customHeight="1" x14ac:dyDescent="0.25">
      <c r="A23" s="23" t="str">
        <v>21/02/2024  05:05</v>
      </c>
      <c r="B23">
        <v>529.67999999999995</v>
      </c>
      <c r="C23">
        <v>528.54</v>
      </c>
      <c r="D23">
        <v>528.44000000000005</v>
      </c>
      <c r="E23">
        <v>529.85</v>
      </c>
      <c r="F23">
        <v>528.91999999999996</v>
      </c>
      <c r="G23">
        <v>532.01</v>
      </c>
      <c r="H23">
        <v>529.85</v>
      </c>
      <c r="I23">
        <v>532.99</v>
      </c>
      <c r="J23">
        <v>530.17999999999995</v>
      </c>
      <c r="K23" s="216"/>
      <c r="M23" s="504"/>
      <c r="N23" s="205">
        <v>529.79999999999995</v>
      </c>
      <c r="O23" s="205">
        <v>528.54</v>
      </c>
      <c r="P23" s="205">
        <v>528.57000000000005</v>
      </c>
      <c r="Q23" s="205">
        <v>530.03</v>
      </c>
      <c r="R23" s="205">
        <v>529.47</v>
      </c>
      <c r="S23" s="205">
        <v>532.31999999999994</v>
      </c>
      <c r="T23" s="205">
        <v>529.94000000000005</v>
      </c>
      <c r="U23" s="205">
        <v>533.1</v>
      </c>
      <c r="V23" s="205">
        <v>530.41</v>
      </c>
      <c r="W23" s="213">
        <v>535</v>
      </c>
      <c r="Z23" s="23" t="str">
        <v>21/02/2024  05:05</v>
      </c>
      <c r="AA23">
        <v>526.29999999999995</v>
      </c>
      <c r="AB23">
        <v>524.4</v>
      </c>
      <c r="AC23">
        <v>523.1</v>
      </c>
    </row>
    <row r="24" spans="1:29" ht="14.45" customHeight="1" x14ac:dyDescent="0.25">
      <c r="A24" s="23" t="str">
        <v>21/02/2024  05:06</v>
      </c>
      <c r="B24">
        <v>531.65</v>
      </c>
      <c r="C24">
        <v>530.57000000000005</v>
      </c>
      <c r="D24">
        <v>530.37</v>
      </c>
      <c r="E24">
        <v>531.85</v>
      </c>
      <c r="F24">
        <v>530.44000000000005</v>
      </c>
      <c r="G24">
        <v>533.77</v>
      </c>
      <c r="H24">
        <v>531.77</v>
      </c>
      <c r="I24">
        <v>534.69000000000005</v>
      </c>
      <c r="J24">
        <v>532.03</v>
      </c>
      <c r="K24" s="216"/>
      <c r="M24" s="504"/>
      <c r="N24" s="205">
        <v>531.77</v>
      </c>
      <c r="O24" s="205">
        <v>530.57000000000005</v>
      </c>
      <c r="P24" s="205">
        <v>530.5</v>
      </c>
      <c r="Q24" s="205">
        <v>532.03</v>
      </c>
      <c r="R24" s="205">
        <v>530.99000000000012</v>
      </c>
      <c r="S24" s="205">
        <v>534.07999999999993</v>
      </c>
      <c r="T24" s="205">
        <v>531.86</v>
      </c>
      <c r="U24" s="205">
        <v>534.80000000000007</v>
      </c>
      <c r="V24" s="205">
        <v>532.26</v>
      </c>
      <c r="W24" s="213">
        <v>535</v>
      </c>
      <c r="Z24" s="23" t="str">
        <v>21/02/2024  05:06</v>
      </c>
      <c r="AA24">
        <v>528.70000000000005</v>
      </c>
      <c r="AB24">
        <v>526.79999999999995</v>
      </c>
      <c r="AC24">
        <v>525.4</v>
      </c>
    </row>
    <row r="25" spans="1:29" ht="14.45" customHeight="1" x14ac:dyDescent="0.25">
      <c r="A25" s="23" t="str">
        <v>21/02/2024  05:07</v>
      </c>
      <c r="B25">
        <v>533.04999999999995</v>
      </c>
      <c r="C25">
        <v>531.94000000000005</v>
      </c>
      <c r="D25">
        <v>531.87</v>
      </c>
      <c r="E25">
        <v>533.03</v>
      </c>
      <c r="F25">
        <v>531.66999999999996</v>
      </c>
      <c r="G25">
        <v>535.03</v>
      </c>
      <c r="H25">
        <v>533.12</v>
      </c>
      <c r="I25">
        <v>535.9</v>
      </c>
      <c r="J25">
        <v>533.33000000000004</v>
      </c>
      <c r="K25" s="216"/>
      <c r="M25" s="504"/>
      <c r="N25" s="205">
        <v>533.16999999999996</v>
      </c>
      <c r="O25" s="205">
        <v>531.94000000000005</v>
      </c>
      <c r="P25" s="205">
        <v>532</v>
      </c>
      <c r="Q25" s="205">
        <v>533.20999999999992</v>
      </c>
      <c r="R25" s="205">
        <v>532.22</v>
      </c>
      <c r="S25" s="205">
        <v>535.33999999999992</v>
      </c>
      <c r="T25" s="205">
        <v>533.21</v>
      </c>
      <c r="U25" s="205">
        <v>536.01</v>
      </c>
      <c r="V25" s="205">
        <v>533.56000000000006</v>
      </c>
      <c r="W25" s="213">
        <v>535</v>
      </c>
      <c r="Z25" s="23" t="str">
        <v>21/02/2024  05:07</v>
      </c>
      <c r="AA25">
        <v>530.29999999999995</v>
      </c>
      <c r="AB25">
        <v>528.70000000000005</v>
      </c>
      <c r="AC25">
        <v>527.20000000000005</v>
      </c>
    </row>
    <row r="26" spans="1:29" ht="14.45" customHeight="1" x14ac:dyDescent="0.25">
      <c r="A26" s="23" t="str">
        <v>21/02/2024  05:08</v>
      </c>
      <c r="B26">
        <v>534.35</v>
      </c>
      <c r="C26">
        <v>533.28</v>
      </c>
      <c r="D26">
        <v>533.16</v>
      </c>
      <c r="E26">
        <v>534.25</v>
      </c>
      <c r="F26">
        <v>532.25</v>
      </c>
      <c r="G26">
        <v>536.01</v>
      </c>
      <c r="H26">
        <v>534.28</v>
      </c>
      <c r="I26">
        <v>536.89</v>
      </c>
      <c r="J26">
        <v>534.54999999999995</v>
      </c>
      <c r="K26" s="216"/>
      <c r="M26" s="504"/>
      <c r="N26" s="205">
        <v>534.47</v>
      </c>
      <c r="O26" s="205">
        <v>533.28</v>
      </c>
      <c r="P26" s="205">
        <v>533.29</v>
      </c>
      <c r="Q26" s="205">
        <v>534.42999999999995</v>
      </c>
      <c r="R26" s="205">
        <v>532.80000000000007</v>
      </c>
      <c r="S26" s="205">
        <v>536.31999999999994</v>
      </c>
      <c r="T26" s="205">
        <v>534.37</v>
      </c>
      <c r="U26" s="205">
        <v>537</v>
      </c>
      <c r="V26" s="205">
        <v>534.78</v>
      </c>
      <c r="W26" s="213">
        <v>535</v>
      </c>
      <c r="Z26" s="23" t="str">
        <v>21/02/2024  05:08</v>
      </c>
      <c r="AA26">
        <v>531.6</v>
      </c>
      <c r="AB26">
        <v>530.4</v>
      </c>
      <c r="AC26">
        <v>528.79999999999995</v>
      </c>
    </row>
    <row r="27" spans="1:29" ht="14.45" customHeight="1" x14ac:dyDescent="0.25">
      <c r="A27" s="23" t="str">
        <v>21/02/2024  05:09</v>
      </c>
      <c r="B27">
        <v>535.20000000000005</v>
      </c>
      <c r="C27">
        <v>534.37</v>
      </c>
      <c r="D27">
        <v>534.16999999999996</v>
      </c>
      <c r="E27">
        <v>535.11</v>
      </c>
      <c r="F27">
        <v>532.98</v>
      </c>
      <c r="G27">
        <v>536.91</v>
      </c>
      <c r="H27">
        <v>535.27</v>
      </c>
      <c r="I27">
        <v>537.53</v>
      </c>
      <c r="J27">
        <v>535.41999999999996</v>
      </c>
      <c r="K27" s="216"/>
      <c r="M27" s="504"/>
      <c r="N27" s="205">
        <v>535.32000000000005</v>
      </c>
      <c r="O27" s="205">
        <v>534.37</v>
      </c>
      <c r="P27" s="205">
        <v>534.29999999999995</v>
      </c>
      <c r="Q27" s="205">
        <v>535.29</v>
      </c>
      <c r="R27" s="205">
        <v>533.53000000000009</v>
      </c>
      <c r="S27" s="205">
        <v>537.21999999999991</v>
      </c>
      <c r="T27" s="205">
        <v>535.36</v>
      </c>
      <c r="U27" s="205">
        <v>537.64</v>
      </c>
      <c r="V27" s="205">
        <v>535.65</v>
      </c>
      <c r="W27" s="213">
        <v>535</v>
      </c>
      <c r="Z27" s="23" t="str">
        <v>21/02/2024  05:09</v>
      </c>
      <c r="AA27">
        <v>532.6</v>
      </c>
      <c r="AB27">
        <v>531.79999999999995</v>
      </c>
      <c r="AC27">
        <v>530.20000000000005</v>
      </c>
    </row>
    <row r="28" spans="1:29" ht="14.45" customHeight="1" x14ac:dyDescent="0.25">
      <c r="A28" s="23" t="str">
        <v>21/02/2024  05:10</v>
      </c>
      <c r="B28">
        <v>535.98</v>
      </c>
      <c r="C28">
        <v>535.23</v>
      </c>
      <c r="D28">
        <v>534.96</v>
      </c>
      <c r="E28">
        <v>535.76</v>
      </c>
      <c r="F28">
        <v>533.27</v>
      </c>
      <c r="G28">
        <v>537.51</v>
      </c>
      <c r="H28">
        <v>535.9</v>
      </c>
      <c r="I28">
        <v>537.94000000000005</v>
      </c>
      <c r="J28">
        <v>535.98</v>
      </c>
      <c r="K28" s="216"/>
      <c r="M28" s="504"/>
      <c r="N28" s="205">
        <v>536.1</v>
      </c>
      <c r="O28" s="205">
        <v>535.23</v>
      </c>
      <c r="P28" s="205">
        <v>535.09</v>
      </c>
      <c r="Q28" s="205">
        <v>535.93999999999994</v>
      </c>
      <c r="R28" s="205">
        <v>533.82000000000005</v>
      </c>
      <c r="S28" s="205">
        <v>537.81999999999994</v>
      </c>
      <c r="T28" s="205">
        <v>535.99</v>
      </c>
      <c r="U28" s="205">
        <v>538.05000000000007</v>
      </c>
      <c r="V28" s="205">
        <v>536.21</v>
      </c>
      <c r="W28" s="213">
        <v>535</v>
      </c>
      <c r="Z28" s="23" t="str">
        <v>21/02/2024  05:10</v>
      </c>
      <c r="AA28">
        <v>533.29999999999995</v>
      </c>
      <c r="AB28">
        <v>532.9</v>
      </c>
      <c r="AC28">
        <v>531.20000000000005</v>
      </c>
    </row>
    <row r="29" spans="1:29" ht="14.45" customHeight="1" x14ac:dyDescent="0.25">
      <c r="A29" s="23" t="str">
        <v>21/02/2024  05:11</v>
      </c>
      <c r="B29">
        <v>536.66999999999996</v>
      </c>
      <c r="C29">
        <v>536.07000000000005</v>
      </c>
      <c r="D29">
        <v>535.70000000000005</v>
      </c>
      <c r="E29">
        <v>536.36</v>
      </c>
      <c r="F29">
        <v>533.71</v>
      </c>
      <c r="G29">
        <v>538.03</v>
      </c>
      <c r="H29">
        <v>536.5</v>
      </c>
      <c r="I29">
        <v>538.26</v>
      </c>
      <c r="J29">
        <v>536.53</v>
      </c>
      <c r="K29" s="216"/>
      <c r="M29" s="504"/>
      <c r="N29" s="205">
        <v>536.79</v>
      </c>
      <c r="O29" s="205">
        <v>536.07000000000005</v>
      </c>
      <c r="P29" s="205">
        <v>535.83000000000004</v>
      </c>
      <c r="Q29" s="205">
        <v>536.54</v>
      </c>
      <c r="R29" s="205">
        <v>534.2600000000001</v>
      </c>
      <c r="S29" s="205">
        <v>538.33999999999992</v>
      </c>
      <c r="T29" s="205">
        <v>536.59</v>
      </c>
      <c r="U29" s="205">
        <v>538.37</v>
      </c>
      <c r="V29" s="205">
        <v>536.76</v>
      </c>
      <c r="W29" s="213">
        <v>535</v>
      </c>
      <c r="Z29" s="23" t="str">
        <v>21/02/2024  05:11</v>
      </c>
      <c r="AA29">
        <v>533.79999999999995</v>
      </c>
      <c r="AB29">
        <v>533.70000000000005</v>
      </c>
      <c r="AC29">
        <v>532</v>
      </c>
    </row>
    <row r="30" spans="1:29" ht="14.45" customHeight="1" x14ac:dyDescent="0.25">
      <c r="A30" s="23" t="str">
        <v>21/02/2024  05:12</v>
      </c>
      <c r="B30">
        <v>536.91</v>
      </c>
      <c r="C30">
        <v>536.35</v>
      </c>
      <c r="D30">
        <v>536.05999999999995</v>
      </c>
      <c r="E30">
        <v>536.54999999999995</v>
      </c>
      <c r="F30">
        <v>533.44000000000005</v>
      </c>
      <c r="G30">
        <v>538.1</v>
      </c>
      <c r="H30">
        <v>536.69000000000005</v>
      </c>
      <c r="I30">
        <v>538.36</v>
      </c>
      <c r="J30">
        <v>536.75</v>
      </c>
      <c r="K30" s="216"/>
      <c r="M30" s="504"/>
      <c r="N30" s="205">
        <v>537.03</v>
      </c>
      <c r="O30" s="205">
        <v>536.35</v>
      </c>
      <c r="P30" s="205">
        <v>536.18999999999994</v>
      </c>
      <c r="Q30" s="205">
        <v>536.7299999999999</v>
      </c>
      <c r="R30" s="205">
        <v>533.99000000000012</v>
      </c>
      <c r="S30" s="205">
        <v>538.41</v>
      </c>
      <c r="T30" s="205">
        <v>536.78000000000009</v>
      </c>
      <c r="U30" s="205">
        <v>538.47</v>
      </c>
      <c r="V30" s="205">
        <v>536.98</v>
      </c>
      <c r="W30" s="213">
        <v>535</v>
      </c>
      <c r="Z30" s="23" t="str">
        <v>21/02/2024  05:12</v>
      </c>
      <c r="AA30">
        <v>534.1</v>
      </c>
      <c r="AB30">
        <v>534.5</v>
      </c>
      <c r="AC30">
        <v>532.70000000000005</v>
      </c>
    </row>
    <row r="31" spans="1:29" ht="14.45" customHeight="1" x14ac:dyDescent="0.25">
      <c r="A31" s="23" t="str">
        <v>21/02/2024  05:13</v>
      </c>
      <c r="B31">
        <v>537.04</v>
      </c>
      <c r="C31">
        <v>536.54</v>
      </c>
      <c r="D31">
        <v>536.23</v>
      </c>
      <c r="E31">
        <v>536.61</v>
      </c>
      <c r="F31">
        <v>533.01</v>
      </c>
      <c r="G31">
        <v>537.95000000000005</v>
      </c>
      <c r="H31">
        <v>536.77</v>
      </c>
      <c r="I31">
        <v>538.20000000000005</v>
      </c>
      <c r="J31">
        <v>536.72</v>
      </c>
      <c r="K31" s="216"/>
      <c r="M31" s="504"/>
      <c r="N31" s="205">
        <v>537.16</v>
      </c>
      <c r="O31" s="205">
        <v>536.54</v>
      </c>
      <c r="P31" s="205">
        <v>536.36</v>
      </c>
      <c r="Q31" s="205">
        <v>536.79</v>
      </c>
      <c r="R31" s="205">
        <v>533.56000000000006</v>
      </c>
      <c r="S31" s="205">
        <v>538.26</v>
      </c>
      <c r="T31" s="205">
        <v>536.86</v>
      </c>
      <c r="U31" s="205">
        <v>538.31000000000006</v>
      </c>
      <c r="V31" s="205">
        <v>536.95000000000005</v>
      </c>
      <c r="W31" s="213">
        <v>535</v>
      </c>
      <c r="Z31" s="23" t="str">
        <v>21/02/2024  05:13</v>
      </c>
      <c r="AA31">
        <v>534.1</v>
      </c>
      <c r="AB31">
        <v>534.9</v>
      </c>
      <c r="AC31">
        <v>533</v>
      </c>
    </row>
    <row r="32" spans="1:29" ht="14.45" customHeight="1" x14ac:dyDescent="0.25">
      <c r="A32" s="23" t="str">
        <v>21/02/2024  05:14</v>
      </c>
      <c r="B32">
        <v>537.16999999999996</v>
      </c>
      <c r="C32">
        <v>536.86</v>
      </c>
      <c r="D32">
        <v>536.34</v>
      </c>
      <c r="E32">
        <v>536.57000000000005</v>
      </c>
      <c r="F32">
        <v>533.20000000000005</v>
      </c>
      <c r="G32">
        <v>538.05999999999995</v>
      </c>
      <c r="H32">
        <v>536.79</v>
      </c>
      <c r="I32">
        <v>537.99</v>
      </c>
      <c r="J32">
        <v>536.73</v>
      </c>
      <c r="K32" s="216"/>
      <c r="M32" s="504"/>
      <c r="N32" s="205">
        <v>537.29</v>
      </c>
      <c r="O32" s="205">
        <v>536.86</v>
      </c>
      <c r="P32" s="205">
        <v>536.47</v>
      </c>
      <c r="Q32" s="205">
        <v>536.75</v>
      </c>
      <c r="R32" s="205">
        <v>533.75000000000011</v>
      </c>
      <c r="S32" s="205">
        <v>538.36999999999989</v>
      </c>
      <c r="T32" s="205">
        <v>536.88</v>
      </c>
      <c r="U32" s="205">
        <v>538.1</v>
      </c>
      <c r="V32" s="205">
        <v>536.96</v>
      </c>
      <c r="W32" s="213">
        <v>535</v>
      </c>
      <c r="Z32" s="23" t="str">
        <v>21/02/2024  05:14</v>
      </c>
      <c r="AA32">
        <v>534</v>
      </c>
      <c r="AB32">
        <v>535.20000000000005</v>
      </c>
      <c r="AC32">
        <v>533.20000000000005</v>
      </c>
    </row>
    <row r="33" spans="1:29" ht="14.45" customHeight="1" x14ac:dyDescent="0.25">
      <c r="A33" s="23" t="str">
        <v>21/02/2024  05:15</v>
      </c>
      <c r="B33">
        <v>537.29</v>
      </c>
      <c r="C33">
        <v>536.99</v>
      </c>
      <c r="D33">
        <v>536.59</v>
      </c>
      <c r="E33">
        <v>536.83000000000004</v>
      </c>
      <c r="F33">
        <v>533.27</v>
      </c>
      <c r="G33">
        <v>538.1</v>
      </c>
      <c r="H33">
        <v>536.87</v>
      </c>
      <c r="I33">
        <v>538.11</v>
      </c>
      <c r="J33">
        <v>536.91999999999996</v>
      </c>
      <c r="K33" s="216"/>
      <c r="M33" s="504"/>
      <c r="N33" s="205">
        <v>537.41</v>
      </c>
      <c r="O33" s="205">
        <v>536.99</v>
      </c>
      <c r="P33" s="205">
        <v>536.72</v>
      </c>
      <c r="Q33" s="205">
        <v>537.01</v>
      </c>
      <c r="R33" s="205">
        <v>533.82000000000005</v>
      </c>
      <c r="S33" s="205">
        <v>538.41</v>
      </c>
      <c r="T33" s="205">
        <v>536.96</v>
      </c>
      <c r="U33" s="205">
        <v>538.22</v>
      </c>
      <c r="V33" s="205">
        <v>537.15</v>
      </c>
      <c r="W33" s="213">
        <v>535</v>
      </c>
      <c r="Z33" s="23" t="str">
        <v>21/02/2024  05:15</v>
      </c>
      <c r="AA33">
        <v>534</v>
      </c>
      <c r="AB33">
        <v>535.29999999999995</v>
      </c>
      <c r="AC33">
        <v>533.4</v>
      </c>
    </row>
    <row r="34" spans="1:29" ht="14.45" customHeight="1" x14ac:dyDescent="0.25">
      <c r="A34" s="23" t="str">
        <v>21/02/2024  05:16</v>
      </c>
      <c r="B34">
        <v>537.36</v>
      </c>
      <c r="C34">
        <v>537.04999999999995</v>
      </c>
      <c r="D34">
        <v>536.70000000000005</v>
      </c>
      <c r="E34">
        <v>536.83000000000004</v>
      </c>
      <c r="F34">
        <v>532.92999999999995</v>
      </c>
      <c r="G34">
        <v>537.99</v>
      </c>
      <c r="H34">
        <v>536.87</v>
      </c>
      <c r="I34">
        <v>537.99</v>
      </c>
      <c r="J34">
        <v>536.9</v>
      </c>
      <c r="K34" s="216"/>
      <c r="M34" s="503" t="s">
        <v>327</v>
      </c>
      <c r="N34" s="203">
        <v>537.48</v>
      </c>
      <c r="O34" s="203">
        <v>537.04999999999995</v>
      </c>
      <c r="P34" s="203">
        <v>536.83000000000004</v>
      </c>
      <c r="Q34" s="203">
        <v>537.01</v>
      </c>
      <c r="R34" s="203">
        <v>533.48</v>
      </c>
      <c r="S34" s="203">
        <v>538.29999999999995</v>
      </c>
      <c r="T34" s="203">
        <v>536.96</v>
      </c>
      <c r="U34" s="203">
        <v>538.1</v>
      </c>
      <c r="V34" s="203">
        <v>537.13</v>
      </c>
      <c r="W34" s="203">
        <v>535</v>
      </c>
      <c r="Z34" s="23" t="str">
        <v>21/02/2024  05:16</v>
      </c>
      <c r="AA34">
        <v>534</v>
      </c>
      <c r="AB34">
        <v>535.29999999999995</v>
      </c>
      <c r="AC34">
        <v>533.5</v>
      </c>
    </row>
    <row r="35" spans="1:29" ht="14.45" customHeight="1" x14ac:dyDescent="0.25">
      <c r="A35" s="23" t="str">
        <v>21/02/2024  05:17</v>
      </c>
      <c r="B35">
        <v>537.36</v>
      </c>
      <c r="C35">
        <v>537.11</v>
      </c>
      <c r="D35">
        <v>536.75</v>
      </c>
      <c r="E35">
        <v>536.86</v>
      </c>
      <c r="F35">
        <v>532.87</v>
      </c>
      <c r="G35">
        <v>537.89</v>
      </c>
      <c r="H35">
        <v>536.78</v>
      </c>
      <c r="I35">
        <v>537.87</v>
      </c>
      <c r="J35">
        <v>536.86</v>
      </c>
      <c r="K35" s="216"/>
      <c r="M35" s="503"/>
      <c r="N35" s="203">
        <v>537.48</v>
      </c>
      <c r="O35" s="203">
        <v>537.11</v>
      </c>
      <c r="P35" s="203">
        <v>536.88</v>
      </c>
      <c r="Q35" s="203">
        <v>537.04</v>
      </c>
      <c r="R35" s="203">
        <v>533.42000000000007</v>
      </c>
      <c r="S35" s="203">
        <v>538.19999999999993</v>
      </c>
      <c r="T35" s="203">
        <v>536.87</v>
      </c>
      <c r="U35" s="203">
        <v>537.98</v>
      </c>
      <c r="V35" s="203">
        <v>537.09</v>
      </c>
      <c r="W35" s="203">
        <v>535</v>
      </c>
      <c r="Z35" s="23" t="str">
        <v>21/02/2024  05:17</v>
      </c>
      <c r="AA35">
        <v>533.9</v>
      </c>
      <c r="AB35">
        <v>535.4</v>
      </c>
      <c r="AC35">
        <v>533.6</v>
      </c>
    </row>
    <row r="36" spans="1:29" ht="14.45" customHeight="1" x14ac:dyDescent="0.25">
      <c r="A36" s="23" t="str">
        <v>21/02/2024  05:18</v>
      </c>
      <c r="B36">
        <v>537.41</v>
      </c>
      <c r="C36">
        <v>537.12</v>
      </c>
      <c r="D36">
        <v>536.73</v>
      </c>
      <c r="E36">
        <v>536.84</v>
      </c>
      <c r="F36">
        <v>532.84</v>
      </c>
      <c r="G36">
        <v>537.75</v>
      </c>
      <c r="H36">
        <v>536.73</v>
      </c>
      <c r="I36">
        <v>537.76</v>
      </c>
      <c r="J36">
        <v>536.79</v>
      </c>
      <c r="K36" s="216"/>
      <c r="M36" s="503"/>
      <c r="N36" s="203">
        <v>537.53</v>
      </c>
      <c r="O36" s="203">
        <v>537.12</v>
      </c>
      <c r="P36" s="203">
        <v>536.86</v>
      </c>
      <c r="Q36" s="203">
        <v>537.02</v>
      </c>
      <c r="R36" s="203">
        <v>533.3900000000001</v>
      </c>
      <c r="S36" s="203">
        <v>538.05999999999995</v>
      </c>
      <c r="T36" s="203">
        <v>536.82000000000005</v>
      </c>
      <c r="U36" s="203">
        <v>537.87</v>
      </c>
      <c r="V36" s="203">
        <v>537.02</v>
      </c>
      <c r="W36" s="203">
        <v>535</v>
      </c>
      <c r="Z36" s="23" t="str">
        <v>21/02/2024  05:18</v>
      </c>
      <c r="AA36">
        <v>533.9</v>
      </c>
      <c r="AB36">
        <v>535.4</v>
      </c>
      <c r="AC36">
        <v>533.6</v>
      </c>
    </row>
    <row r="37" spans="1:29" ht="14.45" customHeight="1" x14ac:dyDescent="0.25">
      <c r="A37" s="23" t="str">
        <v>21/02/2024  05:19</v>
      </c>
      <c r="B37">
        <v>537.35</v>
      </c>
      <c r="C37">
        <v>537.30999999999995</v>
      </c>
      <c r="D37">
        <v>536.71</v>
      </c>
      <c r="E37">
        <v>536.79</v>
      </c>
      <c r="F37">
        <v>532.9</v>
      </c>
      <c r="G37">
        <v>537.83000000000004</v>
      </c>
      <c r="H37">
        <v>536.66999999999996</v>
      </c>
      <c r="I37">
        <v>537.53</v>
      </c>
      <c r="J37">
        <v>536.72</v>
      </c>
      <c r="K37" s="216"/>
      <c r="M37" s="503"/>
      <c r="N37" s="203">
        <v>537.47</v>
      </c>
      <c r="O37" s="203">
        <v>537.30999999999995</v>
      </c>
      <c r="P37" s="203">
        <v>536.84</v>
      </c>
      <c r="Q37" s="203">
        <v>536.96999999999991</v>
      </c>
      <c r="R37" s="203">
        <v>533.45000000000005</v>
      </c>
      <c r="S37" s="203">
        <v>538.14</v>
      </c>
      <c r="T37" s="203">
        <v>536.76</v>
      </c>
      <c r="U37" s="203">
        <v>537.64</v>
      </c>
      <c r="V37" s="203">
        <v>536.95000000000005</v>
      </c>
      <c r="W37" s="203">
        <v>535</v>
      </c>
      <c r="Z37" s="23" t="str">
        <v>21/02/2024  05:19</v>
      </c>
      <c r="AA37">
        <v>533.79999999999995</v>
      </c>
      <c r="AB37">
        <v>535.4</v>
      </c>
      <c r="AC37">
        <v>533.70000000000005</v>
      </c>
    </row>
    <row r="38" spans="1:29" ht="14.45" customHeight="1" x14ac:dyDescent="0.25">
      <c r="A38" s="23" t="str">
        <v>21/02/2024  05:20</v>
      </c>
      <c r="B38">
        <v>537.44000000000005</v>
      </c>
      <c r="C38">
        <v>537.34</v>
      </c>
      <c r="D38">
        <v>536.85</v>
      </c>
      <c r="E38">
        <v>536.95000000000005</v>
      </c>
      <c r="F38">
        <v>532.98</v>
      </c>
      <c r="G38">
        <v>537.89</v>
      </c>
      <c r="H38">
        <v>536.75</v>
      </c>
      <c r="I38">
        <v>537.72</v>
      </c>
      <c r="J38">
        <v>536.86</v>
      </c>
      <c r="K38" s="216"/>
      <c r="M38" s="503"/>
      <c r="N38" s="203">
        <v>537.56000000000006</v>
      </c>
      <c r="O38" s="203">
        <v>537.34</v>
      </c>
      <c r="P38" s="203">
        <v>536.98</v>
      </c>
      <c r="Q38" s="203">
        <v>537.13</v>
      </c>
      <c r="R38" s="203">
        <v>533.53000000000009</v>
      </c>
      <c r="S38" s="203">
        <v>538.19999999999993</v>
      </c>
      <c r="T38" s="203">
        <v>536.84</v>
      </c>
      <c r="U38" s="203">
        <v>537.83000000000004</v>
      </c>
      <c r="V38" s="203">
        <v>537.09</v>
      </c>
      <c r="W38" s="203">
        <v>535</v>
      </c>
      <c r="Z38" s="23" t="str">
        <v>21/02/2024  05:20</v>
      </c>
      <c r="AA38">
        <v>533.70000000000005</v>
      </c>
      <c r="AB38">
        <v>535.29999999999995</v>
      </c>
      <c r="AC38">
        <v>533.5</v>
      </c>
    </row>
    <row r="39" spans="1:29" ht="14.45" customHeight="1" x14ac:dyDescent="0.25">
      <c r="A39" s="23" t="str">
        <v>21/02/2024  05:21</v>
      </c>
      <c r="B39">
        <v>537.41</v>
      </c>
      <c r="C39">
        <v>537.28</v>
      </c>
      <c r="D39">
        <v>536.79999999999995</v>
      </c>
      <c r="E39">
        <v>536.84</v>
      </c>
      <c r="F39">
        <v>532.69000000000005</v>
      </c>
      <c r="G39">
        <v>537.63</v>
      </c>
      <c r="H39">
        <v>536.64</v>
      </c>
      <c r="I39">
        <v>537.54999999999995</v>
      </c>
      <c r="J39">
        <v>536.73</v>
      </c>
      <c r="K39" s="216"/>
      <c r="M39" s="503"/>
      <c r="N39" s="203">
        <v>537.53</v>
      </c>
      <c r="O39" s="203">
        <v>537.28</v>
      </c>
      <c r="P39" s="203">
        <v>536.92999999999995</v>
      </c>
      <c r="Q39" s="203">
        <v>537.02</v>
      </c>
      <c r="R39" s="203">
        <v>533.24000000000012</v>
      </c>
      <c r="S39" s="203">
        <v>537.93999999999994</v>
      </c>
      <c r="T39" s="203">
        <v>536.73</v>
      </c>
      <c r="U39" s="203">
        <v>537.66</v>
      </c>
      <c r="V39" s="203">
        <v>536.96</v>
      </c>
      <c r="W39" s="203">
        <v>535</v>
      </c>
      <c r="Z39" s="23" t="str">
        <v>21/02/2024  05:21</v>
      </c>
      <c r="AA39">
        <v>533.79999999999995</v>
      </c>
      <c r="AB39">
        <v>535.4</v>
      </c>
      <c r="AC39">
        <v>533.70000000000005</v>
      </c>
    </row>
    <row r="40" spans="1:29" ht="14.45" customHeight="1" x14ac:dyDescent="0.25">
      <c r="A40" s="23" t="str">
        <v>21/02/2024  05:22</v>
      </c>
      <c r="B40">
        <v>537.53</v>
      </c>
      <c r="C40">
        <v>537.34</v>
      </c>
      <c r="D40">
        <v>536.96</v>
      </c>
      <c r="E40">
        <v>536.99</v>
      </c>
      <c r="F40">
        <v>532.87</v>
      </c>
      <c r="G40">
        <v>537.71</v>
      </c>
      <c r="H40">
        <v>536.77</v>
      </c>
      <c r="I40">
        <v>537.66999999999996</v>
      </c>
      <c r="J40">
        <v>536.86</v>
      </c>
      <c r="K40" s="216"/>
      <c r="M40" s="503"/>
      <c r="N40" s="203">
        <v>537.65</v>
      </c>
      <c r="O40" s="203">
        <v>537.34</v>
      </c>
      <c r="P40" s="203">
        <v>537.09</v>
      </c>
      <c r="Q40" s="203">
        <v>537.16999999999996</v>
      </c>
      <c r="R40" s="203">
        <v>533.42000000000007</v>
      </c>
      <c r="S40" s="203">
        <v>538.02</v>
      </c>
      <c r="T40" s="203">
        <v>536.86</v>
      </c>
      <c r="U40" s="203">
        <v>537.78</v>
      </c>
      <c r="V40" s="203">
        <v>537.09</v>
      </c>
      <c r="W40" s="203">
        <v>535</v>
      </c>
      <c r="Z40" s="23" t="str">
        <v>21/02/2024  05:22</v>
      </c>
      <c r="AA40">
        <v>533.70000000000005</v>
      </c>
      <c r="AB40">
        <v>535.29999999999995</v>
      </c>
      <c r="AC40">
        <v>533.70000000000005</v>
      </c>
    </row>
    <row r="41" spans="1:29" ht="14.45" customHeight="1" x14ac:dyDescent="0.25">
      <c r="A41" s="23" t="str">
        <v>21/02/2024  05:23</v>
      </c>
      <c r="B41">
        <v>537.66</v>
      </c>
      <c r="C41">
        <v>537.38</v>
      </c>
      <c r="D41">
        <v>537.03</v>
      </c>
      <c r="E41">
        <v>537.09</v>
      </c>
      <c r="F41">
        <v>532.80999999999995</v>
      </c>
      <c r="G41">
        <v>537.79</v>
      </c>
      <c r="H41">
        <v>536.77</v>
      </c>
      <c r="I41">
        <v>537.69000000000005</v>
      </c>
      <c r="J41">
        <v>536.9</v>
      </c>
      <c r="K41" s="216"/>
      <c r="M41" s="503"/>
      <c r="N41" s="203">
        <v>537.78</v>
      </c>
      <c r="O41" s="203">
        <v>537.38</v>
      </c>
      <c r="P41" s="203">
        <v>537.16</v>
      </c>
      <c r="Q41" s="203">
        <v>537.27</v>
      </c>
      <c r="R41" s="203">
        <v>533.36</v>
      </c>
      <c r="S41" s="203">
        <v>538.09999999999991</v>
      </c>
      <c r="T41" s="203">
        <v>536.86</v>
      </c>
      <c r="U41" s="203">
        <v>537.80000000000007</v>
      </c>
      <c r="V41" s="203">
        <v>537.13</v>
      </c>
      <c r="W41" s="203">
        <v>535</v>
      </c>
      <c r="Z41" s="23" t="str">
        <v>21/02/2024  05:23</v>
      </c>
      <c r="AA41">
        <v>533.70000000000005</v>
      </c>
      <c r="AB41">
        <v>535.20000000000005</v>
      </c>
      <c r="AC41">
        <v>533.5</v>
      </c>
    </row>
    <row r="42" spans="1:29" ht="14.45" customHeight="1" x14ac:dyDescent="0.25">
      <c r="A42" s="23" t="str">
        <v>21/02/2024  05:24</v>
      </c>
      <c r="B42">
        <v>537.58000000000004</v>
      </c>
      <c r="C42">
        <v>537.37</v>
      </c>
      <c r="D42">
        <v>537.02</v>
      </c>
      <c r="E42">
        <v>537.03</v>
      </c>
      <c r="F42">
        <v>532.69000000000005</v>
      </c>
      <c r="G42">
        <v>537.79999999999995</v>
      </c>
      <c r="H42">
        <v>536.74</v>
      </c>
      <c r="I42">
        <v>537.62</v>
      </c>
      <c r="J42">
        <v>536.86</v>
      </c>
      <c r="K42" s="216"/>
      <c r="M42" s="503"/>
      <c r="N42" s="203">
        <v>537.70000000000005</v>
      </c>
      <c r="O42" s="203">
        <v>537.37</v>
      </c>
      <c r="P42" s="203">
        <v>537.15</v>
      </c>
      <c r="Q42" s="203">
        <v>537.20999999999992</v>
      </c>
      <c r="R42" s="203">
        <v>533.24000000000012</v>
      </c>
      <c r="S42" s="203">
        <v>538.1099999999999</v>
      </c>
      <c r="T42" s="203">
        <v>536.83000000000004</v>
      </c>
      <c r="U42" s="203">
        <v>537.73</v>
      </c>
      <c r="V42" s="203">
        <v>537.09</v>
      </c>
      <c r="W42" s="203">
        <v>535</v>
      </c>
      <c r="Z42" s="23" t="str">
        <v>21/02/2024  05:24</v>
      </c>
      <c r="AA42">
        <v>533.79999999999995</v>
      </c>
      <c r="AB42">
        <v>535.29999999999995</v>
      </c>
      <c r="AC42">
        <v>533.70000000000005</v>
      </c>
    </row>
    <row r="43" spans="1:29" ht="14.45" customHeight="1" x14ac:dyDescent="0.25">
      <c r="A43" s="23" t="str">
        <v>21/02/2024  05:25</v>
      </c>
      <c r="B43">
        <v>537.49</v>
      </c>
      <c r="C43">
        <v>537.44000000000005</v>
      </c>
      <c r="D43">
        <v>536.91</v>
      </c>
      <c r="E43">
        <v>536.91</v>
      </c>
      <c r="F43">
        <v>532.64</v>
      </c>
      <c r="G43">
        <v>537.69000000000005</v>
      </c>
      <c r="H43">
        <v>536.69000000000005</v>
      </c>
      <c r="I43">
        <v>537.46</v>
      </c>
      <c r="J43">
        <v>536.74</v>
      </c>
      <c r="K43" s="216"/>
      <c r="M43" s="503"/>
      <c r="N43" s="203">
        <v>537.61</v>
      </c>
      <c r="O43" s="203">
        <v>537.44000000000005</v>
      </c>
      <c r="P43" s="203">
        <v>537.04</v>
      </c>
      <c r="Q43" s="203">
        <v>537.08999999999992</v>
      </c>
      <c r="R43" s="203">
        <v>533.19000000000005</v>
      </c>
      <c r="S43" s="203">
        <v>538</v>
      </c>
      <c r="T43" s="203">
        <v>536.78000000000009</v>
      </c>
      <c r="U43" s="203">
        <v>537.57000000000005</v>
      </c>
      <c r="V43" s="203">
        <v>536.97</v>
      </c>
      <c r="W43" s="203">
        <v>535</v>
      </c>
      <c r="Z43" s="23" t="str">
        <v>21/02/2024  05:25</v>
      </c>
      <c r="AA43">
        <v>533.6</v>
      </c>
      <c r="AB43">
        <v>535.20000000000005</v>
      </c>
      <c r="AC43">
        <v>533.6</v>
      </c>
    </row>
    <row r="44" spans="1:29" ht="14.45" customHeight="1" x14ac:dyDescent="0.25">
      <c r="A44" s="23" t="str">
        <v>21/02/2024  05:26</v>
      </c>
      <c r="B44">
        <v>537.57000000000005</v>
      </c>
      <c r="C44">
        <v>537.4</v>
      </c>
      <c r="D44">
        <v>536.99</v>
      </c>
      <c r="E44">
        <v>537.02</v>
      </c>
      <c r="F44">
        <v>532.75</v>
      </c>
      <c r="G44">
        <v>537.67999999999995</v>
      </c>
      <c r="H44">
        <v>536.70000000000005</v>
      </c>
      <c r="I44">
        <v>537.57000000000005</v>
      </c>
      <c r="J44">
        <v>536.82000000000005</v>
      </c>
      <c r="K44" s="216"/>
      <c r="M44" s="503"/>
      <c r="N44" s="203">
        <v>537.69000000000005</v>
      </c>
      <c r="O44" s="203">
        <v>537.4</v>
      </c>
      <c r="P44" s="203">
        <v>537.12</v>
      </c>
      <c r="Q44" s="203">
        <v>537.19999999999993</v>
      </c>
      <c r="R44" s="203">
        <v>533.30000000000007</v>
      </c>
      <c r="S44" s="203">
        <v>537.9899999999999</v>
      </c>
      <c r="T44" s="203">
        <v>536.79000000000008</v>
      </c>
      <c r="U44" s="203">
        <v>537.68000000000006</v>
      </c>
      <c r="V44" s="203">
        <v>537.05000000000007</v>
      </c>
      <c r="W44" s="203">
        <v>535</v>
      </c>
      <c r="Z44" s="23" t="str">
        <v>21/02/2024  05:26</v>
      </c>
      <c r="AA44">
        <v>533.70000000000005</v>
      </c>
      <c r="AB44">
        <v>535.20000000000005</v>
      </c>
      <c r="AC44">
        <v>533.6</v>
      </c>
    </row>
    <row r="45" spans="1:29" ht="14.45" customHeight="1" x14ac:dyDescent="0.25">
      <c r="A45" s="23" t="str">
        <v>21/02/2024  05:27</v>
      </c>
      <c r="B45">
        <v>537.44000000000005</v>
      </c>
      <c r="C45">
        <v>537.30999999999995</v>
      </c>
      <c r="D45">
        <v>536.85</v>
      </c>
      <c r="E45">
        <v>536.87</v>
      </c>
      <c r="F45">
        <v>532.52</v>
      </c>
      <c r="G45">
        <v>537.58000000000004</v>
      </c>
      <c r="H45">
        <v>536.52</v>
      </c>
      <c r="I45">
        <v>537.37</v>
      </c>
      <c r="J45">
        <v>536.66</v>
      </c>
      <c r="K45" s="216"/>
      <c r="M45" s="503"/>
      <c r="N45" s="203">
        <v>537.56000000000006</v>
      </c>
      <c r="O45" s="203">
        <v>537.30999999999995</v>
      </c>
      <c r="P45" s="203">
        <v>536.98</v>
      </c>
      <c r="Q45" s="203">
        <v>537.04999999999995</v>
      </c>
      <c r="R45" s="203">
        <v>533.07000000000005</v>
      </c>
      <c r="S45" s="203">
        <v>537.89</v>
      </c>
      <c r="T45" s="203">
        <v>536.61</v>
      </c>
      <c r="U45" s="203">
        <v>537.48</v>
      </c>
      <c r="V45" s="203">
        <v>536.89</v>
      </c>
      <c r="W45" s="203">
        <v>535</v>
      </c>
      <c r="Z45" s="23" t="str">
        <v>21/02/2024  05:27</v>
      </c>
      <c r="AA45">
        <v>533.6</v>
      </c>
      <c r="AB45">
        <v>535.20000000000005</v>
      </c>
      <c r="AC45">
        <v>533.5</v>
      </c>
    </row>
    <row r="46" spans="1:29" ht="14.45" customHeight="1" x14ac:dyDescent="0.25">
      <c r="A46" s="23" t="str">
        <v>21/02/2024  05:28</v>
      </c>
      <c r="B46">
        <v>537.47</v>
      </c>
      <c r="C46">
        <v>537.33000000000004</v>
      </c>
      <c r="D46">
        <v>536.89</v>
      </c>
      <c r="E46">
        <v>536.9</v>
      </c>
      <c r="F46">
        <v>532.57000000000005</v>
      </c>
      <c r="G46">
        <v>537.49</v>
      </c>
      <c r="H46">
        <v>536.54999999999995</v>
      </c>
      <c r="I46">
        <v>537.4</v>
      </c>
      <c r="J46">
        <v>536.69000000000005</v>
      </c>
      <c r="K46" s="216"/>
      <c r="M46" s="503"/>
      <c r="N46" s="203">
        <v>537.59</v>
      </c>
      <c r="O46" s="203">
        <v>537.33000000000004</v>
      </c>
      <c r="P46" s="203">
        <v>537.02</v>
      </c>
      <c r="Q46" s="203">
        <v>537.07999999999993</v>
      </c>
      <c r="R46" s="203">
        <v>533.12000000000012</v>
      </c>
      <c r="S46" s="203">
        <v>537.79999999999995</v>
      </c>
      <c r="T46" s="203">
        <v>536.64</v>
      </c>
      <c r="U46" s="203">
        <v>537.51</v>
      </c>
      <c r="V46" s="203">
        <v>536.92000000000007</v>
      </c>
      <c r="W46" s="203">
        <v>535</v>
      </c>
      <c r="Z46" s="23" t="str">
        <v>21/02/2024  05:28</v>
      </c>
      <c r="AA46">
        <v>533.5</v>
      </c>
      <c r="AB46">
        <v>535.20000000000005</v>
      </c>
      <c r="AC46">
        <v>533.6</v>
      </c>
    </row>
    <row r="47" spans="1:29" ht="14.45" customHeight="1" x14ac:dyDescent="0.25">
      <c r="A47" s="23" t="str">
        <v>21/02/2024  05:29</v>
      </c>
      <c r="B47">
        <v>537.37</v>
      </c>
      <c r="C47">
        <v>537.35</v>
      </c>
      <c r="D47">
        <v>536.83000000000004</v>
      </c>
      <c r="E47">
        <v>536.78</v>
      </c>
      <c r="F47">
        <v>532.44000000000005</v>
      </c>
      <c r="G47">
        <v>537.45000000000005</v>
      </c>
      <c r="H47">
        <v>536.46</v>
      </c>
      <c r="I47">
        <v>537.24</v>
      </c>
      <c r="J47">
        <v>536.54</v>
      </c>
      <c r="K47" s="216"/>
      <c r="M47" s="503"/>
      <c r="N47" s="203">
        <v>537.49</v>
      </c>
      <c r="O47" s="203">
        <v>537.35</v>
      </c>
      <c r="P47" s="203">
        <v>536.96</v>
      </c>
      <c r="Q47" s="203">
        <v>536.95999999999992</v>
      </c>
      <c r="R47" s="203">
        <v>532.99000000000012</v>
      </c>
      <c r="S47" s="203">
        <v>537.76</v>
      </c>
      <c r="T47" s="203">
        <v>536.55000000000007</v>
      </c>
      <c r="U47" s="203">
        <v>537.35</v>
      </c>
      <c r="V47" s="203">
        <v>536.77</v>
      </c>
      <c r="W47" s="203">
        <v>535</v>
      </c>
      <c r="Z47" s="23" t="str">
        <v>21/02/2024  05:29</v>
      </c>
      <c r="AA47">
        <v>533.5</v>
      </c>
      <c r="AB47">
        <v>535.20000000000005</v>
      </c>
      <c r="AC47">
        <v>533.6</v>
      </c>
    </row>
    <row r="48" spans="1:29" ht="14.45" customHeight="1" x14ac:dyDescent="0.25">
      <c r="A48" s="23" t="str">
        <v>21/02/2024  05:30</v>
      </c>
      <c r="B48">
        <v>537.53</v>
      </c>
      <c r="C48">
        <v>537.36</v>
      </c>
      <c r="D48">
        <v>536.92999999999995</v>
      </c>
      <c r="E48">
        <v>536.92999999999995</v>
      </c>
      <c r="F48">
        <v>532.58000000000004</v>
      </c>
      <c r="G48">
        <v>537.45000000000005</v>
      </c>
      <c r="H48">
        <v>536.57000000000005</v>
      </c>
      <c r="I48">
        <v>537.35</v>
      </c>
      <c r="J48">
        <v>536.66999999999996</v>
      </c>
      <c r="K48" s="216"/>
      <c r="M48" s="503"/>
      <c r="N48" s="203">
        <v>537.65</v>
      </c>
      <c r="O48" s="203">
        <v>537.36</v>
      </c>
      <c r="P48" s="203">
        <v>537.05999999999995</v>
      </c>
      <c r="Q48" s="203">
        <v>537.1099999999999</v>
      </c>
      <c r="R48" s="203">
        <v>533.13000000000011</v>
      </c>
      <c r="S48" s="203">
        <v>537.76</v>
      </c>
      <c r="T48" s="203">
        <v>536.66000000000008</v>
      </c>
      <c r="U48" s="203">
        <v>537.46</v>
      </c>
      <c r="V48" s="203">
        <v>536.9</v>
      </c>
      <c r="W48" s="203">
        <v>535</v>
      </c>
      <c r="Z48" s="23" t="str">
        <v>21/02/2024  05:30</v>
      </c>
      <c r="AA48">
        <v>533.4</v>
      </c>
      <c r="AB48">
        <v>535.1</v>
      </c>
      <c r="AC48">
        <v>533.6</v>
      </c>
    </row>
    <row r="49" spans="1:29" ht="14.45" customHeight="1" x14ac:dyDescent="0.25">
      <c r="A49" s="23" t="str">
        <v>21/02/2024  05:31</v>
      </c>
      <c r="B49">
        <v>537.4</v>
      </c>
      <c r="C49">
        <v>537.29</v>
      </c>
      <c r="D49">
        <v>536.82000000000005</v>
      </c>
      <c r="E49">
        <v>536.85</v>
      </c>
      <c r="F49">
        <v>532.37</v>
      </c>
      <c r="G49">
        <v>537.34</v>
      </c>
      <c r="H49">
        <v>536.42999999999995</v>
      </c>
      <c r="I49">
        <v>537.22</v>
      </c>
      <c r="J49">
        <v>536.57000000000005</v>
      </c>
      <c r="K49" s="216"/>
      <c r="M49" s="503"/>
      <c r="N49" s="203">
        <v>537.52</v>
      </c>
      <c r="O49" s="203">
        <v>537.29</v>
      </c>
      <c r="P49" s="203">
        <v>536.95000000000005</v>
      </c>
      <c r="Q49" s="203">
        <v>537.03</v>
      </c>
      <c r="R49" s="203">
        <v>532.92000000000007</v>
      </c>
      <c r="S49" s="203">
        <v>537.65</v>
      </c>
      <c r="T49" s="203">
        <v>536.52</v>
      </c>
      <c r="U49" s="203">
        <v>537.33000000000004</v>
      </c>
      <c r="V49" s="203">
        <v>536.80000000000007</v>
      </c>
      <c r="W49" s="203">
        <v>535</v>
      </c>
      <c r="Z49" s="23" t="str">
        <v>21/02/2024  05:31</v>
      </c>
      <c r="AA49">
        <v>533.4</v>
      </c>
      <c r="AB49">
        <v>535.20000000000005</v>
      </c>
      <c r="AC49">
        <v>533.5</v>
      </c>
    </row>
    <row r="50" spans="1:29" ht="14.45" customHeight="1" x14ac:dyDescent="0.25">
      <c r="A50" s="23" t="str">
        <v>21/02/2024  05:32</v>
      </c>
      <c r="B50">
        <v>537.53</v>
      </c>
      <c r="C50">
        <v>537.4</v>
      </c>
      <c r="D50">
        <v>536.94000000000005</v>
      </c>
      <c r="E50">
        <v>536.92999999999995</v>
      </c>
      <c r="F50">
        <v>532.74</v>
      </c>
      <c r="G50">
        <v>537.53</v>
      </c>
      <c r="H50">
        <v>536.6</v>
      </c>
      <c r="I50">
        <v>537.39</v>
      </c>
      <c r="J50">
        <v>536.69000000000005</v>
      </c>
      <c r="K50" s="216"/>
      <c r="M50" s="503"/>
      <c r="N50" s="203">
        <v>537.65</v>
      </c>
      <c r="O50" s="203">
        <v>537.4</v>
      </c>
      <c r="P50" s="203">
        <v>537.07000000000005</v>
      </c>
      <c r="Q50" s="203">
        <v>537.1099999999999</v>
      </c>
      <c r="R50" s="203">
        <v>533.29000000000008</v>
      </c>
      <c r="S50" s="203">
        <v>537.83999999999992</v>
      </c>
      <c r="T50" s="203">
        <v>536.69000000000005</v>
      </c>
      <c r="U50" s="203">
        <v>537.5</v>
      </c>
      <c r="V50" s="203">
        <v>536.92000000000007</v>
      </c>
      <c r="W50" s="203">
        <v>535</v>
      </c>
      <c r="Z50" s="23" t="str">
        <v>21/02/2024  05:32</v>
      </c>
      <c r="AA50">
        <v>533.4</v>
      </c>
      <c r="AB50">
        <v>535.1</v>
      </c>
      <c r="AC50">
        <v>533.6</v>
      </c>
    </row>
    <row r="51" spans="1:29" ht="14.45" customHeight="1" x14ac:dyDescent="0.25">
      <c r="A51" s="23" t="str">
        <v>21/02/2024  05:33</v>
      </c>
      <c r="B51">
        <v>537.47</v>
      </c>
      <c r="C51">
        <v>537.33000000000004</v>
      </c>
      <c r="D51">
        <v>536.95000000000005</v>
      </c>
      <c r="E51">
        <v>536.94000000000005</v>
      </c>
      <c r="F51">
        <v>532.5</v>
      </c>
      <c r="G51">
        <v>537.46</v>
      </c>
      <c r="H51">
        <v>536.52</v>
      </c>
      <c r="I51">
        <v>537.41999999999996</v>
      </c>
      <c r="J51">
        <v>536.66999999999996</v>
      </c>
      <c r="K51" s="216"/>
      <c r="M51" s="503"/>
      <c r="N51" s="203">
        <v>537.59</v>
      </c>
      <c r="O51" s="203">
        <v>537.33000000000004</v>
      </c>
      <c r="P51" s="203">
        <v>537.08000000000004</v>
      </c>
      <c r="Q51" s="203">
        <v>537.12</v>
      </c>
      <c r="R51" s="203">
        <v>533.05000000000007</v>
      </c>
      <c r="S51" s="203">
        <v>537.77</v>
      </c>
      <c r="T51" s="203">
        <v>536.61</v>
      </c>
      <c r="U51" s="203">
        <v>537.53</v>
      </c>
      <c r="V51" s="203">
        <v>536.9</v>
      </c>
      <c r="W51" s="203">
        <v>535</v>
      </c>
      <c r="Z51" s="23" t="str">
        <v>21/02/2024  05:33</v>
      </c>
      <c r="AA51">
        <v>533.5</v>
      </c>
      <c r="AB51">
        <v>535.1</v>
      </c>
      <c r="AC51">
        <v>533.5</v>
      </c>
    </row>
    <row r="52" spans="1:29" ht="14.45" customHeight="1" x14ac:dyDescent="0.25">
      <c r="A52" s="23" t="str">
        <v>21/02/2024  05:34</v>
      </c>
      <c r="B52">
        <v>537.49</v>
      </c>
      <c r="C52">
        <v>537.32000000000005</v>
      </c>
      <c r="D52">
        <v>536.9</v>
      </c>
      <c r="E52">
        <v>536.91999999999996</v>
      </c>
      <c r="F52">
        <v>532.55999999999995</v>
      </c>
      <c r="G52">
        <v>537.44000000000005</v>
      </c>
      <c r="H52">
        <v>536.51</v>
      </c>
      <c r="I52">
        <v>537.29</v>
      </c>
      <c r="J52">
        <v>536.66999999999996</v>
      </c>
      <c r="K52" s="216"/>
      <c r="M52" s="503"/>
      <c r="N52" s="203">
        <v>537.61</v>
      </c>
      <c r="O52" s="203">
        <v>537.32000000000005</v>
      </c>
      <c r="P52" s="203">
        <v>537.03</v>
      </c>
      <c r="Q52" s="203">
        <v>537.09999999999991</v>
      </c>
      <c r="R52" s="203">
        <v>533.11</v>
      </c>
      <c r="S52" s="203">
        <v>537.75</v>
      </c>
      <c r="T52" s="203">
        <v>536.6</v>
      </c>
      <c r="U52" s="203">
        <v>537.4</v>
      </c>
      <c r="V52" s="203">
        <v>536.9</v>
      </c>
      <c r="W52" s="203">
        <v>535</v>
      </c>
      <c r="Z52" s="23" t="str">
        <v>21/02/2024  05:34</v>
      </c>
      <c r="AA52">
        <v>533.5</v>
      </c>
      <c r="AB52">
        <v>535.1</v>
      </c>
      <c r="AC52">
        <v>533.4</v>
      </c>
    </row>
    <row r="53" spans="1:29" ht="14.45" customHeight="1" x14ac:dyDescent="0.25">
      <c r="A53" s="23" t="str">
        <v>21/02/2024  05:35</v>
      </c>
      <c r="B53">
        <v>537.49</v>
      </c>
      <c r="C53">
        <v>537.30999999999995</v>
      </c>
      <c r="D53">
        <v>536.94000000000005</v>
      </c>
      <c r="E53">
        <v>536.92999999999995</v>
      </c>
      <c r="F53">
        <v>532.64</v>
      </c>
      <c r="G53">
        <v>537.41</v>
      </c>
      <c r="H53">
        <v>536.49</v>
      </c>
      <c r="I53">
        <v>537.29999999999995</v>
      </c>
      <c r="J53">
        <v>536.66</v>
      </c>
      <c r="K53" s="216"/>
      <c r="M53" s="503"/>
      <c r="N53" s="203">
        <v>537.61</v>
      </c>
      <c r="O53" s="203">
        <v>537.30999999999995</v>
      </c>
      <c r="P53" s="203">
        <v>537.07000000000005</v>
      </c>
      <c r="Q53" s="203">
        <v>537.1099999999999</v>
      </c>
      <c r="R53" s="203">
        <v>533.19000000000005</v>
      </c>
      <c r="S53" s="203">
        <v>537.71999999999991</v>
      </c>
      <c r="T53" s="203">
        <v>536.58000000000004</v>
      </c>
      <c r="U53" s="203">
        <v>537.41</v>
      </c>
      <c r="V53" s="203">
        <v>536.89</v>
      </c>
      <c r="W53" s="203">
        <v>535</v>
      </c>
      <c r="Z53" s="23" t="str">
        <v>21/02/2024  05:35</v>
      </c>
      <c r="AA53">
        <v>533.5</v>
      </c>
      <c r="AB53">
        <v>535.1</v>
      </c>
      <c r="AC53">
        <v>533.6</v>
      </c>
    </row>
    <row r="54" spans="1:29" ht="14.45" customHeight="1" x14ac:dyDescent="0.25">
      <c r="A54" s="23" t="str">
        <v>21/02/2024  05:36</v>
      </c>
      <c r="B54">
        <v>537.41999999999996</v>
      </c>
      <c r="C54">
        <v>537.4</v>
      </c>
      <c r="D54">
        <v>536.87</v>
      </c>
      <c r="E54">
        <v>536.83000000000004</v>
      </c>
      <c r="F54">
        <v>532.74</v>
      </c>
      <c r="G54">
        <v>537.4</v>
      </c>
      <c r="H54">
        <v>536.48</v>
      </c>
      <c r="I54">
        <v>537.23</v>
      </c>
      <c r="J54">
        <v>536.57000000000005</v>
      </c>
      <c r="K54" s="216"/>
      <c r="M54" s="503"/>
      <c r="N54" s="203">
        <v>537.54</v>
      </c>
      <c r="O54" s="203">
        <v>537.4</v>
      </c>
      <c r="P54" s="203">
        <v>537</v>
      </c>
      <c r="Q54" s="203">
        <v>537.01</v>
      </c>
      <c r="R54" s="203">
        <v>533.29000000000008</v>
      </c>
      <c r="S54" s="203">
        <v>537.70999999999992</v>
      </c>
      <c r="T54" s="203">
        <v>536.57000000000005</v>
      </c>
      <c r="U54" s="203">
        <v>537.34</v>
      </c>
      <c r="V54" s="203">
        <v>536.80000000000007</v>
      </c>
      <c r="W54" s="203">
        <v>535</v>
      </c>
      <c r="Z54" s="23" t="str">
        <v>21/02/2024  05:36</v>
      </c>
      <c r="AA54">
        <v>533.5</v>
      </c>
      <c r="AB54">
        <v>535.1</v>
      </c>
      <c r="AC54">
        <v>533.6</v>
      </c>
    </row>
    <row r="55" spans="1:29" ht="14.45" customHeight="1" x14ac:dyDescent="0.25">
      <c r="A55" s="23" t="str">
        <v>21/02/2024  05:37</v>
      </c>
      <c r="B55">
        <v>537.6</v>
      </c>
      <c r="C55">
        <v>537.4</v>
      </c>
      <c r="D55">
        <v>537.01</v>
      </c>
      <c r="E55">
        <v>537.08000000000004</v>
      </c>
      <c r="F55">
        <v>532.70000000000005</v>
      </c>
      <c r="G55">
        <v>537.52</v>
      </c>
      <c r="H55">
        <v>536.54</v>
      </c>
      <c r="I55">
        <v>537.42999999999995</v>
      </c>
      <c r="J55">
        <v>536.76</v>
      </c>
      <c r="K55" s="216"/>
      <c r="M55" s="503"/>
      <c r="N55" s="203">
        <v>537.72</v>
      </c>
      <c r="O55" s="203">
        <v>537.4</v>
      </c>
      <c r="P55" s="203">
        <v>537.14</v>
      </c>
      <c r="Q55" s="203">
        <v>537.26</v>
      </c>
      <c r="R55" s="203">
        <v>533.25000000000011</v>
      </c>
      <c r="S55" s="203">
        <v>537.82999999999993</v>
      </c>
      <c r="T55" s="203">
        <v>536.63</v>
      </c>
      <c r="U55" s="203">
        <v>537.54</v>
      </c>
      <c r="V55" s="203">
        <v>536.99</v>
      </c>
      <c r="W55" s="203">
        <v>535</v>
      </c>
      <c r="Z55" s="23" t="str">
        <v>21/02/2024  05:37</v>
      </c>
      <c r="AA55">
        <v>533.5</v>
      </c>
      <c r="AB55">
        <v>535</v>
      </c>
      <c r="AC55">
        <v>533.5</v>
      </c>
    </row>
    <row r="56" spans="1:29" ht="14.45" customHeight="1" x14ac:dyDescent="0.25">
      <c r="A56" s="23" t="str">
        <v>21/02/2024  05:38</v>
      </c>
      <c r="B56">
        <v>537.47</v>
      </c>
      <c r="C56">
        <v>537.29999999999995</v>
      </c>
      <c r="D56">
        <v>536.87</v>
      </c>
      <c r="E56">
        <v>536.89</v>
      </c>
      <c r="F56">
        <v>532.35</v>
      </c>
      <c r="G56">
        <v>537.36</v>
      </c>
      <c r="H56">
        <v>536.47</v>
      </c>
      <c r="I56">
        <v>537.29</v>
      </c>
      <c r="J56">
        <v>536.59</v>
      </c>
      <c r="K56" s="216"/>
      <c r="M56" s="503"/>
      <c r="N56" s="203">
        <v>537.59</v>
      </c>
      <c r="O56" s="203">
        <v>537.29999999999995</v>
      </c>
      <c r="P56" s="203">
        <v>537</v>
      </c>
      <c r="Q56" s="203">
        <v>537.06999999999994</v>
      </c>
      <c r="R56" s="203">
        <v>532.90000000000009</v>
      </c>
      <c r="S56" s="203">
        <v>537.66999999999996</v>
      </c>
      <c r="T56" s="203">
        <v>536.56000000000006</v>
      </c>
      <c r="U56" s="203">
        <v>537.4</v>
      </c>
      <c r="V56" s="203">
        <v>536.82000000000005</v>
      </c>
      <c r="W56" s="203">
        <v>535</v>
      </c>
      <c r="Z56" s="23" t="str">
        <v>21/02/2024  05:38</v>
      </c>
      <c r="AA56">
        <v>533.5</v>
      </c>
      <c r="AB56">
        <v>535.1</v>
      </c>
      <c r="AC56">
        <v>533.4</v>
      </c>
    </row>
    <row r="57" spans="1:29" ht="14.45" customHeight="1" x14ac:dyDescent="0.25">
      <c r="A57" s="23" t="str">
        <v>21/02/2024  05:39</v>
      </c>
      <c r="B57">
        <v>537.44000000000005</v>
      </c>
      <c r="C57">
        <v>537.34</v>
      </c>
      <c r="D57">
        <v>536.80999999999995</v>
      </c>
      <c r="E57">
        <v>536.79999999999995</v>
      </c>
      <c r="F57">
        <v>532.5</v>
      </c>
      <c r="G57">
        <v>537.29999999999995</v>
      </c>
      <c r="H57">
        <v>536.33000000000004</v>
      </c>
      <c r="I57">
        <v>537.07000000000005</v>
      </c>
      <c r="J57">
        <v>536.5</v>
      </c>
      <c r="K57" s="216"/>
      <c r="M57" s="503"/>
      <c r="N57" s="203">
        <v>537.56000000000006</v>
      </c>
      <c r="O57" s="203">
        <v>537.34</v>
      </c>
      <c r="P57" s="203">
        <v>536.93999999999994</v>
      </c>
      <c r="Q57" s="203">
        <v>536.9799999999999</v>
      </c>
      <c r="R57" s="203">
        <v>533.05000000000007</v>
      </c>
      <c r="S57" s="203">
        <v>537.6099999999999</v>
      </c>
      <c r="T57" s="203">
        <v>536.42000000000007</v>
      </c>
      <c r="U57" s="203">
        <v>537.18000000000006</v>
      </c>
      <c r="V57" s="203">
        <v>536.73</v>
      </c>
      <c r="W57" s="203">
        <v>535</v>
      </c>
      <c r="Z57" s="23" t="str">
        <v>21/02/2024  05:39</v>
      </c>
      <c r="AA57">
        <v>533.4</v>
      </c>
      <c r="AB57">
        <v>535.1</v>
      </c>
      <c r="AC57">
        <v>533.5</v>
      </c>
    </row>
    <row r="58" spans="1:29" ht="14.45" customHeight="1" x14ac:dyDescent="0.25">
      <c r="A58" s="23" t="str">
        <v>21/02/2024  05:40</v>
      </c>
      <c r="B58">
        <v>537.53</v>
      </c>
      <c r="C58">
        <v>537.34</v>
      </c>
      <c r="D58">
        <v>536.98</v>
      </c>
      <c r="E58">
        <v>536.98</v>
      </c>
      <c r="F58">
        <v>532.62</v>
      </c>
      <c r="G58">
        <v>537.42999999999995</v>
      </c>
      <c r="H58">
        <v>536.51</v>
      </c>
      <c r="I58">
        <v>537.32000000000005</v>
      </c>
      <c r="J58">
        <v>536.69000000000005</v>
      </c>
      <c r="K58" s="216"/>
      <c r="M58" s="503"/>
      <c r="N58" s="203">
        <v>537.65</v>
      </c>
      <c r="O58" s="203">
        <v>537.34</v>
      </c>
      <c r="P58" s="203">
        <v>537.11</v>
      </c>
      <c r="Q58" s="203">
        <v>537.16</v>
      </c>
      <c r="R58" s="203">
        <v>533.17000000000007</v>
      </c>
      <c r="S58" s="203">
        <v>537.7399999999999</v>
      </c>
      <c r="T58" s="203">
        <v>536.6</v>
      </c>
      <c r="U58" s="203">
        <v>537.43000000000006</v>
      </c>
      <c r="V58" s="203">
        <v>536.92000000000007</v>
      </c>
      <c r="W58" s="203">
        <v>535</v>
      </c>
      <c r="Z58" s="23" t="str">
        <v>21/02/2024  05:40</v>
      </c>
      <c r="AA58">
        <v>533.4</v>
      </c>
      <c r="AB58">
        <v>535</v>
      </c>
      <c r="AC58">
        <v>533.4</v>
      </c>
    </row>
    <row r="59" spans="1:29" ht="14.45" customHeight="1" x14ac:dyDescent="0.25">
      <c r="A59" s="23" t="str">
        <v>21/02/2024  05:41</v>
      </c>
      <c r="B59">
        <v>537.42999999999995</v>
      </c>
      <c r="C59">
        <v>537.27</v>
      </c>
      <c r="D59">
        <v>536.85</v>
      </c>
      <c r="E59">
        <v>536.83000000000004</v>
      </c>
      <c r="F59">
        <v>532.49</v>
      </c>
      <c r="G59">
        <v>537.28</v>
      </c>
      <c r="H59">
        <v>536.35</v>
      </c>
      <c r="I59">
        <v>537.14</v>
      </c>
      <c r="J59">
        <v>536.54</v>
      </c>
      <c r="K59" s="216"/>
      <c r="M59" s="503"/>
      <c r="N59" s="203">
        <v>537.54999999999995</v>
      </c>
      <c r="O59" s="203">
        <v>537.27</v>
      </c>
      <c r="P59" s="203">
        <v>536.98</v>
      </c>
      <c r="Q59" s="203">
        <v>537.01</v>
      </c>
      <c r="R59" s="203">
        <v>533.04000000000008</v>
      </c>
      <c r="S59" s="203">
        <v>537.58999999999992</v>
      </c>
      <c r="T59" s="203">
        <v>536.44000000000005</v>
      </c>
      <c r="U59" s="203">
        <v>537.25</v>
      </c>
      <c r="V59" s="203">
        <v>536.77</v>
      </c>
      <c r="W59" s="203">
        <v>535</v>
      </c>
      <c r="Z59" s="23" t="str">
        <v>21/02/2024  05:41</v>
      </c>
      <c r="AA59">
        <v>533.5</v>
      </c>
      <c r="AB59">
        <v>535.1</v>
      </c>
      <c r="AC59">
        <v>533.6</v>
      </c>
    </row>
    <row r="60" spans="1:29" ht="14.45" customHeight="1" x14ac:dyDescent="0.25">
      <c r="A60" s="23" t="str">
        <v>21/02/2024  05:42</v>
      </c>
      <c r="B60">
        <v>537.39</v>
      </c>
      <c r="C60">
        <v>537.29</v>
      </c>
      <c r="D60">
        <v>536.87</v>
      </c>
      <c r="E60">
        <v>536.86</v>
      </c>
      <c r="F60">
        <v>532.5</v>
      </c>
      <c r="G60">
        <v>537.36</v>
      </c>
      <c r="H60">
        <v>536.39</v>
      </c>
      <c r="I60">
        <v>537.16999999999996</v>
      </c>
      <c r="J60">
        <v>536.54999999999995</v>
      </c>
      <c r="K60" s="216"/>
      <c r="M60" s="503"/>
      <c r="N60" s="203">
        <v>537.51</v>
      </c>
      <c r="O60" s="203">
        <v>537.29</v>
      </c>
      <c r="P60" s="203">
        <v>537</v>
      </c>
      <c r="Q60" s="203">
        <v>537.04</v>
      </c>
      <c r="R60" s="203">
        <v>533.05000000000007</v>
      </c>
      <c r="S60" s="203">
        <v>537.66999999999996</v>
      </c>
      <c r="T60" s="203">
        <v>536.48</v>
      </c>
      <c r="U60" s="203">
        <v>537.28</v>
      </c>
      <c r="V60" s="203">
        <v>536.78</v>
      </c>
      <c r="W60" s="203">
        <v>535</v>
      </c>
      <c r="Z60" s="23" t="str">
        <v>21/02/2024  05:42</v>
      </c>
      <c r="AA60">
        <v>533.4</v>
      </c>
      <c r="AB60">
        <v>535.1</v>
      </c>
      <c r="AC60">
        <v>533.5</v>
      </c>
    </row>
    <row r="61" spans="1:29" ht="14.45" customHeight="1" x14ac:dyDescent="0.25">
      <c r="A61" s="23" t="str">
        <v>21/02/2024  05:43</v>
      </c>
      <c r="B61">
        <v>537.37</v>
      </c>
      <c r="C61">
        <v>537.26</v>
      </c>
      <c r="D61">
        <v>536.82000000000005</v>
      </c>
      <c r="E61">
        <v>536.80999999999995</v>
      </c>
      <c r="F61">
        <v>532.16999999999996</v>
      </c>
      <c r="G61">
        <v>537.30999999999995</v>
      </c>
      <c r="H61">
        <v>536.36</v>
      </c>
      <c r="I61">
        <v>537.16999999999996</v>
      </c>
      <c r="J61">
        <v>536.5</v>
      </c>
      <c r="K61" s="216"/>
      <c r="M61" s="503"/>
      <c r="N61" s="203">
        <v>537.49</v>
      </c>
      <c r="O61" s="203">
        <v>537.26</v>
      </c>
      <c r="P61" s="203">
        <v>536.95000000000005</v>
      </c>
      <c r="Q61" s="203">
        <v>536.9899999999999</v>
      </c>
      <c r="R61" s="203">
        <v>532.72</v>
      </c>
      <c r="S61" s="203">
        <v>537.61999999999989</v>
      </c>
      <c r="T61" s="203">
        <v>536.45000000000005</v>
      </c>
      <c r="U61" s="203">
        <v>537.28</v>
      </c>
      <c r="V61" s="203">
        <v>536.73</v>
      </c>
      <c r="W61" s="203">
        <v>535</v>
      </c>
      <c r="Z61" s="23" t="str">
        <v>21/02/2024  05:43</v>
      </c>
      <c r="AA61">
        <v>533.29999999999995</v>
      </c>
      <c r="AB61">
        <v>535.1</v>
      </c>
      <c r="AC61">
        <v>533.5</v>
      </c>
    </row>
    <row r="62" spans="1:29" ht="14.45" customHeight="1" x14ac:dyDescent="0.25">
      <c r="A62" s="23" t="str">
        <v>21/02/2024  05:44</v>
      </c>
      <c r="B62">
        <v>537.46</v>
      </c>
      <c r="C62">
        <v>537.25</v>
      </c>
      <c r="D62">
        <v>536.87</v>
      </c>
      <c r="E62">
        <v>536.89</v>
      </c>
      <c r="F62">
        <v>532.5</v>
      </c>
      <c r="G62">
        <v>537.39</v>
      </c>
      <c r="H62">
        <v>536.39</v>
      </c>
      <c r="I62">
        <v>537.24</v>
      </c>
      <c r="J62">
        <v>536.59</v>
      </c>
      <c r="K62" s="216"/>
      <c r="M62" s="503"/>
      <c r="N62" s="203">
        <v>537.58000000000004</v>
      </c>
      <c r="O62" s="203">
        <v>537.25</v>
      </c>
      <c r="P62" s="203">
        <v>537</v>
      </c>
      <c r="Q62" s="203">
        <v>537.06999999999994</v>
      </c>
      <c r="R62" s="203">
        <v>533.05000000000007</v>
      </c>
      <c r="S62" s="203">
        <v>537.69999999999993</v>
      </c>
      <c r="T62" s="203">
        <v>536.48</v>
      </c>
      <c r="U62" s="203">
        <v>537.35</v>
      </c>
      <c r="V62" s="203">
        <v>536.82000000000005</v>
      </c>
      <c r="W62" s="203">
        <v>535</v>
      </c>
      <c r="Z62" s="23" t="str">
        <v>21/02/2024  05:44</v>
      </c>
      <c r="AA62">
        <v>533.29999999999995</v>
      </c>
      <c r="AB62">
        <v>535</v>
      </c>
      <c r="AC62">
        <v>533.5</v>
      </c>
    </row>
    <row r="63" spans="1:29" ht="14.45" customHeight="1" x14ac:dyDescent="0.25">
      <c r="A63" s="23" t="str">
        <v>21/02/2024  05:45</v>
      </c>
      <c r="B63">
        <v>537.30999999999995</v>
      </c>
      <c r="C63">
        <v>537.23</v>
      </c>
      <c r="D63">
        <v>536.75</v>
      </c>
      <c r="E63">
        <v>536.75</v>
      </c>
      <c r="F63">
        <v>532.29</v>
      </c>
      <c r="G63">
        <v>537.21</v>
      </c>
      <c r="H63">
        <v>536.28</v>
      </c>
      <c r="I63">
        <v>537.07000000000005</v>
      </c>
      <c r="J63">
        <v>536.46</v>
      </c>
      <c r="K63" s="216"/>
      <c r="M63" s="503"/>
      <c r="N63" s="203">
        <v>537.42999999999995</v>
      </c>
      <c r="O63" s="203">
        <v>537.23</v>
      </c>
      <c r="P63" s="203">
        <v>536.88</v>
      </c>
      <c r="Q63" s="203">
        <v>536.92999999999995</v>
      </c>
      <c r="R63" s="203">
        <v>532.84</v>
      </c>
      <c r="S63" s="203">
        <v>537.52</v>
      </c>
      <c r="T63" s="203">
        <v>536.37</v>
      </c>
      <c r="U63" s="203">
        <v>537.18000000000006</v>
      </c>
      <c r="V63" s="203">
        <v>536.69000000000005</v>
      </c>
      <c r="W63" s="203">
        <v>535</v>
      </c>
      <c r="Z63" s="23" t="str">
        <v>21/02/2024  05:45</v>
      </c>
      <c r="AA63">
        <v>533.4</v>
      </c>
      <c r="AB63">
        <v>535.1</v>
      </c>
      <c r="AC63">
        <v>533.6</v>
      </c>
    </row>
    <row r="64" spans="1:29" ht="14.45" customHeight="1" x14ac:dyDescent="0.25">
      <c r="A64" s="23" t="str">
        <v>21/02/2024  05:46</v>
      </c>
      <c r="B64">
        <v>537.33000000000004</v>
      </c>
      <c r="C64">
        <v>537.27</v>
      </c>
      <c r="D64">
        <v>536.84</v>
      </c>
      <c r="E64">
        <v>536.82000000000005</v>
      </c>
      <c r="F64">
        <v>532.39</v>
      </c>
      <c r="G64">
        <v>537.29999999999995</v>
      </c>
      <c r="H64">
        <v>536.36</v>
      </c>
      <c r="I64">
        <v>537.22</v>
      </c>
      <c r="J64">
        <v>536.51</v>
      </c>
      <c r="K64" s="216"/>
      <c r="M64" s="503"/>
      <c r="N64" s="203">
        <v>537.45000000000005</v>
      </c>
      <c r="O64" s="203">
        <v>537.27</v>
      </c>
      <c r="P64" s="203">
        <v>536.97</v>
      </c>
      <c r="Q64" s="203">
        <v>537</v>
      </c>
      <c r="R64" s="203">
        <v>532.94000000000005</v>
      </c>
      <c r="S64" s="203">
        <v>537.6099999999999</v>
      </c>
      <c r="T64" s="203">
        <v>536.45000000000005</v>
      </c>
      <c r="U64" s="203">
        <v>537.33000000000004</v>
      </c>
      <c r="V64" s="203">
        <v>536.74</v>
      </c>
      <c r="W64" s="203">
        <v>535</v>
      </c>
      <c r="Z64" s="23" t="str">
        <v>21/02/2024  05:46</v>
      </c>
      <c r="AA64">
        <v>533.29999999999995</v>
      </c>
      <c r="AB64">
        <v>535</v>
      </c>
      <c r="AC64">
        <v>533.5</v>
      </c>
    </row>
    <row r="65" spans="1:29" ht="14.45" customHeight="1" x14ac:dyDescent="0.25">
      <c r="A65" s="376"/>
      <c r="B65" s="376"/>
      <c r="C65" s="376"/>
      <c r="D65" s="376"/>
      <c r="E65" s="376"/>
      <c r="F65" s="376"/>
      <c r="G65" s="376"/>
      <c r="H65" s="376"/>
      <c r="I65" s="376"/>
      <c r="J65" s="376"/>
      <c r="K65" s="376"/>
      <c r="L65" s="376"/>
      <c r="M65" s="376"/>
      <c r="N65" s="376"/>
      <c r="O65" s="376"/>
      <c r="P65" s="376"/>
      <c r="Q65" s="376"/>
      <c r="R65" s="376"/>
      <c r="S65" s="376"/>
      <c r="T65" s="376"/>
      <c r="U65" s="376"/>
      <c r="V65" s="376"/>
      <c r="W65" s="376"/>
      <c r="Z65" s="23"/>
      <c r="AA65"/>
      <c r="AB65"/>
      <c r="AC65"/>
    </row>
    <row r="66" spans="1:29" ht="14.45" customHeight="1" x14ac:dyDescent="0.25">
      <c r="A66" s="23"/>
      <c r="B66"/>
      <c r="C66"/>
      <c r="D66"/>
      <c r="E66"/>
      <c r="F66"/>
      <c r="G66"/>
      <c r="H66"/>
      <c r="I66"/>
      <c r="J66"/>
      <c r="K66" s="216"/>
      <c r="M66" s="145"/>
      <c r="N66" s="145"/>
      <c r="O66" s="145"/>
      <c r="P66" s="145"/>
      <c r="Q66" s="145"/>
      <c r="R66" s="145"/>
      <c r="S66" s="145"/>
      <c r="T66" s="145"/>
      <c r="U66" s="145"/>
      <c r="V66" s="145"/>
      <c r="W66" s="145"/>
      <c r="Z66" s="23"/>
      <c r="AA66"/>
      <c r="AB66"/>
      <c r="AC66"/>
    </row>
    <row r="67" spans="1:29" ht="14.45" customHeight="1" x14ac:dyDescent="0.25">
      <c r="A67" s="23"/>
      <c r="B67"/>
      <c r="C67"/>
      <c r="D67"/>
      <c r="E67"/>
      <c r="F67"/>
      <c r="G67"/>
      <c r="H67"/>
      <c r="I67"/>
      <c r="J67"/>
      <c r="K67" s="216"/>
      <c r="M67" s="91" t="s">
        <v>90</v>
      </c>
      <c r="N67" s="217">
        <f>MAX(tab_transfert535[Connecteur 1])+N$2+N$3</f>
        <v>537.78</v>
      </c>
      <c r="O67" s="217">
        <f>MAX(tab_transfert535[Connecteur 2])+O$2+O$3</f>
        <v>537.44000000000005</v>
      </c>
      <c r="P67" s="217">
        <f>MAX(tab_transfert535[Connecteur 3])+P$2+P$3</f>
        <v>537.16</v>
      </c>
      <c r="Q67" s="217">
        <f>MAX(tab_transfert535[Connecteur 4])+Q$2+Q$3</f>
        <v>537.27</v>
      </c>
      <c r="R67" s="217">
        <f>MAX(tab_transfert535[Connecteur 5])+R$2+R$3</f>
        <v>534.2600000000001</v>
      </c>
      <c r="S67" s="217">
        <f>MAX(tab_transfert535[Connecteur 6])+S$2+S$3</f>
        <v>538.41</v>
      </c>
      <c r="T67" s="217">
        <f>MAX(tab_transfert535[Connecteur 7])+T$2+T$3</f>
        <v>536.96</v>
      </c>
      <c r="U67" s="217">
        <f>MAX(tab_transfert535[Connecteur 8])+U$2+U$3</f>
        <v>538.47</v>
      </c>
      <c r="V67" s="217">
        <f>MAX(tab_transfert535[Connecteur 9])+V$2+V$3</f>
        <v>537.15</v>
      </c>
      <c r="W67" s="200">
        <f>MAX(N67:V67)</f>
        <v>538.47</v>
      </c>
      <c r="Z67" s="23"/>
      <c r="AA67"/>
      <c r="AB67"/>
      <c r="AC67"/>
    </row>
    <row r="68" spans="1:29" ht="14.45" customHeight="1" x14ac:dyDescent="0.25">
      <c r="A68" s="23"/>
      <c r="B68"/>
      <c r="C68"/>
      <c r="D68"/>
      <c r="E68"/>
      <c r="F68"/>
      <c r="G68"/>
      <c r="H68"/>
      <c r="I68"/>
      <c r="J68"/>
      <c r="K68" s="216"/>
      <c r="M68" s="91" t="s">
        <v>91</v>
      </c>
      <c r="N68" s="217">
        <f ca="1">MAX(OFFSET(INDEX(tab_transfert535[Connecteur 1],1),COUNT(tab_transfert535[Connecteur 1])-30,0,30))+N$2+N$3</f>
        <v>537.78</v>
      </c>
      <c r="O68" s="217">
        <f ca="1">MAX(OFFSET(INDEX(tab_transfert535[Connecteur 2],1),COUNT(tab_transfert535[Connecteur 2])-30,0,30))+O$2+O$3</f>
        <v>537.44000000000005</v>
      </c>
      <c r="P68" s="217">
        <f ca="1">MAX(OFFSET(INDEX(tab_transfert535[Connecteur 3],1),COUNT(tab_transfert535[Connecteur 3])-30,0,30))+P$2+P$3</f>
        <v>537.16</v>
      </c>
      <c r="Q68" s="217">
        <f ca="1">MAX(OFFSET(INDEX(tab_transfert535[Connecteur 4],1),COUNT(tab_transfert535[Connecteur 4])-30,0,30))+Q$2+Q$3</f>
        <v>537.27</v>
      </c>
      <c r="R68" s="217">
        <f ca="1">MAX(OFFSET(INDEX(tab_transfert535[Connecteur 5],1),COUNT(tab_transfert535[Connecteur 5])-30,0,30))+R$2+R$3</f>
        <v>533.53000000000009</v>
      </c>
      <c r="S68" s="217">
        <f ca="1">MAX(OFFSET(INDEX(tab_transfert535[Connecteur 6],1),COUNT(tab_transfert535[Connecteur 6])-30,0,30))+S$2+S$3</f>
        <v>538.19999999999993</v>
      </c>
      <c r="T68" s="217">
        <f ca="1">MAX(OFFSET(INDEX(tab_transfert535[Connecteur 7],1),COUNT(tab_transfert535[Connecteur 7])-30,0,30))+T$2+T$3</f>
        <v>536.87</v>
      </c>
      <c r="U68" s="217">
        <f ca="1">MAX(OFFSET(INDEX(tab_transfert535[Connecteur 8],1),COUNT(tab_transfert535[Connecteur 8])-30,0,30))+U$2+U$3</f>
        <v>537.98</v>
      </c>
      <c r="V68" s="217">
        <f ca="1">MAX(OFFSET(INDEX(tab_transfert535[Connecteur 9],1),COUNT(tab_transfert535[Connecteur 9])-30,0,30))+V$2+V$3</f>
        <v>537.13</v>
      </c>
      <c r="W68" s="200">
        <f ca="1">MAX(N68:V68)</f>
        <v>538.19999999999993</v>
      </c>
      <c r="Z68" s="23"/>
      <c r="AA68"/>
      <c r="AB68"/>
      <c r="AC68"/>
    </row>
    <row r="69" spans="1:29" ht="14.45" customHeight="1" x14ac:dyDescent="0.25">
      <c r="A69" s="23"/>
      <c r="B69"/>
      <c r="C69"/>
      <c r="D69"/>
      <c r="E69"/>
      <c r="F69"/>
      <c r="G69"/>
      <c r="H69"/>
      <c r="I69"/>
      <c r="J69"/>
      <c r="K69" s="216"/>
      <c r="M69" s="91" t="s">
        <v>93</v>
      </c>
      <c r="N69" s="217">
        <f ca="1">MIN(OFFSET(INDEX(tab_transfert535[Connecteur 1],1),COUNT(tab_transfert535[Connecteur 1])-30,0,30))+N$2+N$3</f>
        <v>537.42999999999995</v>
      </c>
      <c r="O69" s="217">
        <f ca="1">MIN(OFFSET(INDEX(tab_transfert535[Connecteur 2],1),COUNT(tab_transfert535[Connecteur 2])-30,0,30))+O$2+O$3</f>
        <v>537.11</v>
      </c>
      <c r="P69" s="217">
        <f ca="1">MIN(OFFSET(INDEX(tab_transfert535[Connecteur 3],1),COUNT(tab_transfert535[Connecteur 3])-30,0,30))+P$2+P$3</f>
        <v>536.84</v>
      </c>
      <c r="Q69" s="217">
        <f ca="1">MIN(OFFSET(INDEX(tab_transfert535[Connecteur 4],1),COUNT(tab_transfert535[Connecteur 4])-30,0,30))+Q$2+Q$3</f>
        <v>536.92999999999995</v>
      </c>
      <c r="R69" s="217">
        <f ca="1">MIN(OFFSET(INDEX(tab_transfert535[Connecteur 5],1),COUNT(tab_transfert535[Connecteur 5])-30,0,30))+R$2+R$3</f>
        <v>532.72</v>
      </c>
      <c r="S69" s="217">
        <f ca="1">MIN(OFFSET(INDEX(tab_transfert535[Connecteur 6],1),COUNT(tab_transfert535[Connecteur 6])-30,0,30))+S$2+S$3</f>
        <v>537.52</v>
      </c>
      <c r="T69" s="217">
        <f ca="1">MIN(OFFSET(INDEX(tab_transfert535[Connecteur 7],1),COUNT(tab_transfert535[Connecteur 7])-30,0,30))+T$2+T$3</f>
        <v>536.37</v>
      </c>
      <c r="U69" s="217">
        <f ca="1">MIN(OFFSET(INDEX(tab_transfert535[Connecteur 8],1),COUNT(tab_transfert535[Connecteur 8])-30,0,30))+U$2+U$3</f>
        <v>537.18000000000006</v>
      </c>
      <c r="V69" s="217">
        <f ca="1">MIN(OFFSET(INDEX(tab_transfert535[Connecteur 9],1),COUNT(tab_transfert535[Connecteur 9])-30,0,30))+V$2+V$3</f>
        <v>536.69000000000005</v>
      </c>
      <c r="W69" s="200">
        <f ca="1">MIN(N69:V69)</f>
        <v>532.72</v>
      </c>
      <c r="Z69" s="23"/>
      <c r="AA69"/>
      <c r="AB69"/>
      <c r="AC69"/>
    </row>
    <row r="70" spans="1:29" ht="14.45" customHeight="1" x14ac:dyDescent="0.25">
      <c r="A70" s="23"/>
      <c r="B70"/>
      <c r="C70"/>
      <c r="D70"/>
      <c r="E70"/>
      <c r="F70"/>
      <c r="G70"/>
      <c r="H70"/>
      <c r="I70"/>
      <c r="J70"/>
      <c r="K70" s="216"/>
      <c r="M70" s="91" t="s">
        <v>95</v>
      </c>
      <c r="N70" s="217">
        <f ca="1">AVERAGE(OFFSET(INDEX(tab_transfert535[Connecteur 1],1),COUNT(tab_transfert535[Connecteur 1])-30,0,30))+N$2+N$3</f>
        <v>537.57799999999997</v>
      </c>
      <c r="O70" s="217">
        <f ca="1">AVERAGE(OFFSET(INDEX(tab_transfert535[Connecteur 2],1),COUNT(tab_transfert535[Connecteur 2])-30,0,30))+O$2+O$3</f>
        <v>537.31466666666654</v>
      </c>
      <c r="P70" s="217">
        <f ca="1">AVERAGE(OFFSET(INDEX(tab_transfert535[Connecteur 3],1),COUNT(tab_transfert535[Connecteur 3])-30,0,30))+P$2+P$3</f>
        <v>537.00800000000015</v>
      </c>
      <c r="Q70" s="217">
        <f ca="1">AVERAGE(OFFSET(INDEX(tab_transfert535[Connecteur 4],1),COUNT(tab_transfert535[Connecteur 4])-30,0,30))+Q$2+Q$3</f>
        <v>537.07699999999988</v>
      </c>
      <c r="R70" s="217">
        <f ca="1">AVERAGE(OFFSET(INDEX(tab_transfert535[Connecteur 5],1),COUNT(tab_transfert535[Connecteur 5])-30,0,30))+R$2+R$3</f>
        <v>533.15700000000004</v>
      </c>
      <c r="S70" s="217">
        <f ca="1">AVERAGE(OFFSET(INDEX(tab_transfert535[Connecteur 6],1),COUNT(tab_transfert535[Connecteur 6])-30,0,30))+S$2+S$3</f>
        <v>537.83233333333317</v>
      </c>
      <c r="T70" s="217">
        <f ca="1">AVERAGE(OFFSET(INDEX(tab_transfert535[Connecteur 7],1),COUNT(tab_transfert535[Connecteur 7])-30,0,30))+T$2+T$3</f>
        <v>536.63499999999999</v>
      </c>
      <c r="U70" s="217">
        <f ca="1">AVERAGE(OFFSET(INDEX(tab_transfert535[Connecteur 8],1),COUNT(tab_transfert535[Connecteur 8])-30,0,30))+U$2+U$3</f>
        <v>537.50233333333324</v>
      </c>
      <c r="V70" s="217">
        <f ca="1">AVERAGE(OFFSET(INDEX(tab_transfert535[Connecteur 9],1),COUNT(tab_transfert535[Connecteur 9])-30,0,30))+V$2+V$3</f>
        <v>536.904</v>
      </c>
      <c r="Z70" s="23"/>
      <c r="AA70"/>
      <c r="AB70"/>
      <c r="AC70"/>
    </row>
    <row r="71" spans="1:29" ht="14.45" customHeight="1" x14ac:dyDescent="0.25">
      <c r="A71" s="23"/>
      <c r="B71"/>
      <c r="C71"/>
      <c r="D71"/>
      <c r="E71"/>
      <c r="F71"/>
      <c r="G71"/>
      <c r="H71"/>
      <c r="I71"/>
      <c r="J71"/>
      <c r="K71" s="216"/>
      <c r="M71" s="91" t="s">
        <v>96</v>
      </c>
      <c r="N71" s="217">
        <f ca="1">N68-N69</f>
        <v>0.35000000000002274</v>
      </c>
      <c r="O71" s="217">
        <f t="shared" ref="O71:V71" ca="1" si="0">O68-O69</f>
        <v>0.33000000000004093</v>
      </c>
      <c r="P71" s="217">
        <f t="shared" ca="1" si="0"/>
        <v>0.31999999999993634</v>
      </c>
      <c r="Q71" s="217">
        <f t="shared" ca="1" si="0"/>
        <v>0.34000000000003183</v>
      </c>
      <c r="R71" s="217">
        <f t="shared" ca="1" si="0"/>
        <v>0.81000000000005912</v>
      </c>
      <c r="S71" s="217">
        <f t="shared" ca="1" si="0"/>
        <v>0.67999999999994998</v>
      </c>
      <c r="T71" s="217">
        <f t="shared" ca="1" si="0"/>
        <v>0.5</v>
      </c>
      <c r="U71" s="217">
        <f t="shared" ca="1" si="0"/>
        <v>0.79999999999995453</v>
      </c>
      <c r="V71" s="217">
        <f t="shared" ca="1" si="0"/>
        <v>0.43999999999994088</v>
      </c>
      <c r="Z71" s="23"/>
      <c r="AA71"/>
      <c r="AB71"/>
      <c r="AC71"/>
    </row>
    <row r="72" spans="1:29" ht="14.45" customHeight="1" x14ac:dyDescent="0.25">
      <c r="A72" s="23"/>
      <c r="B72"/>
      <c r="C72"/>
      <c r="D72"/>
      <c r="E72"/>
      <c r="F72"/>
      <c r="G72"/>
      <c r="H72"/>
      <c r="I72"/>
      <c r="J72"/>
      <c r="K72" s="216"/>
      <c r="M72" s="91" t="s">
        <v>97</v>
      </c>
      <c r="N72" s="375">
        <f ca="1">ABS(MAX(N68:V68) - MIN(N69:V69))</f>
        <v>5.4799999999999045</v>
      </c>
      <c r="O72" s="375"/>
      <c r="P72" s="375"/>
      <c r="Q72" s="375"/>
      <c r="R72" s="375"/>
      <c r="S72" s="375"/>
      <c r="T72" s="375"/>
      <c r="U72" s="375"/>
      <c r="V72" s="375"/>
      <c r="W72" s="134">
        <f ca="1">N72</f>
        <v>5.4799999999999045</v>
      </c>
      <c r="Z72" s="23"/>
      <c r="AA72"/>
      <c r="AB72"/>
      <c r="AC72"/>
    </row>
    <row r="73" spans="1:29" ht="14.45" customHeight="1" x14ac:dyDescent="0.25">
      <c r="A73" s="23"/>
      <c r="B73"/>
      <c r="C73"/>
      <c r="D73"/>
      <c r="E73"/>
      <c r="F73"/>
      <c r="G73"/>
      <c r="H73"/>
      <c r="I73"/>
      <c r="J73"/>
      <c r="K73" s="216"/>
      <c r="M73" s="91" t="s">
        <v>98</v>
      </c>
      <c r="N73" s="375">
        <f ca="1">AVERAGE(N70:V70)</f>
        <v>536.77870370370374</v>
      </c>
      <c r="O73" s="375"/>
      <c r="P73" s="375"/>
      <c r="Q73" s="375"/>
      <c r="R73" s="375"/>
      <c r="S73" s="375"/>
      <c r="T73" s="375"/>
      <c r="U73" s="375"/>
      <c r="V73" s="375"/>
      <c r="W73" s="134">
        <f ca="1">N73</f>
        <v>536.77870370370374</v>
      </c>
      <c r="Z73" s="23"/>
      <c r="AA73"/>
      <c r="AB73"/>
      <c r="AC73"/>
    </row>
    <row r="74" spans="1:29" ht="14.45" customHeight="1" x14ac:dyDescent="0.25">
      <c r="A74" s="23"/>
      <c r="B74"/>
      <c r="C74"/>
      <c r="D74"/>
      <c r="E74"/>
      <c r="F74"/>
      <c r="G74"/>
      <c r="H74"/>
      <c r="I74"/>
      <c r="J74"/>
      <c r="K74" s="216"/>
      <c r="M74" s="196" t="s">
        <v>326</v>
      </c>
      <c r="N74" s="43" t="str" cm="1">
        <f t="array" ref="N74:V74">tab_transfert535[[#Headers],[Connecteur 1]:[Connecteur 9]]</f>
        <v>Connecteur 1</v>
      </c>
      <c r="O74" s="43" t="str">
        <v>Connecteur 2</v>
      </c>
      <c r="P74" s="43" t="str">
        <v>Connecteur 3</v>
      </c>
      <c r="Q74" s="43" t="str">
        <v>Connecteur 4</v>
      </c>
      <c r="R74" s="43" t="str">
        <v>Connecteur 5</v>
      </c>
      <c r="S74" s="43" t="str">
        <v>Connecteur 6</v>
      </c>
      <c r="T74" s="43" t="str">
        <v>Connecteur 7</v>
      </c>
      <c r="U74" s="43" t="str">
        <v>Connecteur 8</v>
      </c>
      <c r="V74" s="43" t="str">
        <v>Connecteur 9</v>
      </c>
      <c r="Z74" s="23"/>
      <c r="AA74"/>
      <c r="AB74"/>
      <c r="AC74"/>
    </row>
    <row r="75" spans="1:29" ht="14.45" customHeight="1" x14ac:dyDescent="0.25">
      <c r="A75" s="23"/>
      <c r="B75"/>
      <c r="C75"/>
      <c r="D75"/>
      <c r="E75"/>
      <c r="F75"/>
      <c r="G75"/>
      <c r="H75"/>
      <c r="I75"/>
      <c r="J75"/>
      <c r="K75" s="216"/>
      <c r="M75" s="193" t="s">
        <v>325</v>
      </c>
      <c r="N75" s="218">
        <f ca="1">_xlfn.STDEV.S(OFFSET(INDEX(tab_transfert535[Connecteur 1],1),COUNT(tab_transfert535[Connecteur 1])-30,0,30))</f>
        <v>8.3764859721354987E-2</v>
      </c>
      <c r="O75" s="218">
        <f ca="1">_xlfn.STDEV.S(OFFSET(INDEX(tab_transfert535[Connecteur 2],1),COUNT(tab_transfert535[Connecteur 2])-30,0,30))</f>
        <v>7.4126328950505804E-2</v>
      </c>
      <c r="P75" s="218">
        <f ca="1">_xlfn.STDEV.S(OFFSET(INDEX(tab_transfert535[Connecteur 3],1),COUNT(tab_transfert535[Connecteur 3])-30,0,30))</f>
        <v>8.5959092115033206E-2</v>
      </c>
      <c r="Q75" s="218">
        <f ca="1">_xlfn.STDEV.S(OFFSET(INDEX(tab_transfert535[Connecteur 4],1),COUNT(tab_transfert535[Connecteur 4])-30,0,30))</f>
        <v>8.6827216454531439E-2</v>
      </c>
      <c r="R75" s="218">
        <f ca="1">_xlfn.STDEV.S(OFFSET(INDEX(tab_transfert535[Connecteur 5],1),COUNT(tab_transfert535[Connecteur 5])-30,0,30))</f>
        <v>0.19470844694143838</v>
      </c>
      <c r="S75" s="218">
        <f ca="1">_xlfn.STDEV.S(OFFSET(INDEX(tab_transfert535[Connecteur 6],1),COUNT(tab_transfert535[Connecteur 6])-30,0,30))</f>
        <v>0.19746118489523531</v>
      </c>
      <c r="T75" s="218">
        <f ca="1">_xlfn.STDEV.S(OFFSET(INDEX(tab_transfert535[Connecteur 7],1),COUNT(tab_transfert535[Connecteur 7])-30,0,30))</f>
        <v>0.14995976471868189</v>
      </c>
      <c r="U75" s="218">
        <f ca="1">_xlfn.STDEV.S(OFFSET(INDEX(tab_transfert535[Connecteur 8],1),COUNT(tab_transfert535[Connecteur 8])-30,0,30))</f>
        <v>0.21253289130169223</v>
      </c>
      <c r="V75" s="218">
        <f ca="1">_xlfn.STDEV.S(OFFSET(INDEX(tab_transfert535[Connecteur 9],1),COUNT(tab_transfert535[Connecteur 9])-30,0,30))</f>
        <v>0.12631651542441324</v>
      </c>
      <c r="W75" s="194">
        <f ca="1">MAX(N75:V75)</f>
        <v>0.21253289130169223</v>
      </c>
      <c r="Z75" s="23"/>
      <c r="AA75"/>
      <c r="AB75"/>
      <c r="AC75"/>
    </row>
    <row r="76" spans="1:29" ht="14.45" customHeight="1" x14ac:dyDescent="0.25">
      <c r="A76" s="23"/>
      <c r="B76"/>
      <c r="C76"/>
      <c r="D76"/>
      <c r="E76"/>
      <c r="F76"/>
      <c r="G76"/>
      <c r="H76"/>
      <c r="I76"/>
      <c r="J76"/>
      <c r="K76" s="216"/>
      <c r="Z76" s="23"/>
      <c r="AA76"/>
      <c r="AB76"/>
      <c r="AC76"/>
    </row>
    <row r="77" spans="1:29" ht="14.45" customHeight="1" x14ac:dyDescent="0.25">
      <c r="A77" s="23"/>
      <c r="B77"/>
      <c r="C77"/>
      <c r="D77"/>
      <c r="E77"/>
      <c r="F77"/>
      <c r="G77"/>
      <c r="H77"/>
      <c r="I77"/>
      <c r="J77"/>
      <c r="K77" s="216"/>
      <c r="M77" s="193" t="s">
        <v>324</v>
      </c>
      <c r="N77" s="192">
        <f ca="1">W68-(OFFSET(INDEX(tab_four535[Consigne T°],1),COUNT(tab_four535[Consigne T°])-30,0,1))</f>
        <v>3.1999999999999318</v>
      </c>
      <c r="Z77" s="23"/>
      <c r="AA77"/>
      <c r="AB77"/>
      <c r="AC77"/>
    </row>
    <row r="78" spans="1:29" ht="14.45" customHeight="1" x14ac:dyDescent="0.25">
      <c r="A78" s="23"/>
      <c r="B78"/>
      <c r="C78"/>
      <c r="D78"/>
      <c r="E78"/>
      <c r="F78"/>
      <c r="G78"/>
      <c r="H78"/>
      <c r="I78"/>
      <c r="J78"/>
      <c r="K78" s="216"/>
      <c r="M78" s="193" t="s">
        <v>323</v>
      </c>
      <c r="N78" s="192">
        <f ca="1">W69-(OFFSET(INDEX(tab_four535[Consigne T°],1),COUNT(tab_four535[Consigne T°])-30,0,1))</f>
        <v>-2.2799999999999727</v>
      </c>
      <c r="Z78" s="23"/>
      <c r="AA78"/>
      <c r="AB78"/>
      <c r="AC78"/>
    </row>
    <row r="79" spans="1:29" ht="14.45" customHeight="1" x14ac:dyDescent="0.25">
      <c r="A79" s="23"/>
      <c r="B79"/>
      <c r="C79"/>
      <c r="D79"/>
      <c r="E79"/>
      <c r="F79"/>
      <c r="G79"/>
      <c r="H79"/>
      <c r="I79"/>
      <c r="J79"/>
      <c r="K79" s="216"/>
      <c r="Z79" s="23"/>
      <c r="AA79"/>
      <c r="AB79"/>
      <c r="AC79"/>
    </row>
    <row r="80" spans="1:29" ht="14.45" customHeight="1" x14ac:dyDescent="0.25">
      <c r="A80" s="23"/>
      <c r="B80"/>
      <c r="C80"/>
      <c r="D80"/>
      <c r="E80"/>
      <c r="F80"/>
      <c r="G80"/>
      <c r="H80"/>
      <c r="I80"/>
      <c r="J80"/>
      <c r="K80" s="216"/>
      <c r="Z80" s="23"/>
      <c r="AA80"/>
      <c r="AB80"/>
      <c r="AC80"/>
    </row>
    <row r="81" spans="1:29" ht="14.45" customHeight="1" x14ac:dyDescent="0.25">
      <c r="A81" s="23"/>
      <c r="B81"/>
      <c r="C81"/>
      <c r="D81"/>
      <c r="E81"/>
      <c r="F81"/>
      <c r="G81"/>
      <c r="H81"/>
      <c r="I81"/>
      <c r="J81"/>
      <c r="K81" s="216"/>
      <c r="Z81" s="23"/>
      <c r="AA81"/>
      <c r="AB81"/>
      <c r="AC81"/>
    </row>
    <row r="82" spans="1:29" ht="14.45" customHeight="1" x14ac:dyDescent="0.25">
      <c r="A82" s="23"/>
      <c r="B82"/>
      <c r="C82"/>
      <c r="D82"/>
      <c r="E82"/>
      <c r="F82"/>
      <c r="G82"/>
      <c r="H82"/>
      <c r="I82"/>
      <c r="J82"/>
      <c r="K82" s="216"/>
      <c r="Z82" s="23"/>
      <c r="AA82"/>
      <c r="AB82"/>
      <c r="AC82"/>
    </row>
    <row r="83" spans="1:29" ht="14.45" customHeight="1" x14ac:dyDescent="0.25">
      <c r="A83" s="23"/>
      <c r="B83"/>
      <c r="C83"/>
      <c r="D83"/>
      <c r="E83"/>
      <c r="F83"/>
      <c r="G83"/>
      <c r="H83"/>
      <c r="I83"/>
      <c r="J83"/>
      <c r="K83" s="216"/>
      <c r="Z83" s="23"/>
      <c r="AA83"/>
      <c r="AB83"/>
      <c r="AC83"/>
    </row>
    <row r="84" spans="1:29" ht="14.45" customHeight="1" x14ac:dyDescent="0.25">
      <c r="A84" s="23"/>
      <c r="B84"/>
      <c r="C84"/>
      <c r="D84"/>
      <c r="E84"/>
      <c r="F84"/>
      <c r="G84"/>
      <c r="H84"/>
      <c r="I84"/>
      <c r="J84"/>
      <c r="K84" s="216"/>
      <c r="Z84" s="23"/>
      <c r="AA84"/>
      <c r="AB84"/>
      <c r="AC84"/>
    </row>
    <row r="85" spans="1:29" ht="14.45" customHeight="1" x14ac:dyDescent="0.25">
      <c r="A85" s="23"/>
      <c r="B85"/>
      <c r="C85"/>
      <c r="D85"/>
      <c r="E85"/>
      <c r="F85"/>
      <c r="G85"/>
      <c r="H85"/>
      <c r="I85"/>
      <c r="J85"/>
      <c r="K85" s="216"/>
      <c r="Z85" s="23"/>
      <c r="AA85"/>
      <c r="AB85"/>
      <c r="AC85"/>
    </row>
    <row r="86" spans="1:29" ht="14.45" customHeight="1" x14ac:dyDescent="0.25">
      <c r="A86" s="23"/>
      <c r="B86"/>
      <c r="C86"/>
      <c r="D86"/>
      <c r="E86"/>
      <c r="F86"/>
      <c r="G86"/>
      <c r="H86"/>
      <c r="I86"/>
      <c r="J86"/>
      <c r="K86" s="216"/>
      <c r="Z86" s="23"/>
      <c r="AA86"/>
      <c r="AB86"/>
      <c r="AC86"/>
    </row>
    <row r="87" spans="1:29" ht="14.45" customHeight="1" x14ac:dyDescent="0.25">
      <c r="A87" s="23"/>
      <c r="B87"/>
      <c r="C87"/>
      <c r="D87"/>
      <c r="E87"/>
      <c r="F87"/>
      <c r="G87"/>
      <c r="H87"/>
      <c r="I87"/>
      <c r="J87"/>
      <c r="K87" s="216"/>
      <c r="Z87" s="23"/>
      <c r="AA87"/>
      <c r="AB87"/>
      <c r="AC87"/>
    </row>
    <row r="88" spans="1:29" ht="14.45" customHeight="1" x14ac:dyDescent="0.25">
      <c r="A88" s="23"/>
      <c r="B88"/>
      <c r="C88"/>
      <c r="D88"/>
      <c r="E88"/>
      <c r="F88"/>
      <c r="G88"/>
      <c r="H88"/>
      <c r="I88"/>
      <c r="J88"/>
      <c r="K88" s="216"/>
      <c r="Z88" s="23"/>
      <c r="AA88"/>
      <c r="AB88"/>
      <c r="AC88"/>
    </row>
    <row r="89" spans="1:29" ht="14.45" customHeight="1" x14ac:dyDescent="0.25">
      <c r="A89" s="23"/>
      <c r="B89"/>
      <c r="C89"/>
      <c r="D89"/>
      <c r="E89"/>
      <c r="F89"/>
      <c r="G89"/>
      <c r="H89"/>
      <c r="I89"/>
      <c r="J89"/>
      <c r="K89" s="216"/>
      <c r="Z89" s="23"/>
      <c r="AA89"/>
      <c r="AB89"/>
      <c r="AC89"/>
    </row>
    <row r="90" spans="1:29" ht="14.45" customHeight="1" x14ac:dyDescent="0.25">
      <c r="A90" s="23"/>
      <c r="B90"/>
      <c r="C90"/>
      <c r="D90"/>
      <c r="E90"/>
      <c r="F90"/>
      <c r="G90"/>
      <c r="H90"/>
      <c r="I90"/>
      <c r="J90"/>
      <c r="K90" s="216"/>
      <c r="Z90" s="23"/>
      <c r="AA90"/>
      <c r="AB90"/>
      <c r="AC90"/>
    </row>
    <row r="91" spans="1:29" ht="14.45" customHeight="1" x14ac:dyDescent="0.25">
      <c r="A91" s="23"/>
      <c r="B91"/>
      <c r="C91"/>
      <c r="D91"/>
      <c r="E91"/>
      <c r="F91"/>
      <c r="G91"/>
      <c r="H91"/>
      <c r="I91"/>
      <c r="J91"/>
      <c r="K91" s="216"/>
      <c r="Z91" s="23"/>
      <c r="AA91"/>
      <c r="AB91"/>
      <c r="AC91"/>
    </row>
    <row r="92" spans="1:29" ht="14.45" customHeight="1" x14ac:dyDescent="0.25">
      <c r="A92" s="23"/>
      <c r="B92"/>
      <c r="C92"/>
      <c r="D92"/>
      <c r="E92"/>
      <c r="F92"/>
      <c r="G92"/>
      <c r="H92"/>
      <c r="I92"/>
      <c r="J92"/>
      <c r="K92" s="216"/>
      <c r="Z92" s="23"/>
      <c r="AA92"/>
      <c r="AB92"/>
      <c r="AC92"/>
    </row>
    <row r="93" spans="1:29" ht="14.45" customHeight="1" x14ac:dyDescent="0.25">
      <c r="A93" s="23"/>
      <c r="B93"/>
      <c r="C93"/>
      <c r="D93"/>
      <c r="E93"/>
      <c r="F93"/>
      <c r="G93"/>
      <c r="H93"/>
      <c r="I93"/>
      <c r="J93"/>
      <c r="K93" s="216"/>
      <c r="Z93" s="23"/>
      <c r="AA93"/>
      <c r="AB93"/>
      <c r="AC93"/>
    </row>
    <row r="94" spans="1:29" ht="14.45" customHeight="1" x14ac:dyDescent="0.25">
      <c r="A94" s="23"/>
      <c r="B94"/>
      <c r="C94"/>
      <c r="D94"/>
      <c r="E94"/>
      <c r="F94"/>
      <c r="G94"/>
      <c r="H94"/>
      <c r="I94"/>
      <c r="J94"/>
      <c r="K94" s="216"/>
      <c r="Z94" s="23"/>
      <c r="AA94"/>
      <c r="AB94"/>
      <c r="AC94"/>
    </row>
    <row r="95" spans="1:29" ht="14.45" customHeight="1" x14ac:dyDescent="0.25">
      <c r="A95" s="23"/>
      <c r="B95"/>
      <c r="C95"/>
      <c r="D95"/>
      <c r="E95"/>
      <c r="F95"/>
      <c r="G95"/>
      <c r="H95"/>
      <c r="I95"/>
      <c r="J95"/>
      <c r="K95" s="216"/>
      <c r="Z95" s="23"/>
      <c r="AA95"/>
      <c r="AB95"/>
      <c r="AC95"/>
    </row>
    <row r="96" spans="1:29" ht="14.45" customHeight="1" x14ac:dyDescent="0.25">
      <c r="A96" s="23"/>
      <c r="B96"/>
      <c r="C96"/>
      <c r="D96"/>
      <c r="E96"/>
      <c r="F96"/>
      <c r="G96"/>
      <c r="H96"/>
      <c r="I96"/>
      <c r="J96"/>
      <c r="K96" s="216"/>
      <c r="Z96" s="23"/>
      <c r="AA96"/>
      <c r="AB96"/>
      <c r="AC96"/>
    </row>
    <row r="97" spans="1:29" ht="14.45" customHeight="1" x14ac:dyDescent="0.25">
      <c r="A97" s="23"/>
      <c r="B97"/>
      <c r="C97"/>
      <c r="D97"/>
      <c r="E97"/>
      <c r="F97"/>
      <c r="G97"/>
      <c r="H97"/>
      <c r="I97"/>
      <c r="J97"/>
      <c r="K97" s="216"/>
      <c r="Z97" s="23"/>
      <c r="AA97"/>
      <c r="AB97"/>
      <c r="AC97"/>
    </row>
    <row r="98" spans="1:29" ht="14.45" customHeight="1" x14ac:dyDescent="0.25">
      <c r="A98" s="23"/>
      <c r="B98"/>
      <c r="C98"/>
      <c r="D98"/>
      <c r="E98"/>
      <c r="F98"/>
      <c r="G98"/>
      <c r="H98"/>
      <c r="I98"/>
      <c r="J98"/>
      <c r="K98" s="216"/>
      <c r="Z98" s="23"/>
      <c r="AA98"/>
      <c r="AB98"/>
      <c r="AC98"/>
    </row>
    <row r="99" spans="1:29" ht="14.45" customHeight="1" x14ac:dyDescent="0.25">
      <c r="A99" s="23"/>
      <c r="B99"/>
      <c r="C99"/>
      <c r="D99"/>
      <c r="E99"/>
      <c r="F99"/>
      <c r="G99"/>
      <c r="H99"/>
      <c r="I99"/>
      <c r="J99"/>
      <c r="K99" s="216"/>
      <c r="Z99" s="23"/>
      <c r="AA99"/>
      <c r="AB99"/>
      <c r="AC99"/>
    </row>
    <row r="100" spans="1:29" ht="14.45" customHeight="1" x14ac:dyDescent="0.25">
      <c r="A100" s="23"/>
      <c r="B100"/>
      <c r="C100"/>
      <c r="D100"/>
      <c r="E100"/>
      <c r="F100"/>
      <c r="G100"/>
      <c r="H100"/>
      <c r="I100"/>
      <c r="J100"/>
      <c r="K100" s="216"/>
      <c r="Z100" s="23"/>
      <c r="AA100"/>
      <c r="AB100"/>
      <c r="AC100"/>
    </row>
    <row r="101" spans="1:29" ht="14.45" customHeight="1" x14ac:dyDescent="0.25">
      <c r="A101" s="23"/>
      <c r="B101"/>
      <c r="C101"/>
      <c r="D101"/>
      <c r="E101"/>
      <c r="F101"/>
      <c r="G101"/>
      <c r="H101"/>
      <c r="I101"/>
      <c r="J101"/>
      <c r="K101" s="216"/>
      <c r="Z101" s="23"/>
      <c r="AA101"/>
      <c r="AB101"/>
      <c r="AC101"/>
    </row>
    <row r="102" spans="1:29" ht="14.45" customHeight="1" x14ac:dyDescent="0.25">
      <c r="A102" s="23"/>
      <c r="B102"/>
      <c r="C102"/>
      <c r="D102"/>
      <c r="E102"/>
      <c r="F102"/>
      <c r="G102"/>
      <c r="H102"/>
      <c r="I102"/>
      <c r="J102"/>
      <c r="K102" s="216"/>
      <c r="Z102" s="23"/>
      <c r="AA102"/>
      <c r="AB102"/>
      <c r="AC102"/>
    </row>
    <row r="103" spans="1:29" ht="14.45" customHeight="1" x14ac:dyDescent="0.25">
      <c r="A103" s="23"/>
      <c r="B103"/>
      <c r="C103"/>
      <c r="D103"/>
      <c r="E103"/>
      <c r="F103"/>
      <c r="G103"/>
      <c r="H103"/>
      <c r="I103"/>
      <c r="J103"/>
      <c r="K103" s="216"/>
      <c r="Z103" s="23"/>
      <c r="AA103"/>
      <c r="AB103"/>
      <c r="AC103"/>
    </row>
    <row r="104" spans="1:29" ht="14.45" customHeight="1" x14ac:dyDescent="0.25">
      <c r="A104" s="23"/>
      <c r="B104"/>
      <c r="C104"/>
      <c r="D104"/>
      <c r="E104"/>
      <c r="F104"/>
      <c r="G104"/>
      <c r="H104"/>
      <c r="I104"/>
      <c r="J104"/>
      <c r="K104" s="216"/>
      <c r="Z104" s="23"/>
      <c r="AA104"/>
      <c r="AB104"/>
      <c r="AC104"/>
    </row>
    <row r="105" spans="1:29" ht="14.45" customHeight="1" x14ac:dyDescent="0.25">
      <c r="A105" s="23"/>
      <c r="B105"/>
      <c r="C105"/>
      <c r="D105"/>
      <c r="E105"/>
      <c r="F105"/>
      <c r="G105"/>
      <c r="H105"/>
      <c r="I105"/>
      <c r="J105"/>
      <c r="K105" s="216"/>
      <c r="Z105" s="23"/>
      <c r="AA105"/>
      <c r="AB105"/>
      <c r="AC105"/>
    </row>
    <row r="106" spans="1:29" ht="14.45" customHeight="1" x14ac:dyDescent="0.25">
      <c r="A106" s="23"/>
      <c r="B106"/>
      <c r="C106"/>
      <c r="D106"/>
      <c r="E106"/>
      <c r="F106"/>
      <c r="G106"/>
      <c r="H106"/>
      <c r="I106"/>
      <c r="J106"/>
      <c r="K106" s="216"/>
      <c r="Z106" s="23"/>
      <c r="AA106"/>
      <c r="AB106"/>
      <c r="AC106"/>
    </row>
    <row r="107" spans="1:29" ht="14.45" customHeight="1" x14ac:dyDescent="0.25">
      <c r="A107" s="23"/>
      <c r="B107"/>
      <c r="C107"/>
      <c r="D107"/>
      <c r="E107"/>
      <c r="F107"/>
      <c r="G107"/>
      <c r="H107"/>
      <c r="I107"/>
      <c r="J107"/>
      <c r="K107" s="216"/>
      <c r="Z107" s="23"/>
      <c r="AA107"/>
      <c r="AB107"/>
      <c r="AC107"/>
    </row>
    <row r="108" spans="1:29" ht="14.45" customHeight="1" x14ac:dyDescent="0.25">
      <c r="A108" s="23"/>
      <c r="B108"/>
      <c r="C108"/>
      <c r="D108"/>
      <c r="E108"/>
      <c r="F108"/>
      <c r="G108"/>
      <c r="H108"/>
      <c r="I108"/>
      <c r="J108"/>
      <c r="K108" s="216"/>
      <c r="Z108" s="23"/>
      <c r="AA108"/>
      <c r="AB108"/>
      <c r="AC108"/>
    </row>
    <row r="109" spans="1:29" ht="14.45" customHeight="1" x14ac:dyDescent="0.25">
      <c r="A109" s="23"/>
      <c r="B109"/>
      <c r="C109"/>
      <c r="D109"/>
      <c r="E109"/>
      <c r="F109"/>
      <c r="G109"/>
      <c r="H109"/>
      <c r="I109"/>
      <c r="J109"/>
      <c r="K109" s="216"/>
      <c r="Z109" s="23"/>
      <c r="AA109"/>
      <c r="AB109"/>
      <c r="AC109"/>
    </row>
    <row r="110" spans="1:29" ht="14.45" customHeight="1" x14ac:dyDescent="0.25">
      <c r="A110" s="23"/>
      <c r="B110"/>
      <c r="C110"/>
      <c r="D110"/>
      <c r="E110"/>
      <c r="F110"/>
      <c r="G110"/>
      <c r="H110"/>
      <c r="I110"/>
      <c r="J110"/>
      <c r="K110" s="216"/>
      <c r="Z110" s="23"/>
      <c r="AA110"/>
      <c r="AB110"/>
      <c r="AC110"/>
    </row>
    <row r="111" spans="1:29" ht="14.45" customHeight="1" x14ac:dyDescent="0.25">
      <c r="A111" s="23"/>
      <c r="B111"/>
      <c r="C111"/>
      <c r="D111"/>
      <c r="E111"/>
      <c r="F111"/>
      <c r="G111"/>
      <c r="H111"/>
      <c r="I111"/>
      <c r="J111"/>
      <c r="K111" s="216"/>
      <c r="Z111" s="23"/>
      <c r="AA111"/>
      <c r="AB111"/>
      <c r="AC111"/>
    </row>
    <row r="112" spans="1:29" ht="14.45" customHeight="1" x14ac:dyDescent="0.25">
      <c r="A112" s="23"/>
      <c r="B112"/>
      <c r="C112"/>
      <c r="D112"/>
      <c r="E112"/>
      <c r="F112"/>
      <c r="G112"/>
      <c r="H112"/>
      <c r="I112"/>
      <c r="J112"/>
      <c r="K112" s="216"/>
      <c r="Z112" s="23"/>
      <c r="AA112"/>
      <c r="AB112"/>
      <c r="AC112"/>
    </row>
    <row r="113" spans="1:29" ht="14.45" customHeight="1" x14ac:dyDescent="0.25">
      <c r="A113" s="23"/>
      <c r="B113"/>
      <c r="C113"/>
      <c r="D113"/>
      <c r="E113"/>
      <c r="F113"/>
      <c r="G113"/>
      <c r="H113"/>
      <c r="I113"/>
      <c r="J113"/>
      <c r="K113" s="216"/>
      <c r="Z113" s="23"/>
      <c r="AA113"/>
      <c r="AB113"/>
      <c r="AC113"/>
    </row>
    <row r="114" spans="1:29" ht="14.45" customHeight="1" x14ac:dyDescent="0.25">
      <c r="A114" s="23"/>
      <c r="B114"/>
      <c r="C114"/>
      <c r="D114"/>
      <c r="E114"/>
      <c r="F114"/>
      <c r="G114"/>
      <c r="H114"/>
      <c r="I114"/>
      <c r="J114"/>
      <c r="K114" s="216"/>
      <c r="Z114" s="23"/>
      <c r="AA114"/>
      <c r="AB114"/>
      <c r="AC114"/>
    </row>
    <row r="115" spans="1:29" ht="14.45" customHeight="1" x14ac:dyDescent="0.25">
      <c r="A115" s="23"/>
      <c r="B115"/>
      <c r="C115"/>
      <c r="D115"/>
      <c r="E115"/>
      <c r="F115"/>
      <c r="G115"/>
      <c r="H115"/>
      <c r="I115"/>
      <c r="J115"/>
      <c r="K115" s="216"/>
      <c r="Z115" s="23"/>
      <c r="AA115"/>
      <c r="AB115"/>
      <c r="AC115"/>
    </row>
    <row r="116" spans="1:29" ht="14.45" customHeight="1" x14ac:dyDescent="0.25">
      <c r="A116" s="23"/>
      <c r="B116"/>
      <c r="C116"/>
      <c r="D116"/>
      <c r="E116"/>
      <c r="F116"/>
      <c r="G116"/>
      <c r="H116"/>
      <c r="I116"/>
      <c r="J116"/>
      <c r="K116" s="216"/>
      <c r="Z116" s="23"/>
      <c r="AA116"/>
      <c r="AB116"/>
      <c r="AC116"/>
    </row>
    <row r="117" spans="1:29" ht="14.45" customHeight="1" x14ac:dyDescent="0.25">
      <c r="A117" s="23"/>
      <c r="B117"/>
      <c r="C117"/>
      <c r="D117"/>
      <c r="E117"/>
      <c r="F117"/>
      <c r="G117"/>
      <c r="H117"/>
      <c r="I117"/>
      <c r="J117"/>
      <c r="K117" s="216"/>
      <c r="Z117" s="23"/>
      <c r="AA117"/>
      <c r="AB117"/>
      <c r="AC117"/>
    </row>
    <row r="118" spans="1:29" ht="14.45" customHeight="1" x14ac:dyDescent="0.25">
      <c r="A118" s="23"/>
      <c r="B118"/>
      <c r="C118"/>
      <c r="D118"/>
      <c r="E118"/>
      <c r="F118"/>
      <c r="G118"/>
      <c r="H118"/>
      <c r="I118"/>
      <c r="J118"/>
      <c r="K118" s="216"/>
      <c r="Z118" s="23"/>
      <c r="AA118"/>
      <c r="AB118"/>
      <c r="AC118"/>
    </row>
    <row r="119" spans="1:29" ht="14.45" customHeight="1" x14ac:dyDescent="0.25">
      <c r="A119" s="23"/>
      <c r="B119"/>
      <c r="C119"/>
      <c r="D119"/>
      <c r="E119"/>
      <c r="F119"/>
      <c r="G119"/>
      <c r="H119"/>
      <c r="I119"/>
      <c r="J119"/>
      <c r="K119" s="216"/>
      <c r="Z119" s="23"/>
      <c r="AA119"/>
      <c r="AB119"/>
      <c r="AC119"/>
    </row>
    <row r="120" spans="1:29" ht="14.45" customHeight="1" x14ac:dyDescent="0.25">
      <c r="A120" s="23"/>
      <c r="B120"/>
      <c r="C120"/>
      <c r="D120"/>
      <c r="E120"/>
      <c r="F120"/>
      <c r="G120"/>
      <c r="H120"/>
      <c r="I120"/>
      <c r="J120"/>
      <c r="K120" s="216"/>
      <c r="Z120" s="23"/>
      <c r="AA120"/>
      <c r="AB120"/>
      <c r="AC120"/>
    </row>
    <row r="121" spans="1:29" ht="14.45" customHeight="1" x14ac:dyDescent="0.25">
      <c r="A121" s="23"/>
      <c r="B121"/>
      <c r="C121"/>
      <c r="D121"/>
      <c r="E121"/>
      <c r="F121"/>
      <c r="G121"/>
      <c r="H121"/>
      <c r="I121"/>
      <c r="J121"/>
      <c r="K121" s="216"/>
      <c r="Z121" s="23"/>
      <c r="AA121"/>
      <c r="AB121"/>
      <c r="AC121"/>
    </row>
    <row r="122" spans="1:29" ht="14.45" customHeight="1" x14ac:dyDescent="0.25">
      <c r="A122" s="145"/>
      <c r="B122" s="145"/>
      <c r="C122" s="145"/>
      <c r="D122" s="145"/>
      <c r="E122" s="145"/>
      <c r="F122" s="145"/>
      <c r="G122" s="145"/>
      <c r="H122" s="145"/>
      <c r="I122" s="145"/>
      <c r="J122" s="145"/>
      <c r="K122" s="145"/>
      <c r="L122" s="145"/>
      <c r="X122" s="145"/>
      <c r="Y122" s="145"/>
      <c r="Z122" s="145"/>
      <c r="AA122" s="145"/>
      <c r="AB122" s="145"/>
      <c r="AC122" s="145"/>
    </row>
    <row r="123" spans="1:29" ht="14.45" customHeight="1" x14ac:dyDescent="0.25">
      <c r="A123" s="145"/>
      <c r="B123" s="145"/>
      <c r="C123" s="145"/>
      <c r="D123" s="145"/>
      <c r="E123" s="145"/>
      <c r="F123" s="145"/>
      <c r="G123" s="145"/>
      <c r="H123" s="145"/>
      <c r="I123" s="145"/>
      <c r="J123" s="145"/>
      <c r="K123" s="145"/>
      <c r="L123" s="145"/>
      <c r="X123" s="145"/>
      <c r="Y123" s="145"/>
      <c r="AA123" s="201" t="str" cm="1">
        <f t="array" ref="AA123:AC123">AA6:AC6</f>
        <v>Pt Froid</v>
      </c>
      <c r="AB123" s="201" t="str">
        <v>Regulation</v>
      </c>
      <c r="AC123" s="201" t="str">
        <v>Pt Chaud</v>
      </c>
    </row>
    <row r="124" spans="1:29" ht="14.45" customHeight="1" x14ac:dyDescent="0.25">
      <c r="A124" s="23"/>
      <c r="B124"/>
      <c r="C124"/>
      <c r="D124"/>
      <c r="E124"/>
      <c r="F124"/>
      <c r="G124"/>
      <c r="H124"/>
      <c r="I124"/>
      <c r="J124"/>
      <c r="K124" s="204"/>
      <c r="Z124" s="197" t="s">
        <v>90</v>
      </c>
      <c r="AA124" s="43">
        <f>MAX(tab_four535[Pt Froid])</f>
        <v>534.1</v>
      </c>
      <c r="AB124" s="43">
        <f>MAX(tab_four535[Regulation])</f>
        <v>535.4</v>
      </c>
      <c r="AC124" s="43">
        <f>MAX(tab_four535[Pt Chaud])</f>
        <v>533.70000000000005</v>
      </c>
    </row>
    <row r="125" spans="1:29" ht="14.45" customHeight="1" x14ac:dyDescent="0.25">
      <c r="A125" s="23"/>
      <c r="B125"/>
      <c r="C125"/>
      <c r="D125"/>
      <c r="E125"/>
      <c r="F125"/>
      <c r="G125"/>
      <c r="H125"/>
      <c r="I125"/>
      <c r="J125"/>
      <c r="Z125" s="197" t="s">
        <v>91</v>
      </c>
      <c r="AA125" s="43">
        <f ca="1">MAX(OFFSET(INDEX(tab_four535[Pt Froid],1),COUNT(tab_four535[Pt Froid])-30,0,30))</f>
        <v>533.9</v>
      </c>
      <c r="AB125" s="43">
        <f ca="1">MAX(OFFSET(INDEX(tab_four535[Regulation],1),COUNT(tab_four535[Regulation])-30,0,30))</f>
        <v>535.4</v>
      </c>
      <c r="AC125" s="43">
        <f ca="1">MAX(OFFSET(INDEX(tab_four535[Pt Chaud],1),COUNT(tab_four535[Pt Chaud])-30,0,30))</f>
        <v>533.70000000000005</v>
      </c>
    </row>
    <row r="126" spans="1:29" ht="14.45" customHeight="1" x14ac:dyDescent="0.25">
      <c r="A126" s="23"/>
      <c r="B126"/>
      <c r="C126"/>
      <c r="D126"/>
      <c r="E126"/>
      <c r="F126"/>
      <c r="G126"/>
      <c r="H126"/>
      <c r="I126"/>
      <c r="J126"/>
      <c r="Z126" s="197" t="s">
        <v>93</v>
      </c>
      <c r="AA126" s="43">
        <f ca="1">MIN(OFFSET(INDEX(tab_four535[Pt Froid],1),COUNT(tab_four535[Pt Froid])-30,0,30))</f>
        <v>533.29999999999995</v>
      </c>
      <c r="AB126" s="43">
        <f ca="1">MIN(OFFSET(INDEX(tab_four535[Regulation],1),COUNT(tab_four535[Regulation])-30,0,30))</f>
        <v>535</v>
      </c>
      <c r="AC126" s="43">
        <f ca="1">MIN(OFFSET(INDEX(tab_four535[Pt Chaud],1),COUNT(tab_four535[Pt Chaud])-30,0,30))</f>
        <v>533.4</v>
      </c>
    </row>
    <row r="127" spans="1:29" ht="14.45" customHeight="1" x14ac:dyDescent="0.25">
      <c r="A127" s="23"/>
      <c r="B127"/>
      <c r="C127"/>
      <c r="D127"/>
      <c r="E127"/>
      <c r="F127"/>
      <c r="G127"/>
      <c r="H127"/>
      <c r="I127"/>
      <c r="J127"/>
      <c r="Z127" s="197" t="s">
        <v>95</v>
      </c>
      <c r="AA127" s="43">
        <f ca="1">AVERAGE(OFFSET(INDEX(tab_four535[Pt Froid],1),COUNT(tab_four535[Pt Froid])-30,0,30))</f>
        <v>533.54666666666651</v>
      </c>
      <c r="AB127" s="43">
        <f ca="1">AVERAGE(OFFSET(INDEX(tab_four535[Regulation],1),COUNT(tab_four535[Regulation])-30,0,30))</f>
        <v>535.17000000000007</v>
      </c>
      <c r="AC127" s="43">
        <f ca="1">AVERAGE(OFFSET(INDEX(tab_four535[Pt Chaud],1),COUNT(tab_four535[Pt Chaud])-30,0,30))</f>
        <v>533.55666666666673</v>
      </c>
    </row>
    <row r="128" spans="1:29" ht="14.45" customHeight="1" x14ac:dyDescent="0.25">
      <c r="A128" s="23"/>
      <c r="B128"/>
      <c r="C128"/>
      <c r="D128"/>
      <c r="E128"/>
      <c r="F128"/>
      <c r="G128"/>
      <c r="H128"/>
      <c r="I128"/>
      <c r="J128"/>
    </row>
    <row r="129" spans="1:10" ht="14.45" customHeight="1" x14ac:dyDescent="0.25">
      <c r="A129" s="23"/>
      <c r="B129"/>
      <c r="C129"/>
      <c r="D129"/>
      <c r="E129"/>
      <c r="F129"/>
      <c r="G129"/>
      <c r="H129"/>
      <c r="I129"/>
      <c r="J129"/>
    </row>
    <row r="130" spans="1:10" x14ac:dyDescent="0.25">
      <c r="A130" s="23"/>
      <c r="B130"/>
      <c r="C130"/>
      <c r="D130"/>
      <c r="E130"/>
      <c r="F130"/>
      <c r="G130"/>
      <c r="H130"/>
      <c r="I130"/>
      <c r="J130"/>
    </row>
    <row r="132" spans="1:10" x14ac:dyDescent="0.25">
      <c r="J132"/>
    </row>
    <row r="133" spans="1:10" x14ac:dyDescent="0.25">
      <c r="J133"/>
    </row>
  </sheetData>
  <sheetProtection algorithmName="SHA-512" hashValue="g28GYnXgStDsgavp5qDjwA4GCxG804oaFfBwlFYpWhCm/WOtEP30iZgbPbiFijMHp+LEvAWTyOa1r4m9AQDJog==" saltValue="1WdLOoiL+gLhyZjzohCl4A==" spinCount="100000" sheet="1" objects="1" scenarios="1"/>
  <mergeCells count="8">
    <mergeCell ref="A1:AC1"/>
    <mergeCell ref="A5:J5"/>
    <mergeCell ref="M5:V5"/>
    <mergeCell ref="N72:V72"/>
    <mergeCell ref="N73:V73"/>
    <mergeCell ref="A65:W65"/>
    <mergeCell ref="M34:M64"/>
    <mergeCell ref="M7:M33"/>
  </mergeCells>
  <conditionalFormatting sqref="N67:V67">
    <cfRule type="cellIs" dxfId="81" priority="6" operator="equal">
      <formula>#REF!</formula>
    </cfRule>
  </conditionalFormatting>
  <conditionalFormatting sqref="N68:V68">
    <cfRule type="cellIs" dxfId="80" priority="2" operator="equal">
      <formula>$W$68</formula>
    </cfRule>
    <cfRule type="cellIs" dxfId="79" priority="5" operator="equal">
      <formula>#REF!</formula>
    </cfRule>
  </conditionalFormatting>
  <conditionalFormatting sqref="N69:V69">
    <cfRule type="cellIs" dxfId="78" priority="1" operator="equal">
      <formula>$W$69</formula>
    </cfRule>
    <cfRule type="cellIs" dxfId="77" priority="3" operator="equal">
      <formula>#REF!</formula>
    </cfRule>
    <cfRule type="cellIs" dxfId="76" priority="4" operator="equal">
      <formula>#REF!</formula>
    </cfRule>
  </conditionalFormatting>
  <conditionalFormatting sqref="N67:V67">
    <cfRule type="cellIs" dxfId="75" priority="7" operator="equal">
      <formula>$W$67</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tabSelected="1" view="pageBreakPreview" topLeftCell="A581"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6" t="s">
        <v>331</v>
      </c>
      <c r="C5" s="436"/>
      <c r="D5" s="436"/>
      <c r="E5" s="436"/>
      <c r="F5" s="436"/>
      <c r="G5" s="436"/>
      <c r="H5" s="220"/>
      <c r="I5" s="219"/>
    </row>
    <row r="6" spans="2:9" ht="15.75" customHeight="1" x14ac:dyDescent="0.4">
      <c r="B6" s="219"/>
      <c r="C6" s="219"/>
      <c r="D6" s="219"/>
      <c r="E6" s="219"/>
      <c r="F6" s="219"/>
      <c r="G6" s="219"/>
    </row>
    <row r="7" spans="2:9" ht="15.75" customHeight="1" x14ac:dyDescent="0.25"/>
    <row r="8" spans="2:9" ht="21" x14ac:dyDescent="0.25">
      <c r="C8" s="437" t="s">
        <v>138</v>
      </c>
      <c r="D8" s="437"/>
      <c r="E8" s="438">
        <f>IF(D11&lt;&gt;"",+D11,"")</f>
        <v>45342</v>
      </c>
      <c r="F8" s="438"/>
    </row>
    <row r="9" spans="2:9" ht="15.75" customHeight="1" x14ac:dyDescent="0.25">
      <c r="C9" s="89"/>
      <c r="D9" s="89"/>
      <c r="E9" s="90"/>
      <c r="F9" s="90"/>
    </row>
    <row r="10" spans="2:9" ht="15.75" customHeight="1" x14ac:dyDescent="0.25"/>
    <row r="11" spans="2:9" ht="15.75" x14ac:dyDescent="0.25">
      <c r="C11" s="221" t="s">
        <v>332</v>
      </c>
      <c r="D11" s="222">
        <f>IF(+Mesures_Four!B6&lt;&gt;"",Mesures_Four!B6,"")</f>
        <v>45342</v>
      </c>
      <c r="F11" s="223" t="s">
        <v>333</v>
      </c>
      <c r="G11" s="97" t="s">
        <v>334</v>
      </c>
    </row>
    <row r="12" spans="2:9" ht="15.75" x14ac:dyDescent="0.25">
      <c r="C12" s="96" t="s">
        <v>335</v>
      </c>
      <c r="D12" s="224" t="str">
        <f>IF(ISTEXT(Mesures_Four!B7),Mesures_Four!B7,"")</f>
        <v>EMILIE LAGASSY</v>
      </c>
      <c r="F12" t="s">
        <v>336</v>
      </c>
      <c r="G12" s="225" t="str">
        <f>IF(Mesures_Four!B5="","",Mesures_Four!B5)</f>
        <v xml:space="preserve">BCH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337</v>
      </c>
      <c r="G15" s="226" t="str">
        <f>IF(ISTEXT(Mesures_Four!B12),Mesures_Four!B12,"")</f>
        <v xml:space="preserve">Periodique </v>
      </c>
    </row>
    <row r="16" spans="2:9" ht="15.75" x14ac:dyDescent="0.25">
      <c r="C16" s="96"/>
      <c r="D16" s="97"/>
    </row>
    <row r="17" spans="1:9" ht="15.75" x14ac:dyDescent="0.25">
      <c r="C17" s="221" t="s">
        <v>338</v>
      </c>
      <c r="D17" s="222">
        <f>IF(+Mesures_Four!B11&lt;&gt;"",Mesures_Four!B11,"")</f>
        <v>45343</v>
      </c>
    </row>
    <row r="18" spans="1:9" ht="15.75" x14ac:dyDescent="0.25">
      <c r="C18" s="96" t="s">
        <v>339</v>
      </c>
      <c r="D18" s="224" t="str">
        <f>IF(ISTEXT(Mesures_Four!B10),Mesures_Four!B10,"")</f>
        <v>EMILIE LAGASSY</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5" t="s">
        <v>340</v>
      </c>
      <c r="B30" s="435"/>
      <c r="C30" s="435"/>
      <c r="D30" s="435"/>
      <c r="E30" s="435"/>
      <c r="F30" s="435"/>
      <c r="G30" s="435"/>
      <c r="H30" s="435"/>
      <c r="I30" s="435"/>
    </row>
    <row r="31" spans="1:9" ht="15.75" customHeight="1" x14ac:dyDescent="0.25">
      <c r="A31" s="435"/>
      <c r="B31" s="435"/>
      <c r="C31" s="435"/>
      <c r="D31" s="435"/>
      <c r="E31" s="435"/>
      <c r="F31" s="435"/>
      <c r="G31" s="435"/>
      <c r="H31" s="435"/>
      <c r="I31" s="435"/>
    </row>
    <row r="32" spans="1:9" ht="15" customHeight="1" x14ac:dyDescent="0.25">
      <c r="A32" s="435"/>
      <c r="B32" s="435"/>
      <c r="C32" s="435"/>
      <c r="D32" s="435"/>
      <c r="E32" s="435"/>
      <c r="F32" s="435"/>
      <c r="G32" s="435"/>
      <c r="H32" s="435"/>
      <c r="I32" s="435"/>
    </row>
    <row r="33" spans="1:9" ht="15" customHeight="1" x14ac:dyDescent="0.25">
      <c r="A33" s="435"/>
      <c r="B33" s="435"/>
      <c r="C33" s="435"/>
      <c r="D33" s="435"/>
      <c r="E33" s="435"/>
      <c r="F33" s="435"/>
      <c r="G33" s="435"/>
      <c r="H33" s="435"/>
      <c r="I33" s="435"/>
    </row>
    <row r="34" spans="1:9" ht="15" customHeight="1" x14ac:dyDescent="0.25">
      <c r="A34" s="435"/>
      <c r="B34" s="435"/>
      <c r="C34" s="435"/>
      <c r="D34" s="435"/>
      <c r="E34" s="435"/>
      <c r="F34" s="435"/>
      <c r="G34" s="435"/>
      <c r="H34" s="435"/>
      <c r="I34" s="435"/>
    </row>
    <row r="35" spans="1:9" ht="15" customHeight="1" x14ac:dyDescent="0.25">
      <c r="A35" s="435"/>
      <c r="B35" s="435"/>
      <c r="C35" s="435"/>
      <c r="D35" s="435"/>
      <c r="E35" s="435"/>
      <c r="F35" s="435"/>
      <c r="G35" s="435"/>
      <c r="H35" s="435"/>
      <c r="I35" s="435"/>
    </row>
    <row r="36" spans="1:9" ht="15" customHeight="1" x14ac:dyDescent="0.25">
      <c r="A36" s="435"/>
      <c r="B36" s="435"/>
      <c r="C36" s="435"/>
      <c r="D36" s="435"/>
      <c r="E36" s="435"/>
      <c r="F36" s="435"/>
      <c r="G36" s="435"/>
      <c r="H36" s="435"/>
      <c r="I36" s="435"/>
    </row>
    <row r="37" spans="1:9" ht="15" customHeight="1" x14ac:dyDescent="0.25">
      <c r="A37" s="435"/>
      <c r="B37" s="435"/>
      <c r="C37" s="435"/>
      <c r="D37" s="435"/>
      <c r="E37" s="435"/>
      <c r="F37" s="435"/>
      <c r="G37" s="435"/>
      <c r="H37" s="435"/>
      <c r="I37" s="435"/>
    </row>
    <row r="38" spans="1:9" ht="15" customHeight="1" x14ac:dyDescent="0.25">
      <c r="A38" s="435"/>
      <c r="B38" s="435"/>
      <c r="C38" s="435"/>
      <c r="D38" s="435"/>
      <c r="E38" s="435"/>
      <c r="F38" s="435"/>
      <c r="G38" s="435"/>
      <c r="H38" s="435"/>
      <c r="I38" s="435"/>
    </row>
    <row r="39" spans="1:9" ht="15" customHeight="1" x14ac:dyDescent="0.25">
      <c r="A39" s="435"/>
      <c r="B39" s="435"/>
      <c r="C39" s="435"/>
      <c r="D39" s="435"/>
      <c r="E39" s="435"/>
      <c r="F39" s="435"/>
      <c r="G39" s="435"/>
      <c r="H39" s="435"/>
      <c r="I39" s="435"/>
    </row>
    <row r="40" spans="1:9" ht="15" customHeight="1" x14ac:dyDescent="0.25">
      <c r="A40" s="435"/>
      <c r="B40" s="435"/>
      <c r="C40" s="435"/>
      <c r="D40" s="435"/>
      <c r="E40" s="435"/>
      <c r="F40" s="435"/>
      <c r="G40" s="435"/>
      <c r="H40" s="435"/>
      <c r="I40" s="435"/>
    </row>
    <row r="41" spans="1:9" ht="15" customHeight="1" x14ac:dyDescent="0.25">
      <c r="A41" s="435"/>
      <c r="B41" s="435"/>
      <c r="C41" s="435"/>
      <c r="D41" s="435"/>
      <c r="E41" s="435"/>
      <c r="F41" s="435"/>
      <c r="G41" s="435"/>
      <c r="H41" s="435"/>
      <c r="I41" s="435"/>
    </row>
    <row r="42" spans="1:9" ht="15" customHeight="1" x14ac:dyDescent="0.25">
      <c r="A42" s="435"/>
      <c r="B42" s="435"/>
      <c r="C42" s="435"/>
      <c r="D42" s="435"/>
      <c r="E42" s="435"/>
      <c r="F42" s="435"/>
      <c r="G42" s="435"/>
      <c r="H42" s="435"/>
      <c r="I42" s="435"/>
    </row>
    <row r="43" spans="1:9" ht="15" customHeight="1" x14ac:dyDescent="0.25">
      <c r="A43" s="435"/>
      <c r="B43" s="435"/>
      <c r="C43" s="435"/>
      <c r="D43" s="435"/>
      <c r="E43" s="435"/>
      <c r="F43" s="435"/>
      <c r="G43" s="435"/>
      <c r="H43" s="435"/>
      <c r="I43" s="435"/>
    </row>
    <row r="44" spans="1:9" ht="15" customHeight="1" x14ac:dyDescent="0.25">
      <c r="A44" s="435"/>
      <c r="B44" s="435"/>
      <c r="C44" s="435"/>
      <c r="D44" s="435"/>
      <c r="E44" s="435"/>
      <c r="F44" s="435"/>
      <c r="G44" s="435"/>
      <c r="H44" s="435"/>
      <c r="I44" s="435"/>
    </row>
    <row r="45" spans="1:9" ht="15" customHeight="1" x14ac:dyDescent="0.25">
      <c r="A45" s="435"/>
      <c r="B45" s="435"/>
      <c r="C45" s="435"/>
      <c r="D45" s="435"/>
      <c r="E45" s="435"/>
      <c r="F45" s="435"/>
      <c r="G45" s="435"/>
      <c r="H45" s="435"/>
      <c r="I45" s="435"/>
    </row>
    <row r="46" spans="1:9" ht="15" customHeight="1" x14ac:dyDescent="0.25">
      <c r="A46" s="435"/>
      <c r="B46" s="435"/>
      <c r="C46" s="435"/>
      <c r="D46" s="435"/>
      <c r="E46" s="435"/>
      <c r="F46" s="435"/>
      <c r="G46" s="435"/>
      <c r="H46" s="435"/>
      <c r="I46" s="435"/>
    </row>
    <row r="47" spans="1:9" ht="15" customHeight="1" x14ac:dyDescent="0.25">
      <c r="A47" s="435"/>
      <c r="B47" s="435"/>
      <c r="C47" s="435"/>
      <c r="D47" s="435"/>
      <c r="E47" s="435"/>
      <c r="F47" s="435"/>
      <c r="G47" s="435"/>
      <c r="H47" s="435"/>
      <c r="I47" s="435"/>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39" t="s">
        <v>250</v>
      </c>
      <c r="C55" s="439"/>
      <c r="D55" s="165"/>
      <c r="E55" s="165"/>
      <c r="F55" s="166" t="s">
        <v>251</v>
      </c>
      <c r="G55" s="165"/>
    </row>
    <row r="56" spans="2:7" ht="15" customHeight="1" x14ac:dyDescent="0.25">
      <c r="B56" s="435" t="s">
        <v>252</v>
      </c>
      <c r="C56" s="435"/>
      <c r="D56" s="157" t="s">
        <v>341</v>
      </c>
      <c r="E56" s="165"/>
      <c r="F56" s="165" t="s">
        <v>254</v>
      </c>
      <c r="G56" s="165" t="s">
        <v>342</v>
      </c>
    </row>
    <row r="57" spans="2:7" ht="15" customHeight="1" x14ac:dyDescent="0.25">
      <c r="B57" s="435" t="s">
        <v>255</v>
      </c>
      <c r="C57" s="435"/>
      <c r="D57" s="157" t="s">
        <v>343</v>
      </c>
      <c r="E57" s="165"/>
      <c r="F57" s="165" t="s">
        <v>257</v>
      </c>
      <c r="G57" s="165" t="s">
        <v>344</v>
      </c>
    </row>
    <row r="58" spans="2:7" ht="15" customHeight="1" x14ac:dyDescent="0.25">
      <c r="B58" s="435" t="s">
        <v>258</v>
      </c>
      <c r="C58" s="435"/>
      <c r="D58" s="157" t="s">
        <v>345</v>
      </c>
      <c r="E58" s="165"/>
      <c r="F58" s="165" t="s">
        <v>260</v>
      </c>
      <c r="G58" s="165" t="s">
        <v>346</v>
      </c>
    </row>
    <row r="59" spans="2:7" ht="15" customHeight="1" x14ac:dyDescent="0.25">
      <c r="B59" s="435" t="s">
        <v>261</v>
      </c>
      <c r="C59" s="435"/>
      <c r="D59" s="157" t="s">
        <v>347</v>
      </c>
      <c r="E59" s="165"/>
      <c r="F59" s="165"/>
      <c r="G59" s="165"/>
    </row>
    <row r="60" spans="2:7" ht="15" customHeight="1" x14ac:dyDescent="0.25">
      <c r="B60" s="435" t="s">
        <v>262</v>
      </c>
      <c r="C60" s="435"/>
      <c r="D60" s="167">
        <v>42634</v>
      </c>
      <c r="E60" s="165"/>
      <c r="F60" s="165"/>
      <c r="G60" s="165"/>
    </row>
    <row r="61" spans="2:7" ht="15" customHeight="1" x14ac:dyDescent="0.25">
      <c r="B61" s="435" t="s">
        <v>263</v>
      </c>
      <c r="C61" s="435"/>
      <c r="D61" s="157" t="s">
        <v>348</v>
      </c>
      <c r="E61" s="165"/>
      <c r="F61" s="165"/>
      <c r="G61" s="165"/>
    </row>
    <row r="62" spans="2:7" ht="15" customHeight="1" x14ac:dyDescent="0.25">
      <c r="B62" s="435" t="s">
        <v>265</v>
      </c>
      <c r="C62" s="435"/>
      <c r="D62" s="157" t="s">
        <v>266</v>
      </c>
      <c r="E62" s="165"/>
      <c r="F62" s="165"/>
      <c r="G62" s="165"/>
    </row>
    <row r="63" spans="2:7" ht="15" customHeight="1" x14ac:dyDescent="0.25">
      <c r="B63" s="435" t="s">
        <v>267</v>
      </c>
      <c r="C63" s="435"/>
      <c r="D63" s="157" t="s">
        <v>349</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350</v>
      </c>
      <c r="D72" s="228"/>
      <c r="E72" s="228"/>
    </row>
    <row r="73" spans="2:7" x14ac:dyDescent="0.25">
      <c r="C73" s="229" t="s">
        <v>351</v>
      </c>
      <c r="D73" s="169" t="str">
        <f>Mesures_Four!C53</f>
        <v>JO1854/1C</v>
      </c>
      <c r="E73" s="170">
        <f>Mesures_Four!E53</f>
        <v>42901</v>
      </c>
    </row>
    <row r="74" spans="2:7" x14ac:dyDescent="0.25">
      <c r="C74" s="168" t="s">
        <v>352</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353</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354</v>
      </c>
    </row>
    <row r="100" spans="2:9" ht="18.75" x14ac:dyDescent="0.3">
      <c r="C100" s="231" t="s">
        <v>355</v>
      </c>
      <c r="F100" s="231" t="s">
        <v>356</v>
      </c>
    </row>
    <row r="102" spans="2:9" x14ac:dyDescent="0.25">
      <c r="C102" s="232" t="s">
        <v>252</v>
      </c>
      <c r="D102" s="98" t="s">
        <v>357</v>
      </c>
      <c r="E102" s="98"/>
      <c r="F102" s="233" t="s">
        <v>358</v>
      </c>
      <c r="G102" s="98" t="s">
        <v>359</v>
      </c>
    </row>
    <row r="103" spans="2:9" x14ac:dyDescent="0.25">
      <c r="C103" s="232" t="s">
        <v>360</v>
      </c>
      <c r="D103" s="234" t="s">
        <v>361</v>
      </c>
      <c r="E103" s="98"/>
      <c r="F103" s="233" t="s">
        <v>362</v>
      </c>
      <c r="G103" s="98" t="s">
        <v>183</v>
      </c>
    </row>
    <row r="104" spans="2:9" x14ac:dyDescent="0.25">
      <c r="C104" s="232" t="s">
        <v>363</v>
      </c>
      <c r="D104" s="98" t="s">
        <v>364</v>
      </c>
      <c r="E104" s="98"/>
      <c r="F104" s="233" t="s">
        <v>365</v>
      </c>
      <c r="G104" s="235" t="str">
        <f>IF(+Mesures_Four!C16&lt;&gt;"",Mesures_Four!C16,"")</f>
        <v>PL1707000191-0817-PL3 Z19</v>
      </c>
    </row>
    <row r="105" spans="2:9" x14ac:dyDescent="0.25">
      <c r="C105" s="236" t="s">
        <v>366</v>
      </c>
      <c r="D105" s="98">
        <v>9</v>
      </c>
      <c r="F105" s="233" t="s">
        <v>367</v>
      </c>
      <c r="G105" s="237" t="str">
        <f>IF(+Mesures_Four!D16&lt;&gt;"",Mesures_Four!D16,"CC MANQUANT")</f>
        <v>20232711</v>
      </c>
    </row>
    <row r="106" spans="2:9" x14ac:dyDescent="0.25">
      <c r="C106" s="232" t="s">
        <v>258</v>
      </c>
      <c r="D106" s="98" t="s">
        <v>368</v>
      </c>
      <c r="E106" s="98" t="str">
        <f>IF(+Mesures_Four!C18&lt;&gt;"","sonde TUS deuxième lot","")</f>
        <v/>
      </c>
      <c r="F106" s="233" t="s">
        <v>369</v>
      </c>
      <c r="G106" s="238" t="str">
        <f>IF(+Mesures_Four!E16&lt;&gt;"",Mesures_Four!E16,"")</f>
        <v>27/11/2023</v>
      </c>
    </row>
    <row r="107" spans="2:9" x14ac:dyDescent="0.25">
      <c r="C107" s="232" t="s">
        <v>370</v>
      </c>
      <c r="D107" s="225" t="str">
        <f>IF(+Mesures_Four!C17&lt;&gt;"",Mesures_Four!C17,"N°SERIE MANQUANT")</f>
        <v>CF31726-A-01 à 09</v>
      </c>
      <c r="E107" s="225" t="str">
        <f>IF(+Mesures_Four!C18&lt;&gt;"",Mesures_Four!C18,"")</f>
        <v/>
      </c>
      <c r="F107" s="233" t="s">
        <v>371</v>
      </c>
      <c r="G107" s="98">
        <v>3</v>
      </c>
      <c r="I107" s="107"/>
    </row>
    <row r="108" spans="2:9" x14ac:dyDescent="0.25">
      <c r="C108" s="232" t="s">
        <v>367</v>
      </c>
      <c r="D108" s="237" t="str">
        <f>IF(+Mesures_Four!D17&lt;&gt;"",Mesures_Four!D17,"CC MANQUANT")</f>
        <v>23-1230-001</v>
      </c>
      <c r="E108" s="237" t="str">
        <f>IF(+Mesures_Four!D18&lt;&gt;"",Mesures_Four!D18,"")</f>
        <v/>
      </c>
      <c r="F108" s="239" t="s">
        <v>372</v>
      </c>
      <c r="G108" s="240">
        <f>+IF(G106&lt;&gt;"",EDATE(G106,G107),"")</f>
        <v>45349</v>
      </c>
    </row>
    <row r="109" spans="2:9" x14ac:dyDescent="0.25">
      <c r="C109" s="232" t="s">
        <v>369</v>
      </c>
      <c r="D109" s="238" t="str">
        <f>IF(+Mesures_Four!E17&lt;&gt;"",Mesures_Four!E17,"")</f>
        <v>29/09/2023</v>
      </c>
      <c r="E109" s="238" t="str">
        <f>IF(+Mesures_Four!E18&lt;&gt;"",Mesures_Four!E18,"")</f>
        <v/>
      </c>
    </row>
    <row r="110" spans="2:9" x14ac:dyDescent="0.25">
      <c r="C110" s="232" t="s">
        <v>373</v>
      </c>
      <c r="D110" s="238" t="str">
        <f>IF(+Mesures_Four!F17&lt;&gt;"",Mesures_Four!F17,"")</f>
        <v>06/02/2024</v>
      </c>
      <c r="E110" s="238" t="str">
        <f>IF(+Mesures_Four!F18&lt;&gt;"",Mesures_Four!F18,"")</f>
        <v/>
      </c>
    </row>
    <row r="111" spans="2:9" x14ac:dyDescent="0.25">
      <c r="C111" s="232" t="s">
        <v>374</v>
      </c>
      <c r="D111" s="98">
        <v>3</v>
      </c>
      <c r="E111" s="98" t="str">
        <f>IF(+Mesures_Four!C18&lt;&gt;"","3","")</f>
        <v/>
      </c>
    </row>
    <row r="112" spans="2:9" x14ac:dyDescent="0.25">
      <c r="C112" s="232" t="s">
        <v>375</v>
      </c>
      <c r="D112" s="240">
        <f>IF(D110&lt;&gt;"",EDATE(D110,D111),"")</f>
        <v>45418</v>
      </c>
      <c r="E112" s="240" t="str">
        <f>IF(E110&lt;&gt;"",EDATE(E110,E111),"")</f>
        <v/>
      </c>
    </row>
    <row r="113" spans="2:8" x14ac:dyDescent="0.25">
      <c r="C113" s="232"/>
    </row>
    <row r="114" spans="2:8" x14ac:dyDescent="0.25">
      <c r="E114" s="241"/>
      <c r="F114" s="241"/>
      <c r="G114" s="241"/>
    </row>
    <row r="115" spans="2:8" x14ac:dyDescent="0.25">
      <c r="B115" s="242" t="s">
        <v>376</v>
      </c>
      <c r="D115" s="241"/>
      <c r="E115" s="241"/>
      <c r="F115" s="241"/>
      <c r="G115" s="241"/>
    </row>
    <row r="116" spans="2:8" x14ac:dyDescent="0.25">
      <c r="B116" s="440" t="str">
        <f>IF(+Mesures_Four!B58&lt;&gt;"",Mesures_Four!B58,"")</f>
        <v/>
      </c>
      <c r="C116" s="440"/>
      <c r="D116" s="440"/>
      <c r="E116" s="440"/>
      <c r="F116" s="440"/>
      <c r="G116" s="440"/>
      <c r="H116" s="440"/>
    </row>
    <row r="117" spans="2:8" x14ac:dyDescent="0.25">
      <c r="B117" s="440"/>
      <c r="C117" s="440"/>
      <c r="D117" s="440"/>
      <c r="E117" s="440"/>
      <c r="F117" s="440"/>
      <c r="G117" s="440"/>
      <c r="H117" s="440"/>
    </row>
    <row r="119" spans="2:8" ht="18.75" customHeight="1" x14ac:dyDescent="0.3">
      <c r="B119" s="230" t="s">
        <v>377</v>
      </c>
    </row>
    <row r="120" spans="2:8" ht="15" customHeight="1" x14ac:dyDescent="0.25"/>
    <row r="121" spans="2:8" ht="15" customHeight="1" x14ac:dyDescent="0.25">
      <c r="B121" s="441" t="s">
        <v>378</v>
      </c>
      <c r="C121" s="441"/>
      <c r="D121" s="441"/>
      <c r="E121" s="441"/>
      <c r="F121" s="441"/>
      <c r="G121" s="441"/>
      <c r="H121" s="441"/>
    </row>
    <row r="122" spans="2:8" ht="15" customHeight="1" x14ac:dyDescent="0.25">
      <c r="B122" s="441"/>
      <c r="C122" s="441"/>
      <c r="D122" s="441"/>
      <c r="E122" s="441"/>
      <c r="F122" s="441"/>
      <c r="G122" s="441"/>
      <c r="H122" s="441"/>
    </row>
    <row r="123" spans="2:8" ht="15" customHeight="1" x14ac:dyDescent="0.25">
      <c r="B123" s="441"/>
      <c r="C123" s="441"/>
      <c r="D123" s="441"/>
      <c r="E123" s="441"/>
      <c r="F123" s="441"/>
      <c r="G123" s="441"/>
      <c r="H123" s="441"/>
    </row>
    <row r="124" spans="2:8" ht="15" customHeight="1" x14ac:dyDescent="0.25">
      <c r="B124" s="441"/>
      <c r="C124" s="441"/>
      <c r="D124" s="441"/>
      <c r="E124" s="441"/>
      <c r="F124" s="441"/>
      <c r="G124" s="441"/>
      <c r="H124" s="441"/>
    </row>
    <row r="125" spans="2:8" ht="15" customHeight="1" x14ac:dyDescent="0.25">
      <c r="B125" s="441"/>
      <c r="C125" s="441"/>
      <c r="D125" s="441"/>
      <c r="E125" s="441"/>
      <c r="F125" s="441"/>
      <c r="G125" s="441"/>
      <c r="H125" s="441"/>
    </row>
    <row r="126" spans="2:8" ht="15" customHeight="1" x14ac:dyDescent="0.25">
      <c r="B126" s="441"/>
      <c r="C126" s="441"/>
      <c r="D126" s="441"/>
      <c r="E126" s="441"/>
      <c r="F126" s="441"/>
      <c r="G126" s="441"/>
      <c r="H126" s="441"/>
    </row>
    <row r="127" spans="2:8" ht="15" customHeight="1" x14ac:dyDescent="0.25">
      <c r="B127" s="441"/>
      <c r="C127" s="441"/>
      <c r="D127" s="441"/>
      <c r="E127" s="441"/>
      <c r="F127" s="441"/>
      <c r="G127" s="441"/>
      <c r="H127" s="441"/>
    </row>
    <row r="128" spans="2:8" ht="15" customHeight="1" x14ac:dyDescent="0.25">
      <c r="B128" s="441"/>
      <c r="C128" s="441"/>
      <c r="D128" s="441"/>
      <c r="E128" s="441"/>
      <c r="F128" s="441"/>
      <c r="G128" s="441"/>
      <c r="H128" s="441"/>
    </row>
    <row r="129" spans="2:8" ht="15" customHeight="1" x14ac:dyDescent="0.25">
      <c r="B129" s="441"/>
      <c r="C129" s="441"/>
      <c r="D129" s="441"/>
      <c r="E129" s="441"/>
      <c r="F129" s="441"/>
      <c r="G129" s="441"/>
      <c r="H129" s="441"/>
    </row>
    <row r="130" spans="2:8" ht="15" customHeight="1" x14ac:dyDescent="0.25">
      <c r="B130" s="441"/>
      <c r="C130" s="441"/>
      <c r="D130" s="441"/>
      <c r="E130" s="441"/>
      <c r="F130" s="441"/>
      <c r="G130" s="441"/>
      <c r="H130" s="441"/>
    </row>
    <row r="131" spans="2:8" ht="15" customHeight="1" x14ac:dyDescent="0.25">
      <c r="B131" s="441"/>
      <c r="C131" s="441"/>
      <c r="D131" s="441"/>
      <c r="E131" s="441"/>
      <c r="F131" s="441"/>
      <c r="G131" s="441"/>
      <c r="H131" s="441"/>
    </row>
    <row r="132" spans="2:8" ht="15" customHeight="1" x14ac:dyDescent="0.25">
      <c r="B132" s="441"/>
      <c r="C132" s="441"/>
      <c r="D132" s="441"/>
      <c r="E132" s="441"/>
      <c r="F132" s="441"/>
      <c r="G132" s="441"/>
      <c r="H132" s="441"/>
    </row>
    <row r="133" spans="2:8" ht="15" customHeight="1" x14ac:dyDescent="0.25">
      <c r="B133" s="441"/>
      <c r="C133" s="441"/>
      <c r="D133" s="441"/>
      <c r="E133" s="441"/>
      <c r="F133" s="441"/>
      <c r="G133" s="441"/>
      <c r="H133" s="441"/>
    </row>
    <row r="134" spans="2:8" ht="15" customHeight="1" x14ac:dyDescent="0.25">
      <c r="B134" s="441"/>
      <c r="C134" s="441"/>
      <c r="D134" s="441"/>
      <c r="E134" s="441"/>
      <c r="F134" s="441"/>
      <c r="G134" s="441"/>
      <c r="H134" s="441"/>
    </row>
    <row r="135" spans="2:8" ht="15" customHeight="1" x14ac:dyDescent="0.25">
      <c r="B135" s="441"/>
      <c r="C135" s="441"/>
      <c r="D135" s="441"/>
      <c r="E135" s="441"/>
      <c r="F135" s="441"/>
      <c r="G135" s="441"/>
      <c r="H135" s="441"/>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379</v>
      </c>
    </row>
    <row r="146" spans="2:4" x14ac:dyDescent="0.25">
      <c r="B146" s="35" t="s">
        <v>380</v>
      </c>
      <c r="C146" s="244" t="s">
        <v>381</v>
      </c>
      <c r="D146" s="244" t="s">
        <v>382</v>
      </c>
    </row>
    <row r="147" spans="2:4" x14ac:dyDescent="0.25">
      <c r="B147" s="35" t="str">
        <f>SUBSTITUTE(Mesures_Four!A28,"Emplacement ","")</f>
        <v>1</v>
      </c>
      <c r="C147" s="314" t="str">
        <f>Mesures_Four!B28</f>
        <v>1</v>
      </c>
      <c r="D147" s="315" t="str">
        <f>Mesures_Four!C28</f>
        <v>1</v>
      </c>
    </row>
    <row r="148" spans="2:4" x14ac:dyDescent="0.25">
      <c r="B148" s="35" t="str">
        <f>SUBSTITUTE(Mesures_Four!A29,"Emplacement ","")</f>
        <v>2</v>
      </c>
      <c r="C148" s="314" t="str">
        <f>Mesures_Four!B29</f>
        <v>2</v>
      </c>
      <c r="D148" s="315" t="str">
        <f>Mesures_Four!C29</f>
        <v>2</v>
      </c>
    </row>
    <row r="149" spans="2:4" x14ac:dyDescent="0.25">
      <c r="B149" s="35" t="str">
        <f>SUBSTITUTE(Mesures_Four!A30,"Emplacement ","")</f>
        <v>3</v>
      </c>
      <c r="C149" s="314" t="str">
        <f>Mesures_Four!B30</f>
        <v>3</v>
      </c>
      <c r="D149" s="315" t="str">
        <f>Mesures_Four!C30</f>
        <v>3</v>
      </c>
    </row>
    <row r="150" spans="2:4" x14ac:dyDescent="0.25">
      <c r="B150" s="35" t="str">
        <f>SUBSTITUTE(Mesures_Four!A31,"Emplacement ","")</f>
        <v>4</v>
      </c>
      <c r="C150" s="314" t="str">
        <f>Mesures_Four!B31</f>
        <v>4</v>
      </c>
      <c r="D150" s="315" t="str">
        <f>Mesures_Four!C31</f>
        <v>4</v>
      </c>
    </row>
    <row r="151" spans="2:4" x14ac:dyDescent="0.25">
      <c r="B151" s="35" t="str">
        <f>SUBSTITUTE(Mesures_Four!A32,"Emplacement ","")</f>
        <v>5</v>
      </c>
      <c r="C151" s="314" t="str">
        <f>Mesures_Four!B32</f>
        <v>5</v>
      </c>
      <c r="D151" s="315" t="str">
        <f>Mesures_Four!C32</f>
        <v>17</v>
      </c>
    </row>
    <row r="152" spans="2:4" x14ac:dyDescent="0.25">
      <c r="B152" s="35" t="str">
        <f>SUBSTITUTE(Mesures_Four!A33,"Emplacement ","")</f>
        <v>6</v>
      </c>
      <c r="C152" s="314" t="str">
        <f>Mesures_Four!B33</f>
        <v>6</v>
      </c>
      <c r="D152" s="315" t="str">
        <f>Mesures_Four!C33</f>
        <v>6</v>
      </c>
    </row>
    <row r="153" spans="2:4" x14ac:dyDescent="0.25">
      <c r="B153" s="35" t="str">
        <f>SUBSTITUTE(Mesures_Four!A34,"Emplacement ","")</f>
        <v>7</v>
      </c>
      <c r="C153" s="314" t="str">
        <f>Mesures_Four!B34</f>
        <v>7</v>
      </c>
      <c r="D153" s="315" t="str">
        <f>Mesures_Four!C34</f>
        <v>7</v>
      </c>
    </row>
    <row r="154" spans="2:4" x14ac:dyDescent="0.25">
      <c r="B154" s="35" t="str">
        <f>SUBSTITUTE(Mesures_Four!A35,"Emplacement ","")</f>
        <v>8</v>
      </c>
      <c r="C154" s="314" t="str">
        <f>Mesures_Four!B35</f>
        <v>8</v>
      </c>
      <c r="D154" s="315" t="str">
        <f>Mesures_Four!C35</f>
        <v>8</v>
      </c>
    </row>
    <row r="155" spans="2:4" x14ac:dyDescent="0.25">
      <c r="B155" s="35" t="str">
        <f>SUBSTITUTE(Mesures_Four!A36,"Emplacement ","")</f>
        <v>9</v>
      </c>
      <c r="C155" s="314" t="str">
        <f>Mesures_Four!B36</f>
        <v>9</v>
      </c>
      <c r="D155" s="315" t="str">
        <f>Mesures_Four!C36</f>
        <v>9</v>
      </c>
    </row>
    <row r="178" spans="2:6" ht="18.75" x14ac:dyDescent="0.3">
      <c r="B178" s="230" t="str">
        <f>_xlfn.CONCAT("6- Résultats et exploitations des résultats à ",B181)</f>
        <v>6- Résultats et exploitations des résultats à 80°C</v>
      </c>
    </row>
    <row r="180" spans="2:6" x14ac:dyDescent="0.25">
      <c r="B180" s="245" t="s">
        <v>237</v>
      </c>
      <c r="C180" s="245" t="s">
        <v>383</v>
      </c>
      <c r="E180" s="245" t="s">
        <v>384</v>
      </c>
      <c r="F180" s="245" t="s">
        <v>385</v>
      </c>
    </row>
    <row r="181" spans="2:6" x14ac:dyDescent="0.25">
      <c r="B181" s="246" t="str">
        <f>Mesures_Four!D27</f>
        <v>80°C</v>
      </c>
      <c r="C181" s="247" t="str">
        <f>_xlfn.CONCAT("± ",Mesures_Four!F21,"°C")</f>
        <v>± 3°C</v>
      </c>
      <c r="E181" s="246" t="s">
        <v>386</v>
      </c>
      <c r="F181" s="129">
        <f>Mesures_Four!C21</f>
        <v>-0.6</v>
      </c>
    </row>
    <row r="182" spans="2:6" x14ac:dyDescent="0.25">
      <c r="E182" s="246" t="s">
        <v>387</v>
      </c>
      <c r="F182" s="129">
        <f>Mesures_Four!D21</f>
        <v>-0.27</v>
      </c>
    </row>
    <row r="183" spans="2:6" x14ac:dyDescent="0.25">
      <c r="B183" s="245" t="s">
        <v>388</v>
      </c>
      <c r="C183" s="245" t="s">
        <v>389</v>
      </c>
      <c r="E183" s="246" t="s">
        <v>390</v>
      </c>
      <c r="F183" s="129">
        <f>Mesures_Four!E21</f>
        <v>0.5</v>
      </c>
    </row>
    <row r="184" spans="2:6" x14ac:dyDescent="0.25">
      <c r="B184" s="248" t="str">
        <f>INDEX(tab_four80[Date/Heure],1)</f>
        <v>20/02/2024  21:53</v>
      </c>
      <c r="C184" s="248" t="str">
        <f ca="1">OFFSET(INDEX(tab_four80[Date/Heure],1),COUNTA(tab_four80[Date/Heure])+COUNTBLANK(tab_four80[Date/Heure])-1,0,1)</f>
        <v>21/02/2024  00:47</v>
      </c>
    </row>
    <row r="186" spans="2:6" ht="18.75" x14ac:dyDescent="0.3">
      <c r="B186" s="230" t="s">
        <v>391</v>
      </c>
    </row>
    <row r="188" spans="2:6" x14ac:dyDescent="0.25">
      <c r="C188" s="245" t="s">
        <v>392</v>
      </c>
      <c r="D188" s="245" t="s">
        <v>393</v>
      </c>
      <c r="E188" s="245" t="s">
        <v>394</v>
      </c>
      <c r="F188" s="245" t="s">
        <v>395</v>
      </c>
    </row>
    <row r="189" spans="2:6" x14ac:dyDescent="0.25">
      <c r="C189" s="246" t="s">
        <v>396</v>
      </c>
      <c r="D189" s="249">
        <f ca="1">'80°C'!AB356</f>
        <v>80.400000000000006</v>
      </c>
      <c r="E189" s="249">
        <f ca="1">'80°C'!AB357</f>
        <v>80</v>
      </c>
      <c r="F189" s="249">
        <f ca="1">'80°C'!AB358</f>
        <v>80.09333333333332</v>
      </c>
    </row>
    <row r="190" spans="2:6" x14ac:dyDescent="0.25">
      <c r="C190" s="246" t="s">
        <v>397</v>
      </c>
      <c r="D190" s="249">
        <f ca="1">'80°C'!AC356</f>
        <v>81.7</v>
      </c>
      <c r="E190" s="249">
        <f ca="1">'80°C'!AC357</f>
        <v>81.3</v>
      </c>
      <c r="F190" s="249">
        <f ca="1">'80°C'!AC358</f>
        <v>81.36666666666666</v>
      </c>
    </row>
    <row r="191" spans="2:6" x14ac:dyDescent="0.25">
      <c r="C191" s="246" t="s">
        <v>398</v>
      </c>
      <c r="D191" s="249">
        <f ca="1">'80°C'!AA356</f>
        <v>80.599999999999994</v>
      </c>
      <c r="E191" s="249">
        <f ca="1">'80°C'!AA357</f>
        <v>79.8</v>
      </c>
      <c r="F191" s="249">
        <f ca="1">'80°C'!AA358</f>
        <v>80.010000000000034</v>
      </c>
    </row>
    <row r="193" spans="2:5" ht="18.75" x14ac:dyDescent="0.3">
      <c r="B193" s="230" t="s">
        <v>399</v>
      </c>
    </row>
    <row r="195" spans="2:5" x14ac:dyDescent="0.25">
      <c r="B195" s="422" t="s">
        <v>295</v>
      </c>
      <c r="C195" s="422"/>
      <c r="D195" s="245" t="s">
        <v>400</v>
      </c>
      <c r="E195" s="245" t="s">
        <v>401</v>
      </c>
    </row>
    <row r="196" spans="2:5" x14ac:dyDescent="0.25">
      <c r="B196" s="431" t="s">
        <v>402</v>
      </c>
      <c r="C196" s="431"/>
      <c r="D196" s="250" t="str">
        <f>B181</f>
        <v>80°C</v>
      </c>
      <c r="E196" s="250" t="s">
        <v>200</v>
      </c>
    </row>
    <row r="197" spans="2:5" x14ac:dyDescent="0.25">
      <c r="B197" s="431" t="s">
        <v>201</v>
      </c>
      <c r="C197" s="431"/>
      <c r="D197" s="250" t="str">
        <f>B181</f>
        <v>80°C</v>
      </c>
      <c r="E197" s="250" t="s">
        <v>200</v>
      </c>
    </row>
    <row r="198" spans="2:5" x14ac:dyDescent="0.25">
      <c r="B198" s="431" t="s">
        <v>403</v>
      </c>
      <c r="C198" s="431"/>
      <c r="D198" s="249">
        <f>'80°C'!W183</f>
        <v>82.72</v>
      </c>
      <c r="E198" s="251" t="str">
        <f>VLOOKUP(SUBSTITUTE(HLOOKUP(D198,'80°C'!$N183:$V$190,8,FALSE),"Connecteur ",""),Mesures_Four!B28:C36,2,FALSE)</f>
        <v>8</v>
      </c>
    </row>
    <row r="199" spans="2:5" ht="30" customHeight="1" x14ac:dyDescent="0.25">
      <c r="B199" s="432" t="s">
        <v>404</v>
      </c>
      <c r="C199" s="432"/>
      <c r="D199" s="249">
        <f ca="1">'80°C'!W184</f>
        <v>81.92</v>
      </c>
      <c r="E199" s="251" t="str">
        <f ca="1">VLOOKUP(SUBSTITUTE(HLOOKUP(D199,'80°C'!$N184:$V$190,7,FALSE),"Connecteur ",""),Mesures_Four!B28:C36,2,FALSE)</f>
        <v>6</v>
      </c>
    </row>
    <row r="200" spans="2:5" ht="30" customHeight="1" x14ac:dyDescent="0.25">
      <c r="B200" s="432" t="s">
        <v>405</v>
      </c>
      <c r="C200" s="432"/>
      <c r="D200" s="249">
        <f ca="1">'80°C'!W185</f>
        <v>80.809999999999988</v>
      </c>
      <c r="E200" s="251" t="str">
        <f ca="1">VLOOKUP(SUBSTITUTE(HLOOKUP(D200,'80°C'!$N185:$V$190,6,FALSE),"Connecteur ",""),Mesures_Four!B28:C36,2,FALSE)</f>
        <v>2</v>
      </c>
    </row>
    <row r="201" spans="2:5" ht="30" customHeight="1" x14ac:dyDescent="0.25">
      <c r="B201" s="432" t="s">
        <v>406</v>
      </c>
      <c r="C201" s="432"/>
      <c r="D201" s="249">
        <f ca="1">'80°C'!W189</f>
        <v>81.175703703703704</v>
      </c>
      <c r="E201" s="250" t="s">
        <v>200</v>
      </c>
    </row>
    <row r="209" spans="2:8" ht="18.75" x14ac:dyDescent="0.3">
      <c r="B209" s="230" t="s">
        <v>407</v>
      </c>
    </row>
    <row r="210" spans="2:8" ht="18.75" x14ac:dyDescent="0.3">
      <c r="B210" s="230"/>
    </row>
    <row r="211" spans="2:8" x14ac:dyDescent="0.25">
      <c r="B211" s="433" t="s">
        <v>408</v>
      </c>
      <c r="C211" s="433" t="s">
        <v>401</v>
      </c>
      <c r="D211" s="422" t="s">
        <v>409</v>
      </c>
      <c r="E211" s="422"/>
      <c r="F211" s="422"/>
      <c r="G211" s="422"/>
      <c r="H211" s="245" t="s">
        <v>328</v>
      </c>
    </row>
    <row r="212" spans="2:8" x14ac:dyDescent="0.25">
      <c r="B212" s="434"/>
      <c r="C212" s="434"/>
      <c r="D212" s="246" t="s">
        <v>410</v>
      </c>
      <c r="E212" s="246" t="s">
        <v>411</v>
      </c>
      <c r="F212" s="246" t="s">
        <v>211</v>
      </c>
      <c r="G212" s="246" t="s">
        <v>212</v>
      </c>
      <c r="H212" s="246" t="s">
        <v>412</v>
      </c>
    </row>
    <row r="213" spans="2:8" x14ac:dyDescent="0.25">
      <c r="B213" s="252" t="s">
        <v>413</v>
      </c>
      <c r="C213" s="246" t="str">
        <f>VLOOKUP($B213,$C$147:$D$155,2,FALSE)</f>
        <v>1</v>
      </c>
      <c r="D213" s="249">
        <f ca="1">'80°C'!N184</f>
        <v>81.400000000000006</v>
      </c>
      <c r="E213" s="249">
        <f ca="1">'80°C'!N185</f>
        <v>81.070000000000007</v>
      </c>
      <c r="F213" s="249">
        <f ca="1">'80°C'!N186</f>
        <v>81.204000000000022</v>
      </c>
      <c r="G213" s="249">
        <f t="shared" ref="G213:G221" ca="1" si="0">D213-E213</f>
        <v>0.32999999999999829</v>
      </c>
      <c r="H213" s="249">
        <f>'80°C'!N183</f>
        <v>81.900000000000006</v>
      </c>
    </row>
    <row r="214" spans="2:8" x14ac:dyDescent="0.25">
      <c r="B214" s="252" t="s">
        <v>414</v>
      </c>
      <c r="C214" s="246" t="str">
        <f t="shared" ref="C214:C221" si="1">VLOOKUP($B214,$C$147:$D$155,2,FALSE)</f>
        <v>2</v>
      </c>
      <c r="D214" s="249">
        <f ca="1">'80°C'!O184</f>
        <v>81.02</v>
      </c>
      <c r="E214" s="249">
        <f ca="1">'80°C'!O185</f>
        <v>80.809999999999988</v>
      </c>
      <c r="F214" s="249">
        <f ca="1">'80°C'!O186</f>
        <v>80.901999999999987</v>
      </c>
      <c r="G214" s="249">
        <f t="shared" ca="1" si="0"/>
        <v>0.21000000000000796</v>
      </c>
      <c r="H214" s="249">
        <f>'80°C'!O183</f>
        <v>81.47</v>
      </c>
    </row>
    <row r="215" spans="2:8" x14ac:dyDescent="0.25">
      <c r="B215" s="252" t="s">
        <v>415</v>
      </c>
      <c r="C215" s="246" t="str">
        <f t="shared" si="1"/>
        <v>3</v>
      </c>
      <c r="D215" s="249">
        <f ca="1">'80°C'!P184</f>
        <v>81.209999999999994</v>
      </c>
      <c r="E215" s="249">
        <f ca="1">'80°C'!P185</f>
        <v>80.959999999999994</v>
      </c>
      <c r="F215" s="249">
        <f ca="1">'80°C'!P186</f>
        <v>81.057000000000016</v>
      </c>
      <c r="G215" s="249">
        <f t="shared" ca="1" si="0"/>
        <v>0.25</v>
      </c>
      <c r="H215" s="249">
        <f>'80°C'!P183</f>
        <v>81.61</v>
      </c>
    </row>
    <row r="216" spans="2:8" x14ac:dyDescent="0.25">
      <c r="B216" s="252" t="s">
        <v>416</v>
      </c>
      <c r="C216" s="246" t="str">
        <f t="shared" si="1"/>
        <v>4</v>
      </c>
      <c r="D216" s="249">
        <f ca="1">'80°C'!Q184</f>
        <v>81.16</v>
      </c>
      <c r="E216" s="249">
        <f ca="1">'80°C'!Q185</f>
        <v>80.819999999999993</v>
      </c>
      <c r="F216" s="249">
        <f ca="1">'80°C'!Q186</f>
        <v>80.951999999999998</v>
      </c>
      <c r="G216" s="249">
        <f t="shared" ca="1" si="0"/>
        <v>0.34000000000000341</v>
      </c>
      <c r="H216" s="249">
        <f>'80°C'!Q183</f>
        <v>81.81</v>
      </c>
    </row>
    <row r="217" spans="2:8" x14ac:dyDescent="0.25">
      <c r="B217" s="252" t="s">
        <v>417</v>
      </c>
      <c r="C217" s="246" t="str">
        <f t="shared" si="1"/>
        <v>17</v>
      </c>
      <c r="D217" s="249">
        <f ca="1">'80°C'!R184</f>
        <v>81.22</v>
      </c>
      <c r="E217" s="249">
        <f ca="1">'80°C'!R185</f>
        <v>80.850000000000009</v>
      </c>
      <c r="F217" s="249">
        <f ca="1">'80°C'!R186</f>
        <v>80.966000000000037</v>
      </c>
      <c r="G217" s="249">
        <f t="shared" ca="1" si="0"/>
        <v>0.36999999999999034</v>
      </c>
      <c r="H217" s="249">
        <f>'80°C'!R183</f>
        <v>82.300000000000011</v>
      </c>
    </row>
    <row r="218" spans="2:8" x14ac:dyDescent="0.25">
      <c r="B218" s="252" t="s">
        <v>418</v>
      </c>
      <c r="C218" s="246" t="str">
        <f t="shared" si="1"/>
        <v>6</v>
      </c>
      <c r="D218" s="249">
        <f ca="1">'80°C'!S184</f>
        <v>81.92</v>
      </c>
      <c r="E218" s="249">
        <f ca="1">'80°C'!S185</f>
        <v>81.589999999999989</v>
      </c>
      <c r="F218" s="249">
        <f ca="1">'80°C'!S186</f>
        <v>81.694000000000003</v>
      </c>
      <c r="G218" s="249">
        <f t="shared" ca="1" si="0"/>
        <v>0.33000000000001251</v>
      </c>
      <c r="H218" s="249">
        <f>'80°C'!S183</f>
        <v>82.63</v>
      </c>
    </row>
    <row r="219" spans="2:8" x14ac:dyDescent="0.25">
      <c r="B219" s="252" t="s">
        <v>419</v>
      </c>
      <c r="C219" s="246" t="str">
        <f t="shared" si="1"/>
        <v>7</v>
      </c>
      <c r="D219" s="249">
        <f ca="1">'80°C'!T184</f>
        <v>81.540000000000006</v>
      </c>
      <c r="E219" s="249">
        <f ca="1">'80°C'!T185</f>
        <v>81.17</v>
      </c>
      <c r="F219" s="249">
        <f ca="1">'80°C'!T186</f>
        <v>81.290333333333351</v>
      </c>
      <c r="G219" s="249">
        <f t="shared" ca="1" si="0"/>
        <v>0.37000000000000455</v>
      </c>
      <c r="H219" s="249">
        <f>'80°C'!T183</f>
        <v>82.18</v>
      </c>
    </row>
    <row r="220" spans="2:8" x14ac:dyDescent="0.25">
      <c r="B220" s="252" t="s">
        <v>420</v>
      </c>
      <c r="C220" s="246" t="str">
        <f t="shared" si="1"/>
        <v>8</v>
      </c>
      <c r="D220" s="249">
        <f ca="1">'80°C'!U184</f>
        <v>81.8</v>
      </c>
      <c r="E220" s="249">
        <f ca="1">'80°C'!U185</f>
        <v>81.339999999999989</v>
      </c>
      <c r="F220" s="249">
        <f ca="1">'80°C'!U186</f>
        <v>81.462666666666649</v>
      </c>
      <c r="G220" s="249">
        <f t="shared" ca="1" si="0"/>
        <v>0.46000000000000796</v>
      </c>
      <c r="H220" s="249">
        <f>'80°C'!U183</f>
        <v>82.72</v>
      </c>
    </row>
    <row r="221" spans="2:8" x14ac:dyDescent="0.25">
      <c r="B221" s="252" t="s">
        <v>421</v>
      </c>
      <c r="C221" s="246" t="str">
        <f t="shared" si="1"/>
        <v>9</v>
      </c>
      <c r="D221" s="249">
        <f ca="1">'80°C'!V184</f>
        <v>81.309999999999988</v>
      </c>
      <c r="E221" s="249">
        <f ca="1">'80°C'!V185</f>
        <v>80.959999999999994</v>
      </c>
      <c r="F221" s="249">
        <f ca="1">'80°C'!V186</f>
        <v>81.053333333333342</v>
      </c>
      <c r="G221" s="249">
        <f t="shared" ca="1" si="0"/>
        <v>0.34999999999999432</v>
      </c>
      <c r="H221" s="249">
        <f>'80°C'!V183</f>
        <v>82.11</v>
      </c>
    </row>
    <row r="223" spans="2:8" ht="18.75" x14ac:dyDescent="0.3">
      <c r="B223" s="230" t="s">
        <v>422</v>
      </c>
    </row>
    <row r="252" spans="2:6" ht="18.75" x14ac:dyDescent="0.3">
      <c r="B252" s="230" t="s">
        <v>423</v>
      </c>
    </row>
    <row r="253" spans="2:6" ht="18.75" x14ac:dyDescent="0.3">
      <c r="B253" s="230"/>
      <c r="C253" s="418" t="s">
        <v>424</v>
      </c>
      <c r="D253" s="418"/>
      <c r="E253" s="418"/>
      <c r="F253" s="418"/>
    </row>
    <row r="254" spans="2:6" ht="28.9" customHeight="1" x14ac:dyDescent="0.25">
      <c r="C254" s="414" t="str">
        <f>_xlfn.CONCAT("Dépassement de la consigne durant la phase de montée ou de maintien en température (&gt; ",B181,")")</f>
        <v>Dépassement de la consigne durant la phase de montée ou de maintien en température (&gt; 80°C)</v>
      </c>
      <c r="D254" s="414"/>
      <c r="E254" s="415">
        <f>IF('80°C'!W183-Mesures_Four!B21&gt;0,'80°C'!W183-Mesures_Four!B21,"PAS DE DÉPASSEMENT")</f>
        <v>2.7199999999999989</v>
      </c>
      <c r="F254" s="419"/>
    </row>
    <row r="255" spans="2:6" ht="18.75" x14ac:dyDescent="0.3">
      <c r="B255" s="230"/>
      <c r="C255" s="412" t="str">
        <f>_xlfn.CONCAT("Dépassement supérieur à la tolérance maximale (",C181,")")</f>
        <v>Dépassement supérieur à la tolérance maximale (± 3°C)</v>
      </c>
      <c r="D255" s="412"/>
      <c r="E255" s="421" t="str">
        <f>IF(OR(E254="PAS DE DÉPASSEMENT",E254&lt;=Mesures_Four!F21),"NON","OUI")</f>
        <v>NON</v>
      </c>
      <c r="F255" s="421"/>
    </row>
    <row r="257" spans="2:7" x14ac:dyDescent="0.25">
      <c r="C257" s="418" t="s">
        <v>425</v>
      </c>
      <c r="D257" s="418"/>
      <c r="E257" s="418"/>
      <c r="F257" s="418"/>
    </row>
    <row r="258" spans="2:7" ht="28.9" customHeight="1" x14ac:dyDescent="0.25">
      <c r="C258" s="414" t="s">
        <v>426</v>
      </c>
      <c r="D258" s="414"/>
      <c r="E258" s="415">
        <f ca="1">'80°C'!N194</f>
        <v>0.80999999999998806</v>
      </c>
      <c r="F258" s="415"/>
    </row>
    <row r="259" spans="2:7" ht="28.9" customHeight="1" x14ac:dyDescent="0.25">
      <c r="C259" s="414" t="s">
        <v>427</v>
      </c>
      <c r="D259" s="414"/>
      <c r="E259" s="415">
        <f ca="1">'80°C'!N193</f>
        <v>1.9200000000000017</v>
      </c>
      <c r="F259" s="415"/>
    </row>
    <row r="260" spans="2:7" x14ac:dyDescent="0.25">
      <c r="C260" s="410" t="s">
        <v>428</v>
      </c>
      <c r="D260" s="410"/>
      <c r="E260" s="416">
        <f ca="1">'80°C'!N188</f>
        <v>1.1100000000000136</v>
      </c>
      <c r="F260" s="417"/>
    </row>
    <row r="261" spans="2:7" x14ac:dyDescent="0.25">
      <c r="C261" s="410" t="s">
        <v>429</v>
      </c>
      <c r="D261" s="410"/>
      <c r="E261" s="411">
        <f>Mesures_Four!G21</f>
        <v>6</v>
      </c>
      <c r="F261" s="411"/>
    </row>
    <row r="262" spans="2:7" x14ac:dyDescent="0.25">
      <c r="C262" s="412" t="s">
        <v>430</v>
      </c>
      <c r="D262" s="412"/>
      <c r="E262" s="413" t="str">
        <f ca="1">IF(AND(ABS(E258)&lt;=E261/2,(ABS(E259)&lt;=E261/2)),"CONFORME","NON CONFORME")</f>
        <v>CONFORME</v>
      </c>
      <c r="F262" s="413"/>
    </row>
    <row r="264" spans="2:7" x14ac:dyDescent="0.25">
      <c r="C264" s="422" t="s">
        <v>431</v>
      </c>
      <c r="D264" s="422"/>
      <c r="E264" s="245" t="s">
        <v>390</v>
      </c>
      <c r="F264" s="245" t="s">
        <v>387</v>
      </c>
    </row>
    <row r="265" spans="2:7" ht="28.9" customHeight="1" x14ac:dyDescent="0.25">
      <c r="B265" s="253" t="s">
        <v>432</v>
      </c>
      <c r="C265" s="405" t="s">
        <v>433</v>
      </c>
      <c r="D265" s="406"/>
      <c r="E265" s="153" t="str">
        <f ca="1">IF(ABS(E258)&lt;Mesures_Four!F21/2,"OUI","NON")</f>
        <v>OUI</v>
      </c>
      <c r="F265" s="153" t="str">
        <f ca="1">IF(ABS(E259)&lt;Mesures_Four!F21/2,"OUI","NON")</f>
        <v>NON</v>
      </c>
    </row>
    <row r="266" spans="2:7" ht="28.9" customHeight="1" x14ac:dyDescent="0.25">
      <c r="B266" s="404" t="s">
        <v>434</v>
      </c>
      <c r="C266" s="405" t="s">
        <v>435</v>
      </c>
      <c r="D266" s="406"/>
      <c r="E266" s="153" t="str">
        <f ca="1">IF(ABS('80°C'!AA357-'80°C'!W185)&lt;1.1,"OUI","NON")</f>
        <v>OUI</v>
      </c>
      <c r="F266" s="153" t="s">
        <v>200</v>
      </c>
    </row>
    <row r="267" spans="2:7" ht="28.9" customHeight="1" x14ac:dyDescent="0.25">
      <c r="B267" s="404"/>
      <c r="C267" s="405" t="s">
        <v>436</v>
      </c>
      <c r="D267" s="406"/>
      <c r="E267" s="153" t="s">
        <v>200</v>
      </c>
      <c r="F267" s="153" t="str">
        <f ca="1">IF(ABS('80°C'!AC356-'80°C'!W184)&lt;1.1,"OUI","NON")</f>
        <v>OUI</v>
      </c>
    </row>
    <row r="268" spans="2:7" ht="28.9" customHeight="1" x14ac:dyDescent="0.25">
      <c r="C268" s="426" t="s">
        <v>437</v>
      </c>
      <c r="D268" s="426"/>
      <c r="E268" s="153" t="str">
        <f ca="1">IF(E265="OUI","NON",IF(E266="OUI","NON","OUI"))</f>
        <v>NON</v>
      </c>
      <c r="F268" s="153" t="str">
        <f ca="1">IF(F265="OUI","NON",IF(F267="OUI","NON","OUI"))</f>
        <v>NON</v>
      </c>
    </row>
    <row r="269" spans="2:7" x14ac:dyDescent="0.25">
      <c r="C269" s="206"/>
      <c r="D269" s="206"/>
    </row>
    <row r="270" spans="2:7" ht="18.75" x14ac:dyDescent="0.25">
      <c r="B270" s="408" t="str">
        <f>_xlfn.CONCAT("A ",B181,", avec une consigne à ",B181,", le four est ")</f>
        <v xml:space="preserve">A 80°C, avec une consigne à 80°C, le four est </v>
      </c>
      <c r="C270" s="408"/>
      <c r="D270" s="408"/>
      <c r="E270" s="254" t="str">
        <f ca="1">IF(AND(E255="NON",E262="CONFORME"),"CONFORME","NON CONFORME")</f>
        <v>CONFORME</v>
      </c>
      <c r="F270" s="409" t="str">
        <f>_xlfn.CONCAT("à la tolérance requise de ± ",Mesures_Four!F21,"°C")</f>
        <v>à la tolérance requise de ± 3°C</v>
      </c>
      <c r="G270" s="409"/>
    </row>
    <row r="278" spans="2:6" ht="18.75" x14ac:dyDescent="0.3">
      <c r="B278" s="230" t="str">
        <f>_xlfn.CONCAT("6- Résultats et exploitations des résultats à ",B281)</f>
        <v>6- Résultats et exploitations des résultats à 200°C</v>
      </c>
    </row>
    <row r="280" spans="2:6" x14ac:dyDescent="0.25">
      <c r="B280" s="245" t="s">
        <v>237</v>
      </c>
      <c r="C280" s="245" t="s">
        <v>383</v>
      </c>
      <c r="E280" s="245" t="s">
        <v>384</v>
      </c>
      <c r="F280" s="245" t="s">
        <v>385</v>
      </c>
    </row>
    <row r="281" spans="2:6" x14ac:dyDescent="0.25">
      <c r="B281" s="246" t="str">
        <f>Mesures_Four!E27</f>
        <v>200°C</v>
      </c>
      <c r="C281" s="247" t="str">
        <f>_xlfn.CONCAT("± ",Mesures_Four!F22,"°C")</f>
        <v>± 3°C</v>
      </c>
      <c r="E281" s="246" t="s">
        <v>386</v>
      </c>
      <c r="F281" s="129">
        <f>Mesures_Four!C22</f>
        <v>-0.6</v>
      </c>
    </row>
    <row r="282" spans="2:6" x14ac:dyDescent="0.25">
      <c r="E282" s="246" t="s">
        <v>387</v>
      </c>
      <c r="F282" s="129">
        <f>Mesures_Four!D22</f>
        <v>-0.27</v>
      </c>
    </row>
    <row r="283" spans="2:6" x14ac:dyDescent="0.25">
      <c r="B283" s="245" t="s">
        <v>388</v>
      </c>
      <c r="C283" s="245" t="s">
        <v>389</v>
      </c>
      <c r="E283" s="246" t="s">
        <v>390</v>
      </c>
      <c r="F283" s="129">
        <f>Mesures_Four!E22</f>
        <v>0.5</v>
      </c>
    </row>
    <row r="284" spans="2:6" x14ac:dyDescent="0.25">
      <c r="B284" s="248" t="str">
        <f>INDEX(tab_four200[Date/Heure],1)</f>
        <v>21/02/2024  01:06</v>
      </c>
      <c r="C284" s="248" t="str">
        <f ca="1">OFFSET(INDEX(tab_four200[Date/Heure],1),COUNTA(tab_four200[Date/Heure])+COUNTBLANK(tab_four200[Date/Heure])-1,0,1)</f>
        <v>21/02/2024  02:37</v>
      </c>
    </row>
    <row r="286" spans="2:6" ht="18.75" x14ac:dyDescent="0.3">
      <c r="B286" s="230" t="s">
        <v>391</v>
      </c>
    </row>
    <row r="288" spans="2:6" x14ac:dyDescent="0.25">
      <c r="C288" s="245" t="s">
        <v>392</v>
      </c>
      <c r="D288" s="245" t="s">
        <v>393</v>
      </c>
      <c r="E288" s="245" t="s">
        <v>394</v>
      </c>
      <c r="F288" s="245" t="s">
        <v>395</v>
      </c>
    </row>
    <row r="289" spans="2:6" x14ac:dyDescent="0.25">
      <c r="C289" s="246" t="s">
        <v>396</v>
      </c>
      <c r="D289" s="249">
        <f ca="1">'200°C'!AB193</f>
        <v>200.1</v>
      </c>
      <c r="E289" s="249">
        <f ca="1">'200°C'!AB194</f>
        <v>200</v>
      </c>
      <c r="F289" s="249">
        <f ca="1">'200°C'!AB195</f>
        <v>200.03666666666669</v>
      </c>
    </row>
    <row r="290" spans="2:6" x14ac:dyDescent="0.25">
      <c r="C290" s="246" t="s">
        <v>397</v>
      </c>
      <c r="D290" s="249">
        <f ca="1">'200°C'!AC193</f>
        <v>201.6</v>
      </c>
      <c r="E290" s="249">
        <f ca="1">'200°C'!AC194</f>
        <v>201.4</v>
      </c>
      <c r="F290" s="249">
        <f ca="1">'200°C'!AC195</f>
        <v>201.51999999999995</v>
      </c>
    </row>
    <row r="291" spans="2:6" x14ac:dyDescent="0.25">
      <c r="C291" s="246" t="s">
        <v>398</v>
      </c>
      <c r="D291" s="249">
        <f ca="1">'200°C'!AA193</f>
        <v>200.3</v>
      </c>
      <c r="E291" s="249">
        <f ca="1">'200°C'!AA194</f>
        <v>200</v>
      </c>
      <c r="F291" s="249">
        <f ca="1">'200°C'!AA195</f>
        <v>200.17000000000004</v>
      </c>
    </row>
    <row r="293" spans="2:6" ht="18.75" x14ac:dyDescent="0.3">
      <c r="B293" s="230" t="s">
        <v>399</v>
      </c>
    </row>
    <row r="295" spans="2:6" x14ac:dyDescent="0.25">
      <c r="B295" s="396" t="s">
        <v>295</v>
      </c>
      <c r="C295" s="397"/>
      <c r="D295" s="245" t="s">
        <v>400</v>
      </c>
      <c r="E295" s="245" t="s">
        <v>401</v>
      </c>
    </row>
    <row r="296" spans="2:6" x14ac:dyDescent="0.25">
      <c r="B296" s="424" t="s">
        <v>402</v>
      </c>
      <c r="C296" s="425"/>
      <c r="D296" s="250" t="str">
        <f>B281</f>
        <v>200°C</v>
      </c>
      <c r="E296" s="250" t="s">
        <v>200</v>
      </c>
    </row>
    <row r="297" spans="2:6" x14ac:dyDescent="0.25">
      <c r="B297" s="424" t="s">
        <v>201</v>
      </c>
      <c r="C297" s="425"/>
      <c r="D297" s="250" t="str">
        <f>B281</f>
        <v>200°C</v>
      </c>
      <c r="E297" s="250" t="s">
        <v>200</v>
      </c>
    </row>
    <row r="298" spans="2:6" x14ac:dyDescent="0.25">
      <c r="B298" s="424" t="s">
        <v>403</v>
      </c>
      <c r="C298" s="425"/>
      <c r="D298" s="249">
        <f>'200°C'!W101</f>
        <v>202.62</v>
      </c>
      <c r="E298" s="251" t="str">
        <f>VLOOKUP(SUBSTITUTE(HLOOKUP(D298,'200°C'!$N101:$V$108,8,FALSE),"Connecteur ",""),Mesures_Four!B28:C36,2,FALSE)</f>
        <v>6</v>
      </c>
    </row>
    <row r="299" spans="2:6" ht="30" customHeight="1" x14ac:dyDescent="0.25">
      <c r="B299" s="405" t="s">
        <v>404</v>
      </c>
      <c r="C299" s="406"/>
      <c r="D299" s="249">
        <f ca="1">'200°C'!W102</f>
        <v>201.98999999999998</v>
      </c>
      <c r="E299" s="251" t="str">
        <f ca="1">VLOOKUP(SUBSTITUTE(HLOOKUP(D299,'200°C'!$N102:$V$108,7,FALSE),"Connecteur ",""),Mesures_Four!B28:C36,2,FALSE)</f>
        <v>6</v>
      </c>
    </row>
    <row r="300" spans="2:6" ht="30" customHeight="1" x14ac:dyDescent="0.25">
      <c r="B300" s="405" t="s">
        <v>405</v>
      </c>
      <c r="C300" s="406"/>
      <c r="D300" s="249">
        <f ca="1">'200°C'!W103</f>
        <v>199.63</v>
      </c>
      <c r="E300" s="251" t="str">
        <f ca="1">VLOOKUP(SUBSTITUTE(HLOOKUP(D300,'200°C'!$N103:$V$108,6,FALSE),"Connecteur ",""),Mesures_Four!B28:C36,2,FALSE)</f>
        <v>17</v>
      </c>
    </row>
    <row r="301" spans="2:6" ht="30" customHeight="1" x14ac:dyDescent="0.25">
      <c r="B301" s="405" t="s">
        <v>406</v>
      </c>
      <c r="C301" s="406"/>
      <c r="D301" s="249">
        <f ca="1">'200°C'!W107</f>
        <v>201.15918518518515</v>
      </c>
      <c r="E301" s="250" t="s">
        <v>200</v>
      </c>
    </row>
    <row r="308" spans="2:8" ht="18.75" x14ac:dyDescent="0.3">
      <c r="B308" s="230" t="s">
        <v>407</v>
      </c>
    </row>
    <row r="309" spans="2:8" ht="18.75" x14ac:dyDescent="0.3">
      <c r="B309" s="230"/>
    </row>
    <row r="310" spans="2:8" x14ac:dyDescent="0.25">
      <c r="B310" s="422" t="s">
        <v>408</v>
      </c>
      <c r="C310" s="422" t="s">
        <v>401</v>
      </c>
      <c r="D310" s="396" t="s">
        <v>409</v>
      </c>
      <c r="E310" s="423"/>
      <c r="F310" s="423"/>
      <c r="G310" s="397"/>
      <c r="H310" s="245" t="s">
        <v>328</v>
      </c>
    </row>
    <row r="311" spans="2:8" x14ac:dyDescent="0.25">
      <c r="B311" s="422"/>
      <c r="C311" s="422"/>
      <c r="D311" s="246" t="s">
        <v>410</v>
      </c>
      <c r="E311" s="246" t="s">
        <v>411</v>
      </c>
      <c r="F311" s="246" t="s">
        <v>211</v>
      </c>
      <c r="G311" s="246" t="s">
        <v>212</v>
      </c>
      <c r="H311" s="246" t="s">
        <v>412</v>
      </c>
    </row>
    <row r="312" spans="2:8" x14ac:dyDescent="0.25">
      <c r="B312" s="252" t="s">
        <v>413</v>
      </c>
      <c r="C312" s="246" t="str">
        <f>VLOOKUP($B312,$C$147:$D$155,2,FALSE)</f>
        <v>1</v>
      </c>
      <c r="D312" s="249">
        <f ca="1">'200°C'!$N$102</f>
        <v>201.57</v>
      </c>
      <c r="E312" s="249">
        <f ca="1">'200°C'!$N$103</f>
        <v>201.42</v>
      </c>
      <c r="F312" s="249">
        <f ca="1">'200°C'!$N$104</f>
        <v>201.4853333333333</v>
      </c>
      <c r="G312" s="249">
        <f t="shared" ref="G312:G320" ca="1" si="2">D312-E312</f>
        <v>0.15000000000000568</v>
      </c>
      <c r="H312" s="249">
        <f>'200°C'!$N$101</f>
        <v>201.94</v>
      </c>
    </row>
    <row r="313" spans="2:8" x14ac:dyDescent="0.25">
      <c r="B313" s="252" t="s">
        <v>414</v>
      </c>
      <c r="C313" s="246" t="str">
        <f t="shared" ref="C313:C320" si="3">VLOOKUP($B313,$C$147:$D$155,2,FALSE)</f>
        <v>2</v>
      </c>
      <c r="D313" s="249">
        <f ca="1">'200°C'!$O$102</f>
        <v>201.20999999999998</v>
      </c>
      <c r="E313" s="249">
        <f ca="1">'200°C'!$O$103</f>
        <v>201.07</v>
      </c>
      <c r="F313" s="249">
        <f ca="1">'200°C'!$O$104</f>
        <v>201.1246666666666</v>
      </c>
      <c r="G313" s="249">
        <f t="shared" ca="1" si="2"/>
        <v>0.13999999999998636</v>
      </c>
      <c r="H313" s="249">
        <f>'200°C'!$O$101</f>
        <v>201.45</v>
      </c>
    </row>
    <row r="314" spans="2:8" x14ac:dyDescent="0.25">
      <c r="B314" s="252" t="s">
        <v>415</v>
      </c>
      <c r="C314" s="246" t="str">
        <f t="shared" si="3"/>
        <v>3</v>
      </c>
      <c r="D314" s="249">
        <f ca="1">'200°C'!$P$102</f>
        <v>201.23999999999998</v>
      </c>
      <c r="E314" s="249">
        <f ca="1">'200°C'!$P$103</f>
        <v>201.1</v>
      </c>
      <c r="F314" s="249">
        <f ca="1">'200°C'!$P$104</f>
        <v>201.14066666666659</v>
      </c>
      <c r="G314" s="249">
        <f t="shared" ca="1" si="2"/>
        <v>0.13999999999998636</v>
      </c>
      <c r="H314" s="249">
        <f>'200°C'!$P$101</f>
        <v>201.48999999999998</v>
      </c>
    </row>
    <row r="315" spans="2:8" x14ac:dyDescent="0.25">
      <c r="B315" s="252" t="s">
        <v>416</v>
      </c>
      <c r="C315" s="246" t="str">
        <f t="shared" si="3"/>
        <v>4</v>
      </c>
      <c r="D315" s="249">
        <f ca="1">'200°C'!$Q$102</f>
        <v>201.25999999999996</v>
      </c>
      <c r="E315" s="249">
        <f ca="1">'200°C'!$Q$103</f>
        <v>201.09999999999997</v>
      </c>
      <c r="F315" s="249">
        <f ca="1">'200°C'!$Q$104</f>
        <v>201.17733333333331</v>
      </c>
      <c r="G315" s="249">
        <f t="shared" ca="1" si="2"/>
        <v>0.15999999999999659</v>
      </c>
      <c r="H315" s="249">
        <f>'200°C'!$Q$101</f>
        <v>201.80999999999997</v>
      </c>
    </row>
    <row r="316" spans="2:8" x14ac:dyDescent="0.25">
      <c r="B316" s="252" t="s">
        <v>417</v>
      </c>
      <c r="C316" s="246" t="str">
        <f t="shared" si="3"/>
        <v>17</v>
      </c>
      <c r="D316" s="249">
        <f ca="1">'200°C'!$R$102</f>
        <v>199.89</v>
      </c>
      <c r="E316" s="249">
        <f ca="1">'200°C'!$R$103</f>
        <v>199.63</v>
      </c>
      <c r="F316" s="249">
        <f ca="1">'200°C'!$R$104</f>
        <v>199.797</v>
      </c>
      <c r="G316" s="249">
        <f t="shared" ca="1" si="2"/>
        <v>0.25999999999999091</v>
      </c>
      <c r="H316" s="249">
        <f>'200°C'!$R$101</f>
        <v>200.68</v>
      </c>
    </row>
    <row r="317" spans="2:8" x14ac:dyDescent="0.25">
      <c r="B317" s="252" t="s">
        <v>418</v>
      </c>
      <c r="C317" s="246" t="str">
        <f t="shared" si="3"/>
        <v>6</v>
      </c>
      <c r="D317" s="249">
        <f ca="1">'200°C'!$S$102</f>
        <v>201.98999999999998</v>
      </c>
      <c r="E317" s="249">
        <f ca="1">'200°C'!$S$103</f>
        <v>201.81</v>
      </c>
      <c r="F317" s="249">
        <f ca="1">'200°C'!$S$104</f>
        <v>201.88300000000001</v>
      </c>
      <c r="G317" s="249">
        <f t="shared" ca="1" si="2"/>
        <v>0.1799999999999784</v>
      </c>
      <c r="H317" s="249">
        <f>'200°C'!$S$101</f>
        <v>202.62</v>
      </c>
    </row>
    <row r="318" spans="2:8" x14ac:dyDescent="0.25">
      <c r="B318" s="252" t="s">
        <v>419</v>
      </c>
      <c r="C318" s="246" t="str">
        <f t="shared" si="3"/>
        <v>7</v>
      </c>
      <c r="D318" s="249">
        <f ca="1">'200°C'!$T$102</f>
        <v>201.44</v>
      </c>
      <c r="E318" s="249">
        <f ca="1">'200°C'!$T$103</f>
        <v>201.3</v>
      </c>
      <c r="F318" s="249">
        <f ca="1">'200°C'!$T$104</f>
        <v>201.3573333333334</v>
      </c>
      <c r="G318" s="249">
        <f t="shared" ca="1" si="2"/>
        <v>0.13999999999998636</v>
      </c>
      <c r="H318" s="249">
        <f>'200°C'!$T$101</f>
        <v>202.08</v>
      </c>
    </row>
    <row r="319" spans="2:8" x14ac:dyDescent="0.25">
      <c r="B319" s="252" t="s">
        <v>420</v>
      </c>
      <c r="C319" s="246" t="str">
        <f t="shared" si="3"/>
        <v>8</v>
      </c>
      <c r="D319" s="249">
        <f ca="1">'200°C'!$U$102</f>
        <v>201.64</v>
      </c>
      <c r="E319" s="249">
        <f ca="1">'200°C'!$U$103</f>
        <v>201.47999999999996</v>
      </c>
      <c r="F319" s="249">
        <f ca="1">'200°C'!$U$104</f>
        <v>201.54699999999994</v>
      </c>
      <c r="G319" s="249">
        <f t="shared" ca="1" si="2"/>
        <v>0.16000000000002501</v>
      </c>
      <c r="H319" s="249">
        <f>'200°C'!$U$101</f>
        <v>202.50999999999996</v>
      </c>
    </row>
    <row r="320" spans="2:8" x14ac:dyDescent="0.25">
      <c r="B320" s="252" t="s">
        <v>421</v>
      </c>
      <c r="C320" s="246" t="str">
        <f t="shared" si="3"/>
        <v>9</v>
      </c>
      <c r="D320" s="249">
        <f ca="1">'200°C'!$V$102</f>
        <v>200.98999999999998</v>
      </c>
      <c r="E320" s="249">
        <f ca="1">'200°C'!$V$103</f>
        <v>200.84999999999997</v>
      </c>
      <c r="F320" s="249">
        <f ca="1">'200°C'!$V$104</f>
        <v>200.92033333333328</v>
      </c>
      <c r="G320" s="249">
        <f t="shared" ca="1" si="2"/>
        <v>0.14000000000001478</v>
      </c>
      <c r="H320" s="249">
        <f>'200°C'!$V$101</f>
        <v>201.68999999999997</v>
      </c>
    </row>
    <row r="322" spans="2:2" ht="18.75" x14ac:dyDescent="0.3">
      <c r="B322" s="230" t="s">
        <v>422</v>
      </c>
    </row>
    <row r="354" spans="2:6" ht="18.75" x14ac:dyDescent="0.3">
      <c r="B354" s="230" t="s">
        <v>423</v>
      </c>
    </row>
    <row r="355" spans="2:6" ht="18.75" x14ac:dyDescent="0.3">
      <c r="B355" s="230"/>
      <c r="C355" s="418" t="s">
        <v>424</v>
      </c>
      <c r="D355" s="418"/>
      <c r="E355" s="418"/>
      <c r="F355" s="418"/>
    </row>
    <row r="356" spans="2:6" ht="28.9" customHeight="1" x14ac:dyDescent="0.25">
      <c r="C356" s="414" t="str">
        <f>_xlfn.CONCAT("Dépassement de la consigne durant la phase de montée ou de maintien en température (&gt; ",B281,")")</f>
        <v>Dépassement de la consigne durant la phase de montée ou de maintien en température (&gt; 200°C)</v>
      </c>
      <c r="D356" s="414"/>
      <c r="E356" s="415">
        <f>IF('200°C'!W101-Mesures_Four!B22&gt;0,'200°C'!W101-Mesures_Four!B22,"PAS DE DÉPASSEMENT")</f>
        <v>2.6200000000000045</v>
      </c>
      <c r="F356" s="419"/>
    </row>
    <row r="357" spans="2:6" x14ac:dyDescent="0.25">
      <c r="C357" s="420" t="str">
        <f>_xlfn.CONCAT("Dépassement supérieur à la tolérance maximale (",C281,")")</f>
        <v>Dépassement supérieur à la tolérance maximale (± 3°C)</v>
      </c>
      <c r="D357" s="420"/>
      <c r="E357" s="421" t="str">
        <f>IF(OR(E356="PAS DE DÉPASSEMENT",E356&lt;=Mesures_Four!F22),"NON","OUI")</f>
        <v>NON</v>
      </c>
      <c r="F357" s="421"/>
    </row>
    <row r="359" spans="2:6" x14ac:dyDescent="0.25">
      <c r="C359" s="418" t="s">
        <v>425</v>
      </c>
      <c r="D359" s="418"/>
      <c r="E359" s="418"/>
      <c r="F359" s="418"/>
    </row>
    <row r="360" spans="2:6" ht="28.9" customHeight="1" x14ac:dyDescent="0.25">
      <c r="C360" s="414" t="s">
        <v>426</v>
      </c>
      <c r="D360" s="414"/>
      <c r="E360" s="415">
        <f ca="1">'200°C'!N112</f>
        <v>-0.37000000000000455</v>
      </c>
      <c r="F360" s="415"/>
    </row>
    <row r="361" spans="2:6" ht="28.9" customHeight="1" x14ac:dyDescent="0.25">
      <c r="C361" s="414" t="s">
        <v>427</v>
      </c>
      <c r="D361" s="414"/>
      <c r="E361" s="415">
        <f ca="1">'200°C'!N111</f>
        <v>1.9899999999999807</v>
      </c>
      <c r="F361" s="415"/>
    </row>
    <row r="362" spans="2:6" x14ac:dyDescent="0.25">
      <c r="C362" s="410" t="s">
        <v>428</v>
      </c>
      <c r="D362" s="410"/>
      <c r="E362" s="416">
        <f ca="1">'200°C'!N106</f>
        <v>2.3599999999999852</v>
      </c>
      <c r="F362" s="417"/>
    </row>
    <row r="363" spans="2:6" x14ac:dyDescent="0.25">
      <c r="C363" s="410" t="s">
        <v>429</v>
      </c>
      <c r="D363" s="410"/>
      <c r="E363" s="411">
        <f>Mesures_Four!G22</f>
        <v>6</v>
      </c>
      <c r="F363" s="411"/>
    </row>
    <row r="364" spans="2:6" x14ac:dyDescent="0.25">
      <c r="C364" s="412" t="s">
        <v>438</v>
      </c>
      <c r="D364" s="412"/>
      <c r="E364" s="413" t="str">
        <f ca="1">IF(AND(ABS(E360)&lt;=E363/2,(ABS(E361)&lt;=E363/2)),"CONFORME","NON CONFORME")</f>
        <v>CONFORME</v>
      </c>
      <c r="F364" s="413"/>
    </row>
    <row r="366" spans="2:6" x14ac:dyDescent="0.25">
      <c r="C366" s="396" t="s">
        <v>431</v>
      </c>
      <c r="D366" s="397"/>
      <c r="E366" s="245" t="s">
        <v>390</v>
      </c>
      <c r="F366" s="245" t="s">
        <v>387</v>
      </c>
    </row>
    <row r="367" spans="2:6" ht="28.9" customHeight="1" x14ac:dyDescent="0.25">
      <c r="B367" s="253" t="s">
        <v>432</v>
      </c>
      <c r="C367" s="405" t="s">
        <v>433</v>
      </c>
      <c r="D367" s="406"/>
      <c r="E367" s="153" t="str">
        <f ca="1">IF(ABS(E360)&lt;Mesures_Four!F22/2,"OUI","NON")</f>
        <v>OUI</v>
      </c>
      <c r="F367" s="153" t="str">
        <f ca="1">IF(ABS(E361)&lt;Mesures_Four!F22/2,"OUI","NON")</f>
        <v>NON</v>
      </c>
    </row>
    <row r="368" spans="2:6" ht="28.9" customHeight="1" x14ac:dyDescent="0.25">
      <c r="B368" s="404" t="s">
        <v>434</v>
      </c>
      <c r="C368" s="405" t="s">
        <v>435</v>
      </c>
      <c r="D368" s="406"/>
      <c r="E368" s="153" t="str">
        <f ca="1">IF(ABS('200°C'!AA194-'200°C'!W103)&lt;1.1,"OUI","NON")</f>
        <v>OUI</v>
      </c>
      <c r="F368" s="153" t="s">
        <v>200</v>
      </c>
    </row>
    <row r="369" spans="2:7" ht="28.9" customHeight="1" x14ac:dyDescent="0.25">
      <c r="B369" s="404"/>
      <c r="C369" s="405" t="s">
        <v>436</v>
      </c>
      <c r="D369" s="406"/>
      <c r="E369" s="153" t="s">
        <v>200</v>
      </c>
      <c r="F369" s="153" t="str">
        <f ca="1">IF(ABS('200°C'!AC193-'200°C'!W102)&lt;1.1,"OUI","NON")</f>
        <v>OUI</v>
      </c>
    </row>
    <row r="370" spans="2:7" ht="28.9" customHeight="1" x14ac:dyDescent="0.25">
      <c r="C370" s="426" t="s">
        <v>437</v>
      </c>
      <c r="D370" s="426"/>
      <c r="E370" s="153" t="str">
        <f ca="1">IF(E367="OUI","NON",IF(E368="OUI","NON","OUI"))</f>
        <v>NON</v>
      </c>
      <c r="F370" s="153" t="str">
        <f ca="1">IF(F367="OUI","NON",IF(F369="OUI","NON","OUI"))</f>
        <v>NON</v>
      </c>
    </row>
    <row r="372" spans="2:7" ht="18.75" x14ac:dyDescent="0.25">
      <c r="B372" s="408" t="str">
        <f>_xlfn.CONCAT("A ",B281,", avec une consigne à ",B281,", le four est ")</f>
        <v xml:space="preserve">A 200°C, avec une consigne à 200°C, le four est </v>
      </c>
      <c r="C372" s="408"/>
      <c r="D372" s="429"/>
      <c r="E372" s="255" t="str">
        <f ca="1">IF(AND(E357="NON",E364="CONFORME"),"CONFORME","NON CONFORME")</f>
        <v>CONFORME</v>
      </c>
      <c r="F372" s="430" t="str">
        <f>_xlfn.CONCAT("à la tolérance requise de ± ",Mesures_Four!F22,"°C")</f>
        <v>à la tolérance requise de ± 3°C</v>
      </c>
      <c r="G372" s="409"/>
    </row>
    <row r="380" spans="2:7" ht="18.75" x14ac:dyDescent="0.3">
      <c r="B380" s="230" t="str">
        <f>_xlfn.CONCAT("6- Résultats et exploitations des résultats à ",B383)</f>
        <v>6- Résultats et exploitations des résultats à 385°C</v>
      </c>
    </row>
    <row r="382" spans="2:7" x14ac:dyDescent="0.25">
      <c r="B382" s="245" t="s">
        <v>237</v>
      </c>
      <c r="C382" s="245" t="s">
        <v>383</v>
      </c>
      <c r="E382" s="245" t="s">
        <v>384</v>
      </c>
      <c r="F382" s="245" t="s">
        <v>385</v>
      </c>
    </row>
    <row r="383" spans="2:7" x14ac:dyDescent="0.25">
      <c r="B383" s="246" t="str">
        <f>Mesures_Four!F27</f>
        <v>385°C</v>
      </c>
      <c r="C383" s="247" t="str">
        <f>_xlfn.CONCAT("± ",Mesures_Four!F23,"°C")</f>
        <v>± 5°C</v>
      </c>
      <c r="E383" s="246" t="s">
        <v>386</v>
      </c>
      <c r="F383" s="129">
        <f>Mesures_Four!C23</f>
        <v>-0.6</v>
      </c>
    </row>
    <row r="384" spans="2:7" x14ac:dyDescent="0.25">
      <c r="E384" s="246" t="s">
        <v>387</v>
      </c>
      <c r="F384" s="129">
        <f>Mesures_Four!D23</f>
        <v>-0.27</v>
      </c>
    </row>
    <row r="385" spans="2:6" x14ac:dyDescent="0.25">
      <c r="B385" s="245" t="s">
        <v>388</v>
      </c>
      <c r="C385" s="245" t="s">
        <v>389</v>
      </c>
      <c r="E385" s="246" t="s">
        <v>390</v>
      </c>
      <c r="F385" s="129">
        <f>Mesures_Four!E23</f>
        <v>0.5</v>
      </c>
    </row>
    <row r="386" spans="2:6" x14ac:dyDescent="0.25">
      <c r="B386" s="248" t="str">
        <f>INDEX(tab_four385[Date/Heure],1)</f>
        <v>21/02/2024  03:16</v>
      </c>
      <c r="C386" s="248" t="str">
        <f ca="1">OFFSET(INDEX(tab_four385[Date/Heure],1),COUNTA(tab_four385[Date/Heure])+COUNTBLANK(tab_four385[Date/Heure])-1,0,1)</f>
        <v>21/02/2024  04:09</v>
      </c>
    </row>
    <row r="388" spans="2:6" ht="18.75" x14ac:dyDescent="0.3">
      <c r="B388" s="230" t="s">
        <v>391</v>
      </c>
    </row>
    <row r="390" spans="2:6" x14ac:dyDescent="0.25">
      <c r="C390" s="245" t="s">
        <v>392</v>
      </c>
      <c r="D390" s="245" t="s">
        <v>393</v>
      </c>
      <c r="E390" s="245" t="s">
        <v>394</v>
      </c>
      <c r="F390" s="245" t="s">
        <v>395</v>
      </c>
    </row>
    <row r="391" spans="2:6" x14ac:dyDescent="0.25">
      <c r="C391" s="246" t="s">
        <v>396</v>
      </c>
      <c r="D391" s="249">
        <f ca="1">'385°C'!AB118</f>
        <v>385.5</v>
      </c>
      <c r="E391" s="249">
        <f ca="1">'385°C'!AB119</f>
        <v>385</v>
      </c>
      <c r="F391" s="249">
        <f ca="1">'385°C'!AB120</f>
        <v>385.17000000000013</v>
      </c>
    </row>
    <row r="392" spans="2:6" x14ac:dyDescent="0.25">
      <c r="C392" s="246" t="s">
        <v>397</v>
      </c>
      <c r="D392" s="249">
        <f ca="1">'385°C'!AC118</f>
        <v>385.6</v>
      </c>
      <c r="E392" s="249">
        <f ca="1">'385°C'!AC119</f>
        <v>385.3</v>
      </c>
      <c r="F392" s="249">
        <f ca="1">'385°C'!AC120</f>
        <v>385.36999999999983</v>
      </c>
    </row>
    <row r="393" spans="2:6" x14ac:dyDescent="0.25">
      <c r="C393" s="246" t="s">
        <v>398</v>
      </c>
      <c r="D393" s="249">
        <f ca="1">'385°C'!AA118</f>
        <v>385.5</v>
      </c>
      <c r="E393" s="249">
        <f ca="1">'385°C'!AA119</f>
        <v>384.5</v>
      </c>
      <c r="F393" s="249">
        <f ca="1">'385°C'!AA120</f>
        <v>384.78666666666675</v>
      </c>
    </row>
    <row r="395" spans="2:6" ht="18.75" x14ac:dyDescent="0.3">
      <c r="B395" s="230" t="s">
        <v>399</v>
      </c>
    </row>
    <row r="397" spans="2:6" x14ac:dyDescent="0.25">
      <c r="B397" s="396" t="s">
        <v>295</v>
      </c>
      <c r="C397" s="397"/>
      <c r="D397" s="245" t="s">
        <v>400</v>
      </c>
      <c r="E397" s="245" t="s">
        <v>401</v>
      </c>
    </row>
    <row r="398" spans="2:6" x14ac:dyDescent="0.25">
      <c r="B398" s="424" t="s">
        <v>402</v>
      </c>
      <c r="C398" s="425"/>
      <c r="D398" s="250" t="str">
        <f>B383</f>
        <v>385°C</v>
      </c>
      <c r="E398" s="250" t="s">
        <v>200</v>
      </c>
    </row>
    <row r="399" spans="2:6" x14ac:dyDescent="0.25">
      <c r="B399" s="424" t="s">
        <v>201</v>
      </c>
      <c r="C399" s="425"/>
      <c r="D399" s="250" t="str">
        <f>B383</f>
        <v>385°C</v>
      </c>
      <c r="E399" s="250" t="s">
        <v>200</v>
      </c>
    </row>
    <row r="400" spans="2:6" x14ac:dyDescent="0.25">
      <c r="B400" s="424" t="s">
        <v>403</v>
      </c>
      <c r="C400" s="425"/>
      <c r="D400" s="249">
        <f>'385°C'!W63</f>
        <v>388.88</v>
      </c>
      <c r="E400" s="251" t="str">
        <f>VLOOKUP(SUBSTITUTE(HLOOKUP(D400,'385°C'!$N63:$V$70,8,FALSE),"Connecteur ",""),Mesures_Four!B28:C36,2,FALSE)</f>
        <v>6</v>
      </c>
    </row>
    <row r="401" spans="2:8" ht="30" customHeight="1" x14ac:dyDescent="0.25">
      <c r="B401" s="405" t="s">
        <v>404</v>
      </c>
      <c r="C401" s="406"/>
      <c r="D401" s="249">
        <f ca="1">'385°C'!W64</f>
        <v>388.36</v>
      </c>
      <c r="E401" s="251" t="str">
        <f ca="1">VLOOKUP(SUBSTITUTE(HLOOKUP(D401,'385°C'!$N64:$V$70,7,FALSE),"Connecteur ",""),Mesures_Four!B28:C36,2,FALSE)</f>
        <v>6</v>
      </c>
      <c r="F401" s="256"/>
    </row>
    <row r="402" spans="2:8" ht="30" customHeight="1" x14ac:dyDescent="0.25">
      <c r="B402" s="405" t="s">
        <v>405</v>
      </c>
      <c r="C402" s="406"/>
      <c r="D402" s="249">
        <f ca="1">'385°C'!W65</f>
        <v>382.94</v>
      </c>
      <c r="E402" s="251" t="str">
        <f ca="1">VLOOKUP(SUBSTITUTE(HLOOKUP(D402,'385°C'!$N65:$V$70,6,FALSE),"Connecteur ",""),Mesures_Four!B28:C36,2,FALSE)</f>
        <v>17</v>
      </c>
    </row>
    <row r="403" spans="2:8" ht="30" customHeight="1" x14ac:dyDescent="0.25">
      <c r="B403" s="405" t="s">
        <v>406</v>
      </c>
      <c r="C403" s="406"/>
      <c r="D403" s="249">
        <f ca="1">'385°C'!W69</f>
        <v>386.34833333333336</v>
      </c>
      <c r="E403" s="250" t="s">
        <v>200</v>
      </c>
    </row>
    <row r="410" spans="2:8" ht="18.75" x14ac:dyDescent="0.3">
      <c r="B410" s="230" t="s">
        <v>407</v>
      </c>
    </row>
    <row r="411" spans="2:8" ht="18.75" x14ac:dyDescent="0.3">
      <c r="B411" s="230"/>
    </row>
    <row r="412" spans="2:8" x14ac:dyDescent="0.25">
      <c r="B412" s="422" t="s">
        <v>408</v>
      </c>
      <c r="C412" s="422" t="s">
        <v>401</v>
      </c>
      <c r="D412" s="396" t="s">
        <v>409</v>
      </c>
      <c r="E412" s="423"/>
      <c r="F412" s="423"/>
      <c r="G412" s="397"/>
      <c r="H412" s="245" t="s">
        <v>328</v>
      </c>
    </row>
    <row r="413" spans="2:8" x14ac:dyDescent="0.25">
      <c r="B413" s="422"/>
      <c r="C413" s="422"/>
      <c r="D413" s="246" t="s">
        <v>410</v>
      </c>
      <c r="E413" s="246" t="s">
        <v>411</v>
      </c>
      <c r="F413" s="246" t="s">
        <v>211</v>
      </c>
      <c r="G413" s="246" t="s">
        <v>212</v>
      </c>
      <c r="H413" s="246" t="s">
        <v>412</v>
      </c>
    </row>
    <row r="414" spans="2:8" x14ac:dyDescent="0.25">
      <c r="B414" s="252" t="s">
        <v>413</v>
      </c>
      <c r="C414" s="246" t="str">
        <f>VLOOKUP($B414,$C$147:$D$155,2,FALSE)</f>
        <v>1</v>
      </c>
      <c r="D414" s="249">
        <f ca="1">'385°C'!$N$64</f>
        <v>387.03000000000003</v>
      </c>
      <c r="E414" s="249">
        <f ca="1">'385°C'!$N$65</f>
        <v>386.86</v>
      </c>
      <c r="F414" s="249">
        <f ca="1">'385°C'!$N$66</f>
        <v>386.91533333333331</v>
      </c>
      <c r="G414" s="249">
        <f t="shared" ref="G414:G422" ca="1" si="4">D414-E414</f>
        <v>0.17000000000001592</v>
      </c>
      <c r="H414" s="249">
        <f>'385°C'!$N$63</f>
        <v>387.03000000000003</v>
      </c>
    </row>
    <row r="415" spans="2:8" x14ac:dyDescent="0.25">
      <c r="B415" s="252" t="s">
        <v>414</v>
      </c>
      <c r="C415" s="246" t="str">
        <f t="shared" ref="C415:C422" si="5">VLOOKUP($B415,$C$147:$D$155,2,FALSE)</f>
        <v>2</v>
      </c>
      <c r="D415" s="249">
        <f ca="1">'385°C'!$O$64</f>
        <v>386.57</v>
      </c>
      <c r="E415" s="249">
        <f ca="1">'385°C'!$O$65</f>
        <v>386.23999999999995</v>
      </c>
      <c r="F415" s="249">
        <f ca="1">'385°C'!$O$66</f>
        <v>386.44766666666658</v>
      </c>
      <c r="G415" s="249">
        <f t="shared" ca="1" si="4"/>
        <v>0.33000000000004093</v>
      </c>
      <c r="H415" s="249">
        <f>'385°C'!$O$63</f>
        <v>386.57</v>
      </c>
    </row>
    <row r="416" spans="2:8" x14ac:dyDescent="0.25">
      <c r="B416" s="252" t="s">
        <v>415</v>
      </c>
      <c r="C416" s="246" t="str">
        <f t="shared" si="5"/>
        <v>3</v>
      </c>
      <c r="D416" s="249">
        <f ca="1">'385°C'!$P$64</f>
        <v>386.40000000000003</v>
      </c>
      <c r="E416" s="249">
        <f ca="1">'385°C'!$P$65</f>
        <v>386.12</v>
      </c>
      <c r="F416" s="249">
        <f ca="1">'385°C'!$P$66</f>
        <v>386.3123333333333</v>
      </c>
      <c r="G416" s="249">
        <f t="shared" ca="1" si="4"/>
        <v>0.28000000000002956</v>
      </c>
      <c r="H416" s="249">
        <f>'385°C'!$P$63</f>
        <v>386.40000000000003</v>
      </c>
    </row>
    <row r="417" spans="2:8" x14ac:dyDescent="0.25">
      <c r="B417" s="252" t="s">
        <v>416</v>
      </c>
      <c r="C417" s="246" t="str">
        <f t="shared" si="5"/>
        <v>4</v>
      </c>
      <c r="D417" s="249">
        <f ca="1">'385°C'!$Q$64</f>
        <v>386.60999999999996</v>
      </c>
      <c r="E417" s="249">
        <f ca="1">'385°C'!$Q$65</f>
        <v>386.46999999999997</v>
      </c>
      <c r="F417" s="249">
        <f ca="1">'385°C'!$Q$66</f>
        <v>386.52833333333342</v>
      </c>
      <c r="G417" s="249">
        <f t="shared" ca="1" si="4"/>
        <v>0.13999999999998636</v>
      </c>
      <c r="H417" s="249">
        <f>'385°C'!$Q$63</f>
        <v>386.60999999999996</v>
      </c>
    </row>
    <row r="418" spans="2:8" x14ac:dyDescent="0.25">
      <c r="B418" s="252" t="s">
        <v>417</v>
      </c>
      <c r="C418" s="246" t="str">
        <f t="shared" si="5"/>
        <v>17</v>
      </c>
      <c r="D418" s="249">
        <f ca="1">'385°C'!$R$64</f>
        <v>383.73</v>
      </c>
      <c r="E418" s="249">
        <f ca="1">'385°C'!$R$65</f>
        <v>382.94</v>
      </c>
      <c r="F418" s="249">
        <f ca="1">'385°C'!$R$66</f>
        <v>383.20266666666663</v>
      </c>
      <c r="G418" s="249">
        <f t="shared" ca="1" si="4"/>
        <v>0.79000000000002046</v>
      </c>
      <c r="H418" s="249">
        <f>'385°C'!$R$63</f>
        <v>384.88</v>
      </c>
    </row>
    <row r="419" spans="2:8" x14ac:dyDescent="0.25">
      <c r="B419" s="252" t="s">
        <v>418</v>
      </c>
      <c r="C419" s="246" t="str">
        <f t="shared" si="5"/>
        <v>6</v>
      </c>
      <c r="D419" s="249">
        <f ca="1">'385°C'!$S$64</f>
        <v>388.36</v>
      </c>
      <c r="E419" s="249">
        <f ca="1">'385°C'!$S$65</f>
        <v>387.67</v>
      </c>
      <c r="F419" s="249">
        <f ca="1">'385°C'!$S$66</f>
        <v>387.91033333333331</v>
      </c>
      <c r="G419" s="249">
        <f t="shared" ca="1" si="4"/>
        <v>0.68999999999999773</v>
      </c>
      <c r="H419" s="249">
        <f>'385°C'!$S$63</f>
        <v>388.88</v>
      </c>
    </row>
    <row r="420" spans="2:8" x14ac:dyDescent="0.25">
      <c r="B420" s="252" t="s">
        <v>419</v>
      </c>
      <c r="C420" s="246" t="str">
        <f t="shared" si="5"/>
        <v>7</v>
      </c>
      <c r="D420" s="249">
        <f ca="1">'385°C'!$T$64</f>
        <v>386.75</v>
      </c>
      <c r="E420" s="249">
        <f ca="1">'385°C'!$T$65</f>
        <v>386.28999999999996</v>
      </c>
      <c r="F420" s="249">
        <f ca="1">'385°C'!$T$66</f>
        <v>386.44866666666661</v>
      </c>
      <c r="G420" s="249">
        <f t="shared" ca="1" si="4"/>
        <v>0.46000000000003638</v>
      </c>
      <c r="H420" s="249">
        <f>'385°C'!$T$63</f>
        <v>386.98999999999995</v>
      </c>
    </row>
    <row r="421" spans="2:8" x14ac:dyDescent="0.25">
      <c r="B421" s="252" t="s">
        <v>420</v>
      </c>
      <c r="C421" s="246" t="str">
        <f t="shared" si="5"/>
        <v>8</v>
      </c>
      <c r="D421" s="249">
        <f ca="1">'385°C'!$U$64</f>
        <v>387.85</v>
      </c>
      <c r="E421" s="249">
        <f ca="1">'385°C'!$U$65</f>
        <v>387.03</v>
      </c>
      <c r="F421" s="249">
        <f ca="1">'385°C'!$U$66</f>
        <v>387.28833333333341</v>
      </c>
      <c r="G421" s="249">
        <f t="shared" ca="1" si="4"/>
        <v>0.82000000000005002</v>
      </c>
      <c r="H421" s="249">
        <f>'385°C'!$U$63</f>
        <v>388.8</v>
      </c>
    </row>
    <row r="422" spans="2:8" x14ac:dyDescent="0.25">
      <c r="B422" s="252" t="s">
        <v>421</v>
      </c>
      <c r="C422" s="246" t="str">
        <f t="shared" si="5"/>
        <v>9</v>
      </c>
      <c r="D422" s="249">
        <f ca="1">'385°C'!$V$64</f>
        <v>386.33</v>
      </c>
      <c r="E422" s="249">
        <f ca="1">'385°C'!$V$65</f>
        <v>385.96</v>
      </c>
      <c r="F422" s="249">
        <f ca="1">'385°C'!$V$66</f>
        <v>386.08133333333336</v>
      </c>
      <c r="G422" s="249">
        <f t="shared" ca="1" si="4"/>
        <v>0.37000000000000455</v>
      </c>
      <c r="H422" s="249">
        <f>'385°C'!$V$63</f>
        <v>386.57</v>
      </c>
    </row>
    <row r="424" spans="2:8" ht="18.75" x14ac:dyDescent="0.3">
      <c r="B424" s="230" t="s">
        <v>422</v>
      </c>
    </row>
    <row r="456" spans="2:6" ht="18.75" x14ac:dyDescent="0.3">
      <c r="B456" s="230" t="s">
        <v>423</v>
      </c>
    </row>
    <row r="457" spans="2:6" ht="18.75" x14ac:dyDescent="0.3">
      <c r="B457" s="230"/>
      <c r="C457" s="418" t="s">
        <v>424</v>
      </c>
      <c r="D457" s="418"/>
      <c r="E457" s="418"/>
      <c r="F457" s="418"/>
    </row>
    <row r="458" spans="2:6" ht="28.9" customHeight="1" x14ac:dyDescent="0.25">
      <c r="C458" s="414" t="str">
        <f>_xlfn.CONCAT("Dépassement de la consigne durant la phase de montée ou de maintien en température (&gt; ",B383,")")</f>
        <v>Dépassement de la consigne durant la phase de montée ou de maintien en température (&gt; 385°C)</v>
      </c>
      <c r="D458" s="414"/>
      <c r="E458" s="419">
        <f>IF('385°C'!W63-Mesures_Four!B23&gt;0,'385°C'!W63-Mesures_Four!B23,"PAS DE DÉPASSEMENT")</f>
        <v>3.8799999999999955</v>
      </c>
      <c r="F458" s="419"/>
    </row>
    <row r="459" spans="2:6" x14ac:dyDescent="0.25">
      <c r="C459" s="420" t="str">
        <f>_xlfn.CONCAT("Dépassement supérieur à la tolérance maximale (",C383,")")</f>
        <v>Dépassement supérieur à la tolérance maximale (± 5°C)</v>
      </c>
      <c r="D459" s="420"/>
      <c r="E459" s="421" t="str">
        <f>IF(OR(E458="PAS DE DÉPASSEMENT",E458&lt;=Mesures_Four!F23),"NON","OUI")</f>
        <v>NON</v>
      </c>
      <c r="F459" s="421"/>
    </row>
    <row r="461" spans="2:6" x14ac:dyDescent="0.25">
      <c r="C461" s="418" t="s">
        <v>425</v>
      </c>
      <c r="D461" s="418"/>
      <c r="E461" s="418"/>
      <c r="F461" s="418"/>
    </row>
    <row r="462" spans="2:6" ht="28.9" customHeight="1" x14ac:dyDescent="0.25">
      <c r="C462" s="414" t="s">
        <v>426</v>
      </c>
      <c r="D462" s="414"/>
      <c r="E462" s="415">
        <f ca="1">'385°C'!N74</f>
        <v>-2.0600000000000023</v>
      </c>
      <c r="F462" s="415"/>
    </row>
    <row r="463" spans="2:6" ht="28.9" customHeight="1" x14ac:dyDescent="0.25">
      <c r="C463" s="414" t="s">
        <v>427</v>
      </c>
      <c r="D463" s="414"/>
      <c r="E463" s="415">
        <f ca="1">'385°C'!N73</f>
        <v>3.3600000000000136</v>
      </c>
      <c r="F463" s="415"/>
    </row>
    <row r="464" spans="2:6" x14ac:dyDescent="0.25">
      <c r="C464" s="410" t="s">
        <v>428</v>
      </c>
      <c r="D464" s="410"/>
      <c r="E464" s="416">
        <f ca="1">'385°C'!N68</f>
        <v>5.4200000000000159</v>
      </c>
      <c r="F464" s="417"/>
    </row>
    <row r="465" spans="2:7" x14ac:dyDescent="0.25">
      <c r="C465" s="410" t="s">
        <v>429</v>
      </c>
      <c r="D465" s="410"/>
      <c r="E465" s="411">
        <f>Mesures_Four!G23</f>
        <v>10</v>
      </c>
      <c r="F465" s="411"/>
    </row>
    <row r="466" spans="2:7" x14ac:dyDescent="0.25">
      <c r="C466" s="412" t="s">
        <v>439</v>
      </c>
      <c r="D466" s="412"/>
      <c r="E466" s="413" t="str">
        <f ca="1">IF(AND(ABS(E462)&lt;=E465/2,(ABS(E463)&lt;=E465/2)),"CONFORME","NON CONFORME")</f>
        <v>CONFORME</v>
      </c>
      <c r="F466" s="413"/>
    </row>
    <row r="468" spans="2:7" x14ac:dyDescent="0.25">
      <c r="C468" s="396" t="s">
        <v>431</v>
      </c>
      <c r="D468" s="397"/>
      <c r="E468" s="245" t="s">
        <v>390</v>
      </c>
      <c r="F468" s="245" t="s">
        <v>387</v>
      </c>
    </row>
    <row r="469" spans="2:7" ht="28.9" customHeight="1" x14ac:dyDescent="0.25">
      <c r="B469" s="253" t="s">
        <v>432</v>
      </c>
      <c r="C469" s="405" t="s">
        <v>433</v>
      </c>
      <c r="D469" s="406"/>
      <c r="E469" s="153" t="str">
        <f ca="1">IF(ABS(E462)&lt;Mesures_Four!F23/2,"OUI","NON")</f>
        <v>OUI</v>
      </c>
      <c r="F469" s="153" t="str">
        <f ca="1">IF(ABS(E463)&lt;Mesures_Four!F23/2,"OUI","NON")</f>
        <v>NON</v>
      </c>
    </row>
    <row r="470" spans="2:7" ht="28.9" customHeight="1" x14ac:dyDescent="0.25">
      <c r="B470" s="404" t="s">
        <v>434</v>
      </c>
      <c r="C470" s="405" t="s">
        <v>440</v>
      </c>
      <c r="D470" s="406"/>
      <c r="E470" s="153" t="str">
        <f ca="1">IF(ABS('385°C'!AA119-'385°C'!W65)&lt;1.7,"OUI","NON")</f>
        <v>OUI</v>
      </c>
      <c r="F470" s="153" t="s">
        <v>200</v>
      </c>
    </row>
    <row r="471" spans="2:7" ht="28.9" customHeight="1" x14ac:dyDescent="0.25">
      <c r="B471" s="404"/>
      <c r="C471" s="405" t="s">
        <v>441</v>
      </c>
      <c r="D471" s="406"/>
      <c r="E471" s="153" t="s">
        <v>200</v>
      </c>
      <c r="F471" s="153" t="str">
        <f ca="1">IF(ABS('385°C'!AC118-'385°C'!W64)&lt;1.7,"OUI","NON")</f>
        <v>NON</v>
      </c>
    </row>
    <row r="472" spans="2:7" ht="28.9" customHeight="1" x14ac:dyDescent="0.25">
      <c r="C472" s="426" t="s">
        <v>437</v>
      </c>
      <c r="D472" s="426"/>
      <c r="E472" s="153" t="str">
        <f ca="1">IF(E469="OUI","NON",IF(E470="OUI","NON","OUI"))</f>
        <v>NON</v>
      </c>
      <c r="F472" s="153" t="str">
        <f ca="1">IF(F469="OUI","NON",IF(F471="OUI","NON","OUI"))</f>
        <v>OUI</v>
      </c>
    </row>
    <row r="473" spans="2:7" x14ac:dyDescent="0.25">
      <c r="C473" s="427"/>
      <c r="D473" s="427"/>
      <c r="E473" s="428"/>
      <c r="F473" s="427"/>
    </row>
    <row r="474" spans="2:7" ht="18.75" x14ac:dyDescent="0.25">
      <c r="B474" s="408" t="str">
        <f>_xlfn.CONCAT("A ",B383,", avec une consigne à ",B383,", le four est ")</f>
        <v xml:space="preserve">A 385°C, avec une consigne à 385°C, le four est </v>
      </c>
      <c r="C474" s="408"/>
      <c r="D474" s="408"/>
      <c r="E474" s="254" t="str">
        <f ca="1">IF(AND(E459="NON",E466="CONFORME"),"CONFORME","NON CONFORME")</f>
        <v>CONFORME</v>
      </c>
      <c r="F474" s="409" t="str">
        <f>_xlfn.CONCAT("à la tolérance requise de ± ",Mesures_Four!F23,"°C")</f>
        <v>à la tolérance requise de ± 5°C</v>
      </c>
      <c r="G474" s="409"/>
    </row>
    <row r="482" spans="2:6" ht="18.75" x14ac:dyDescent="0.3">
      <c r="B482" s="230" t="str">
        <f>_xlfn.CONCAT("6- Résultats et exploitations des résultats à ",B485)</f>
        <v>6- Résultats et exploitations des résultats à 535°C</v>
      </c>
    </row>
    <row r="484" spans="2:6" x14ac:dyDescent="0.25">
      <c r="B484" s="245" t="s">
        <v>237</v>
      </c>
      <c r="C484" s="245" t="s">
        <v>383</v>
      </c>
      <c r="E484" s="245" t="s">
        <v>384</v>
      </c>
      <c r="F484" s="245" t="s">
        <v>385</v>
      </c>
    </row>
    <row r="485" spans="2:6" x14ac:dyDescent="0.25">
      <c r="B485" s="246" t="str">
        <f>Mesures_Four!G27</f>
        <v>535°C</v>
      </c>
      <c r="C485" s="247" t="str">
        <f>_xlfn.CONCAT("± ",Mesures_Four!F24,"°C")</f>
        <v>± 5°C</v>
      </c>
      <c r="E485" s="246" t="s">
        <v>386</v>
      </c>
      <c r="F485" s="257">
        <f>Mesures_Four!C24</f>
        <v>-0.6</v>
      </c>
    </row>
    <row r="486" spans="2:6" x14ac:dyDescent="0.25">
      <c r="E486" s="246" t="s">
        <v>387</v>
      </c>
      <c r="F486" s="257">
        <f>Mesures_Four!D24</f>
        <v>-0.27</v>
      </c>
    </row>
    <row r="487" spans="2:6" x14ac:dyDescent="0.25">
      <c r="B487" s="245" t="s">
        <v>388</v>
      </c>
      <c r="C487" s="245" t="s">
        <v>389</v>
      </c>
      <c r="E487" s="246" t="s">
        <v>390</v>
      </c>
      <c r="F487" s="257">
        <f>Mesures_Four!E24</f>
        <v>0.5</v>
      </c>
    </row>
    <row r="488" spans="2:6" x14ac:dyDescent="0.25">
      <c r="B488" s="248" t="str">
        <f>INDEX(tab_four535[Date/Heure],1)</f>
        <v>21/02/2024  04:49</v>
      </c>
      <c r="C488" s="248" t="str">
        <f ca="1">OFFSET(INDEX(tab_four535[Date/Heure],1),COUNTA(tab_four535[Date/Heure])+COUNTBLANK(tab_four535[Date/Heure])-1,0,1)</f>
        <v>21/02/2024  05:46</v>
      </c>
    </row>
    <row r="490" spans="2:6" ht="18.75" x14ac:dyDescent="0.3">
      <c r="B490" s="230" t="s">
        <v>391</v>
      </c>
    </row>
    <row r="492" spans="2:6" x14ac:dyDescent="0.25">
      <c r="C492" s="245" t="s">
        <v>392</v>
      </c>
      <c r="D492" s="245" t="s">
        <v>393</v>
      </c>
      <c r="E492" s="245" t="s">
        <v>394</v>
      </c>
      <c r="F492" s="245" t="s">
        <v>395</v>
      </c>
    </row>
    <row r="493" spans="2:6" x14ac:dyDescent="0.25">
      <c r="C493" s="246" t="s">
        <v>396</v>
      </c>
      <c r="D493" s="249">
        <f ca="1">'535°C'!AB125</f>
        <v>535.4</v>
      </c>
      <c r="E493" s="249">
        <f ca="1">'535°C'!AB126</f>
        <v>535</v>
      </c>
      <c r="F493" s="249">
        <f ca="1">'535°C'!AB127</f>
        <v>535.17000000000007</v>
      </c>
    </row>
    <row r="494" spans="2:6" x14ac:dyDescent="0.25">
      <c r="C494" s="246" t="s">
        <v>397</v>
      </c>
      <c r="D494" s="249">
        <f ca="1">'535°C'!AC125</f>
        <v>533.70000000000005</v>
      </c>
      <c r="E494" s="249">
        <f ca="1">'535°C'!AC126</f>
        <v>533.4</v>
      </c>
      <c r="F494" s="249">
        <f ca="1">'535°C'!AC127</f>
        <v>533.55666666666673</v>
      </c>
    </row>
    <row r="495" spans="2:6" x14ac:dyDescent="0.25">
      <c r="C495" s="246" t="s">
        <v>398</v>
      </c>
      <c r="D495" s="249">
        <f ca="1">'535°C'!AA125</f>
        <v>533.9</v>
      </c>
      <c r="E495" s="249">
        <f ca="1">'535°C'!AA126</f>
        <v>533.29999999999995</v>
      </c>
      <c r="F495" s="249">
        <f ca="1">'535°C'!AA127</f>
        <v>533.54666666666651</v>
      </c>
    </row>
    <row r="497" spans="2:5" ht="18.75" x14ac:dyDescent="0.3">
      <c r="B497" s="230" t="s">
        <v>399</v>
      </c>
    </row>
    <row r="499" spans="2:5" x14ac:dyDescent="0.25">
      <c r="B499" s="396" t="s">
        <v>295</v>
      </c>
      <c r="C499" s="397"/>
      <c r="D499" s="245" t="s">
        <v>400</v>
      </c>
      <c r="E499" s="245" t="s">
        <v>401</v>
      </c>
    </row>
    <row r="500" spans="2:5" x14ac:dyDescent="0.25">
      <c r="B500" s="424" t="s">
        <v>402</v>
      </c>
      <c r="C500" s="425"/>
      <c r="D500" s="250" t="str">
        <f>B485</f>
        <v>535°C</v>
      </c>
      <c r="E500" s="250" t="s">
        <v>200</v>
      </c>
    </row>
    <row r="501" spans="2:5" x14ac:dyDescent="0.25">
      <c r="B501" s="424" t="s">
        <v>201</v>
      </c>
      <c r="C501" s="425"/>
      <c r="D501" s="250" t="str">
        <f>B485</f>
        <v>535°C</v>
      </c>
      <c r="E501" s="250" t="s">
        <v>200</v>
      </c>
    </row>
    <row r="502" spans="2:5" ht="15" customHeight="1" x14ac:dyDescent="0.25">
      <c r="B502" s="424" t="s">
        <v>403</v>
      </c>
      <c r="C502" s="425"/>
      <c r="D502" s="249">
        <f>'535°C'!W67</f>
        <v>538.47</v>
      </c>
      <c r="E502" s="251" t="str">
        <f>VLOOKUP(SUBSTITUTE(HLOOKUP(D502,'535°C'!$N67:$V$74,8,FALSE),"Connecteur ",""),Mesures_Four!B28:C36,2,FALSE)</f>
        <v>8</v>
      </c>
    </row>
    <row r="503" spans="2:5" ht="30" customHeight="1" x14ac:dyDescent="0.25">
      <c r="B503" s="405" t="s">
        <v>404</v>
      </c>
      <c r="C503" s="406"/>
      <c r="D503" s="249">
        <f ca="1">'535°C'!W68</f>
        <v>538.19999999999993</v>
      </c>
      <c r="E503" s="251" t="str">
        <f ca="1">VLOOKUP(SUBSTITUTE(HLOOKUP(D503,'535°C'!$N68:$V$74,7,FALSE),"Connecteur ",""),Mesures_Four!B28:C36,2,FALSE)</f>
        <v>6</v>
      </c>
    </row>
    <row r="504" spans="2:5" ht="30" customHeight="1" x14ac:dyDescent="0.25">
      <c r="B504" s="405" t="s">
        <v>405</v>
      </c>
      <c r="C504" s="406"/>
      <c r="D504" s="249">
        <f ca="1">'535°C'!W69</f>
        <v>532.72</v>
      </c>
      <c r="E504" s="251" t="str">
        <f ca="1">VLOOKUP(SUBSTITUTE(HLOOKUP(D504,'535°C'!$N69:$V$74,6,FALSE),"Connecteur ",""),Mesures_Four!B28:C36,2,FALSE)</f>
        <v>17</v>
      </c>
    </row>
    <row r="505" spans="2:5" ht="30" customHeight="1" x14ac:dyDescent="0.25">
      <c r="B505" s="405" t="s">
        <v>406</v>
      </c>
      <c r="C505" s="406"/>
      <c r="D505" s="249">
        <f ca="1">'535°C'!W73</f>
        <v>536.77870370370374</v>
      </c>
      <c r="E505" s="250" t="s">
        <v>200</v>
      </c>
    </row>
    <row r="512" spans="2:5" ht="18.75" x14ac:dyDescent="0.3">
      <c r="B512" s="230" t="s">
        <v>407</v>
      </c>
    </row>
    <row r="513" spans="2:8" ht="18.75" x14ac:dyDescent="0.3">
      <c r="B513" s="230"/>
    </row>
    <row r="514" spans="2:8" x14ac:dyDescent="0.25">
      <c r="B514" s="422" t="s">
        <v>408</v>
      </c>
      <c r="C514" s="422" t="s">
        <v>401</v>
      </c>
      <c r="D514" s="396" t="s">
        <v>409</v>
      </c>
      <c r="E514" s="423"/>
      <c r="F514" s="423"/>
      <c r="G514" s="397"/>
      <c r="H514" s="245" t="s">
        <v>328</v>
      </c>
    </row>
    <row r="515" spans="2:8" x14ac:dyDescent="0.25">
      <c r="B515" s="422"/>
      <c r="C515" s="422"/>
      <c r="D515" s="246" t="s">
        <v>410</v>
      </c>
      <c r="E515" s="246" t="s">
        <v>411</v>
      </c>
      <c r="F515" s="246" t="s">
        <v>211</v>
      </c>
      <c r="G515" s="246" t="s">
        <v>212</v>
      </c>
      <c r="H515" s="246" t="s">
        <v>412</v>
      </c>
    </row>
    <row r="516" spans="2:8" x14ac:dyDescent="0.25">
      <c r="B516" s="252" t="s">
        <v>413</v>
      </c>
      <c r="C516" s="246" t="str">
        <f>VLOOKUP($B516,$C$147:$D$155,2,FALSE)</f>
        <v>1</v>
      </c>
      <c r="D516" s="249">
        <f ca="1">'535°C'!N68</f>
        <v>537.78</v>
      </c>
      <c r="E516" s="249">
        <f ca="1">'535°C'!N69</f>
        <v>537.42999999999995</v>
      </c>
      <c r="F516" s="249">
        <f ca="1">'535°C'!N70</f>
        <v>537.57799999999997</v>
      </c>
      <c r="G516" s="249">
        <f t="shared" ref="G516:G524" ca="1" si="6">D516-E516</f>
        <v>0.35000000000002274</v>
      </c>
      <c r="H516" s="249">
        <f>'535°C'!N67</f>
        <v>537.78</v>
      </c>
    </row>
    <row r="517" spans="2:8" x14ac:dyDescent="0.25">
      <c r="B517" s="252" t="s">
        <v>414</v>
      </c>
      <c r="C517" s="246" t="str">
        <f t="shared" ref="C517:C524" si="7">VLOOKUP($B517,$C$147:$D$155,2,FALSE)</f>
        <v>2</v>
      </c>
      <c r="D517" s="249">
        <f ca="1">'535°C'!O68</f>
        <v>537.44000000000005</v>
      </c>
      <c r="E517" s="249">
        <f ca="1">'535°C'!O69</f>
        <v>537.11</v>
      </c>
      <c r="F517" s="249">
        <f ca="1">'535°C'!O70</f>
        <v>537.31466666666654</v>
      </c>
      <c r="G517" s="249">
        <f t="shared" ca="1" si="6"/>
        <v>0.33000000000004093</v>
      </c>
      <c r="H517" s="249">
        <f>'535°C'!O67</f>
        <v>537.44000000000005</v>
      </c>
    </row>
    <row r="518" spans="2:8" x14ac:dyDescent="0.25">
      <c r="B518" s="252" t="s">
        <v>415</v>
      </c>
      <c r="C518" s="246" t="str">
        <f t="shared" si="7"/>
        <v>3</v>
      </c>
      <c r="D518" s="249">
        <f ca="1">'535°C'!P68</f>
        <v>537.16</v>
      </c>
      <c r="E518" s="249">
        <f ca="1">'535°C'!P69</f>
        <v>536.84</v>
      </c>
      <c r="F518" s="249">
        <f ca="1">'535°C'!P70</f>
        <v>537.00800000000015</v>
      </c>
      <c r="G518" s="249">
        <f t="shared" ca="1" si="6"/>
        <v>0.31999999999993634</v>
      </c>
      <c r="H518" s="249">
        <f>'535°C'!P67</f>
        <v>537.16</v>
      </c>
    </row>
    <row r="519" spans="2:8" x14ac:dyDescent="0.25">
      <c r="B519" s="252" t="s">
        <v>416</v>
      </c>
      <c r="C519" s="246" t="str">
        <f t="shared" si="7"/>
        <v>4</v>
      </c>
      <c r="D519" s="249">
        <f ca="1">'535°C'!Q68</f>
        <v>537.27</v>
      </c>
      <c r="E519" s="249">
        <f ca="1">'535°C'!Q69</f>
        <v>536.92999999999995</v>
      </c>
      <c r="F519" s="249">
        <f ca="1">'535°C'!Q70</f>
        <v>537.07699999999988</v>
      </c>
      <c r="G519" s="249">
        <f t="shared" ca="1" si="6"/>
        <v>0.34000000000003183</v>
      </c>
      <c r="H519" s="249">
        <f>'535°C'!Q67</f>
        <v>537.27</v>
      </c>
    </row>
    <row r="520" spans="2:8" x14ac:dyDescent="0.25">
      <c r="B520" s="252" t="s">
        <v>417</v>
      </c>
      <c r="C520" s="246" t="str">
        <f t="shared" si="7"/>
        <v>17</v>
      </c>
      <c r="D520" s="249">
        <f ca="1">'535°C'!R68</f>
        <v>533.53000000000009</v>
      </c>
      <c r="E520" s="249">
        <f ca="1">'535°C'!R69</f>
        <v>532.72</v>
      </c>
      <c r="F520" s="249">
        <f ca="1">'535°C'!R70</f>
        <v>533.15700000000004</v>
      </c>
      <c r="G520" s="249">
        <f t="shared" ca="1" si="6"/>
        <v>0.81000000000005912</v>
      </c>
      <c r="H520" s="249">
        <f>'535°C'!R67</f>
        <v>534.2600000000001</v>
      </c>
    </row>
    <row r="521" spans="2:8" x14ac:dyDescent="0.25">
      <c r="B521" s="252" t="s">
        <v>418</v>
      </c>
      <c r="C521" s="246" t="str">
        <f t="shared" si="7"/>
        <v>6</v>
      </c>
      <c r="D521" s="249">
        <f ca="1">'535°C'!S68</f>
        <v>538.19999999999993</v>
      </c>
      <c r="E521" s="249">
        <f ca="1">'535°C'!S69</f>
        <v>537.52</v>
      </c>
      <c r="F521" s="249">
        <f ca="1">'535°C'!S70</f>
        <v>537.83233333333317</v>
      </c>
      <c r="G521" s="249">
        <f t="shared" ca="1" si="6"/>
        <v>0.67999999999994998</v>
      </c>
      <c r="H521" s="249">
        <f>'535°C'!S67</f>
        <v>538.41</v>
      </c>
    </row>
    <row r="522" spans="2:8" x14ac:dyDescent="0.25">
      <c r="B522" s="252" t="s">
        <v>419</v>
      </c>
      <c r="C522" s="246" t="str">
        <f t="shared" si="7"/>
        <v>7</v>
      </c>
      <c r="D522" s="249">
        <f ca="1">'535°C'!T68</f>
        <v>536.87</v>
      </c>
      <c r="E522" s="249">
        <f ca="1">'535°C'!T69</f>
        <v>536.37</v>
      </c>
      <c r="F522" s="249">
        <f ca="1">'535°C'!T70</f>
        <v>536.63499999999999</v>
      </c>
      <c r="G522" s="249">
        <f t="shared" ca="1" si="6"/>
        <v>0.5</v>
      </c>
      <c r="H522" s="249">
        <f>'535°C'!T67</f>
        <v>536.96</v>
      </c>
    </row>
    <row r="523" spans="2:8" x14ac:dyDescent="0.25">
      <c r="B523" s="252" t="s">
        <v>420</v>
      </c>
      <c r="C523" s="246" t="str">
        <f t="shared" si="7"/>
        <v>8</v>
      </c>
      <c r="D523" s="249">
        <f ca="1">'535°C'!U68</f>
        <v>537.98</v>
      </c>
      <c r="E523" s="249">
        <f ca="1">'535°C'!U69</f>
        <v>537.18000000000006</v>
      </c>
      <c r="F523" s="249">
        <f ca="1">'535°C'!U70</f>
        <v>537.50233333333324</v>
      </c>
      <c r="G523" s="249">
        <f t="shared" ca="1" si="6"/>
        <v>0.79999999999995453</v>
      </c>
      <c r="H523" s="249">
        <f>'535°C'!U67</f>
        <v>538.47</v>
      </c>
    </row>
    <row r="524" spans="2:8" x14ac:dyDescent="0.25">
      <c r="B524" s="252" t="s">
        <v>421</v>
      </c>
      <c r="C524" s="246" t="str">
        <f t="shared" si="7"/>
        <v>9</v>
      </c>
      <c r="D524" s="249">
        <f ca="1">'535°C'!V68</f>
        <v>537.13</v>
      </c>
      <c r="E524" s="249">
        <f ca="1">'535°C'!V69</f>
        <v>536.69000000000005</v>
      </c>
      <c r="F524" s="249">
        <f ca="1">'535°C'!V70</f>
        <v>536.904</v>
      </c>
      <c r="G524" s="249">
        <f t="shared" ca="1" si="6"/>
        <v>0.43999999999994088</v>
      </c>
      <c r="H524" s="249">
        <f>'535°C'!V67</f>
        <v>537.15</v>
      </c>
    </row>
    <row r="526" spans="2:8" ht="18.75" x14ac:dyDescent="0.3">
      <c r="B526" s="230" t="s">
        <v>422</v>
      </c>
    </row>
    <row r="557" spans="2:6" ht="18.75" x14ac:dyDescent="0.3">
      <c r="B557" s="230" t="s">
        <v>423</v>
      </c>
    </row>
    <row r="558" spans="2:6" ht="18.75" x14ac:dyDescent="0.3">
      <c r="B558" s="230"/>
      <c r="C558" s="418" t="s">
        <v>424</v>
      </c>
      <c r="D558" s="418"/>
      <c r="E558" s="418"/>
      <c r="F558" s="418"/>
    </row>
    <row r="559" spans="2:6" ht="28.9" customHeight="1" x14ac:dyDescent="0.25">
      <c r="C559" s="414" t="str">
        <f>_xlfn.CONCAT("Dépassement de la consigne durant la phase de montée ou de maintien en température (&gt; ",B485,")")</f>
        <v>Dépassement de la consigne durant la phase de montée ou de maintien en température (&gt; 535°C)</v>
      </c>
      <c r="D559" s="414"/>
      <c r="E559" s="419">
        <f>IF('535°C'!W67-Mesures_Four!B24&gt;0,'535°C'!W67-Mesures_Four!B24,"PAS DE DÉPASSEMENT")</f>
        <v>3.4700000000000273</v>
      </c>
      <c r="F559" s="419"/>
    </row>
    <row r="560" spans="2:6" x14ac:dyDescent="0.25">
      <c r="C560" s="420" t="str">
        <f>_xlfn.CONCAT("Dépassement supérieur à la tolérance maximale (",C485,")")</f>
        <v>Dépassement supérieur à la tolérance maximale (± 5°C)</v>
      </c>
      <c r="D560" s="420"/>
      <c r="E560" s="421" t="str">
        <f>IF(OR(E559="PAS DE DÉPASSEMENT",E559&lt;=Mesures_Four!F24),"NON","OUI")</f>
        <v>NON</v>
      </c>
      <c r="F560" s="421"/>
    </row>
    <row r="562" spans="2:7" x14ac:dyDescent="0.25">
      <c r="C562" s="401" t="s">
        <v>425</v>
      </c>
      <c r="D562" s="402"/>
      <c r="E562" s="402"/>
      <c r="F562" s="403"/>
    </row>
    <row r="563" spans="2:7" ht="28.9" customHeight="1" x14ac:dyDescent="0.25">
      <c r="C563" s="414" t="s">
        <v>442</v>
      </c>
      <c r="D563" s="414"/>
      <c r="E563" s="415">
        <f ca="1">'535°C'!N78</f>
        <v>-2.2799999999999727</v>
      </c>
      <c r="F563" s="415"/>
    </row>
    <row r="564" spans="2:7" ht="28.9" customHeight="1" x14ac:dyDescent="0.25">
      <c r="C564" s="414" t="s">
        <v>443</v>
      </c>
      <c r="D564" s="414"/>
      <c r="E564" s="415">
        <f ca="1">'535°C'!N77</f>
        <v>3.1999999999999318</v>
      </c>
      <c r="F564" s="415"/>
    </row>
    <row r="565" spans="2:7" x14ac:dyDescent="0.25">
      <c r="C565" s="410" t="s">
        <v>428</v>
      </c>
      <c r="D565" s="410"/>
      <c r="E565" s="416">
        <f ca="1">'535°C'!N72</f>
        <v>5.4799999999999045</v>
      </c>
      <c r="F565" s="417"/>
    </row>
    <row r="566" spans="2:7" x14ac:dyDescent="0.25">
      <c r="C566" s="410" t="s">
        <v>429</v>
      </c>
      <c r="D566" s="410"/>
      <c r="E566" s="411">
        <f>Mesures_Four!G24</f>
        <v>10</v>
      </c>
      <c r="F566" s="411"/>
    </row>
    <row r="567" spans="2:7" x14ac:dyDescent="0.25">
      <c r="C567" s="412" t="s">
        <v>444</v>
      </c>
      <c r="D567" s="412"/>
      <c r="E567" s="413" t="str">
        <f ca="1">IF(AND(ABS(E563)&lt;=E566/2,(ABS(E564)&lt;=E566/2)),"CONFORME","NON CONFORME")</f>
        <v>CONFORME</v>
      </c>
      <c r="F567" s="413"/>
    </row>
    <row r="569" spans="2:7" x14ac:dyDescent="0.25">
      <c r="C569" s="396" t="s">
        <v>431</v>
      </c>
      <c r="D569" s="397"/>
      <c r="E569" s="245" t="s">
        <v>445</v>
      </c>
      <c r="F569" s="245" t="s">
        <v>446</v>
      </c>
    </row>
    <row r="570" spans="2:7" ht="28.9" customHeight="1" x14ac:dyDescent="0.25">
      <c r="B570" s="253" t="s">
        <v>432</v>
      </c>
      <c r="C570" s="405" t="s">
        <v>433</v>
      </c>
      <c r="D570" s="406"/>
      <c r="E570" s="153" t="str">
        <f ca="1">IF(ABS(E563)&lt;Mesures_Four!F24/2,"OUI","NON")</f>
        <v>OUI</v>
      </c>
      <c r="F570" s="153" t="str">
        <f ca="1">IF(ABS(E564)&lt;Mesures_Four!F24/2,"OUI","NON")</f>
        <v>NON</v>
      </c>
    </row>
    <row r="571" spans="2:7" ht="28.9" customHeight="1" x14ac:dyDescent="0.25">
      <c r="B571" s="404" t="s">
        <v>434</v>
      </c>
      <c r="C571" s="405" t="s">
        <v>440</v>
      </c>
      <c r="D571" s="406"/>
      <c r="E571" s="153" t="str">
        <f ca="1">IF(ABS('535°C'!AA126-'535°C'!W69)&lt;1.7,"OUI","NON")</f>
        <v>OUI</v>
      </c>
      <c r="F571" s="153" t="s">
        <v>200</v>
      </c>
    </row>
    <row r="572" spans="2:7" ht="28.9" customHeight="1" x14ac:dyDescent="0.25">
      <c r="B572" s="404"/>
      <c r="C572" s="405" t="s">
        <v>441</v>
      </c>
      <c r="D572" s="406"/>
      <c r="E572" s="153" t="s">
        <v>200</v>
      </c>
      <c r="F572" s="153" t="str">
        <f ca="1">IF(ABS('535°C'!AC125-'535°C'!W68)&lt;1.7,"OUI","NON")</f>
        <v>NON</v>
      </c>
    </row>
    <row r="573" spans="2:7" ht="28.9" customHeight="1" x14ac:dyDescent="0.25">
      <c r="C573" s="407" t="s">
        <v>437</v>
      </c>
      <c r="D573" s="407"/>
      <c r="E573" s="258" t="str">
        <f ca="1">IF(E570="OUI","NON",IF(E571="OUI","NON","OUI"))</f>
        <v>NON</v>
      </c>
      <c r="F573" s="258" t="str">
        <f ca="1">IF(F570="OUI","NON",IF(F572="OUI","NON","OUI"))</f>
        <v>OUI</v>
      </c>
    </row>
    <row r="575" spans="2:7" ht="18.75" x14ac:dyDescent="0.25">
      <c r="B575" s="408" t="str">
        <f>_xlfn.CONCAT("A ",B485,", avec une consigne à ",B485,", le four est ")</f>
        <v xml:space="preserve">A 535°C, avec une consigne à 535°C, le four est </v>
      </c>
      <c r="C575" s="408"/>
      <c r="D575" s="408"/>
      <c r="E575" s="254" t="str">
        <f ca="1">IF(AND(E560="NON",E567="CONFORME"),"CONFORME","NON CONFORME")</f>
        <v>CONFORME</v>
      </c>
      <c r="F575" s="409" t="str">
        <f>_xlfn.CONCAT("à la tolérance requise de ± ",Mesures_Four!F24,"°C")</f>
        <v>à la tolérance requise de ± 5°C</v>
      </c>
      <c r="G575" s="409"/>
    </row>
    <row r="582" spans="1:11" ht="18.75" x14ac:dyDescent="0.3">
      <c r="B582" s="230" t="s">
        <v>447</v>
      </c>
    </row>
    <row r="583" spans="1:11" ht="18.75" x14ac:dyDescent="0.3">
      <c r="B583" s="230"/>
    </row>
    <row r="584" spans="1:11" ht="18.75" customHeight="1" x14ac:dyDescent="0.25">
      <c r="A584" s="401" t="s">
        <v>448</v>
      </c>
      <c r="B584" s="402"/>
      <c r="C584" s="403"/>
      <c r="D584" s="245" t="str">
        <f>B181</f>
        <v>80°C</v>
      </c>
      <c r="E584" s="245" t="str">
        <f>B281</f>
        <v>200°C</v>
      </c>
      <c r="F584" s="245" t="str">
        <f>B383</f>
        <v>385°C</v>
      </c>
      <c r="G584" s="245" t="str">
        <f>B485</f>
        <v>535°C</v>
      </c>
    </row>
    <row r="585" spans="1:11" x14ac:dyDescent="0.25">
      <c r="A585" s="391" t="s">
        <v>449</v>
      </c>
      <c r="B585" s="392"/>
      <c r="C585" s="393"/>
      <c r="D585" s="259">
        <f ca="1">OFFSET(INDEX(tab_four80[Consigne T°],1),COUNT(tab_four80[Consigne T°])-30,0,1)</f>
        <v>80</v>
      </c>
      <c r="E585" s="259">
        <f ca="1">OFFSET(INDEX(tab_four200[Consigne T°],1),COUNT(tab_four200[Consigne T°])-30,0,1)</f>
        <v>200</v>
      </c>
      <c r="F585" s="259">
        <f ca="1">OFFSET(INDEX(tab_four385[Consigne T°],1),COUNT(tab_four385[Consigne T°])-30,0,1)</f>
        <v>385</v>
      </c>
      <c r="G585" s="260">
        <f ca="1">OFFSET(INDEX(tab_four535[Consigne T°],1),COUNT(tab_four535[Consigne T°])-30,0,1)</f>
        <v>535</v>
      </c>
    </row>
    <row r="586" spans="1:11" ht="28.9" customHeight="1" x14ac:dyDescent="0.25">
      <c r="A586" s="398" t="s">
        <v>450</v>
      </c>
      <c r="B586" s="399"/>
      <c r="C586" s="400"/>
      <c r="D586" s="249">
        <f>E254</f>
        <v>2.7199999999999989</v>
      </c>
      <c r="E586" s="249">
        <f>E356</f>
        <v>2.6200000000000045</v>
      </c>
      <c r="F586" s="249">
        <f>E458</f>
        <v>3.8799999999999955</v>
      </c>
      <c r="G586" s="249">
        <f>E559</f>
        <v>3.4700000000000273</v>
      </c>
    </row>
    <row r="587" spans="1:11" x14ac:dyDescent="0.25">
      <c r="A587" s="391" t="s">
        <v>451</v>
      </c>
      <c r="B587" s="392"/>
      <c r="C587" s="393"/>
      <c r="D587" s="261">
        <f>Mesures_Four!F21</f>
        <v>3</v>
      </c>
      <c r="E587" s="261">
        <f>Mesures_Four!F22</f>
        <v>3</v>
      </c>
      <c r="F587" s="261">
        <f>Mesures_Four!F23</f>
        <v>5</v>
      </c>
      <c r="G587" s="261">
        <f>Mesures_Four!F24</f>
        <v>5</v>
      </c>
    </row>
    <row r="588" spans="1:11" ht="18.75" x14ac:dyDescent="0.3">
      <c r="A588" s="391" t="s">
        <v>452</v>
      </c>
      <c r="B588" s="392"/>
      <c r="C588" s="393"/>
      <c r="D588" s="262" t="str">
        <f>E255</f>
        <v>NON</v>
      </c>
      <c r="E588" s="262" t="str">
        <f>E357</f>
        <v>NON</v>
      </c>
      <c r="F588" s="262" t="str">
        <f>E459</f>
        <v>NON</v>
      </c>
      <c r="G588" s="262" t="str">
        <f>E560</f>
        <v>NON</v>
      </c>
    </row>
    <row r="589" spans="1:11" x14ac:dyDescent="0.25">
      <c r="A589" s="391" t="s">
        <v>453</v>
      </c>
      <c r="B589" s="392"/>
      <c r="C589" s="393"/>
      <c r="D589" s="258">
        <v>1</v>
      </c>
      <c r="E589" s="258">
        <v>1</v>
      </c>
      <c r="F589" s="153">
        <v>2</v>
      </c>
      <c r="G589" s="258">
        <v>2</v>
      </c>
    </row>
    <row r="590" spans="1:11" ht="31.15" customHeight="1" x14ac:dyDescent="0.25">
      <c r="A590" s="398" t="s">
        <v>426</v>
      </c>
      <c r="B590" s="399"/>
      <c r="C590" s="400"/>
      <c r="D590" s="260">
        <f ca="1">E258</f>
        <v>0.80999999999998806</v>
      </c>
      <c r="E590" s="260">
        <f ca="1">E360</f>
        <v>-0.37000000000000455</v>
      </c>
      <c r="F590" s="152">
        <f ca="1">E462</f>
        <v>-2.0600000000000023</v>
      </c>
      <c r="G590" s="260">
        <f ca="1">E563</f>
        <v>-2.2799999999999727</v>
      </c>
      <c r="K590" s="263"/>
    </row>
    <row r="591" spans="1:11" ht="31.15" customHeight="1" x14ac:dyDescent="0.25">
      <c r="A591" s="398" t="s">
        <v>427</v>
      </c>
      <c r="B591" s="399"/>
      <c r="C591" s="400"/>
      <c r="D591" s="260">
        <f ca="1">E259</f>
        <v>1.9200000000000017</v>
      </c>
      <c r="E591" s="260">
        <f ca="1">E361</f>
        <v>1.9899999999999807</v>
      </c>
      <c r="F591" s="152">
        <f ca="1">E463</f>
        <v>3.3600000000000136</v>
      </c>
      <c r="G591" s="260">
        <f ca="1">E564</f>
        <v>3.1999999999999318</v>
      </c>
      <c r="K591" s="263"/>
    </row>
    <row r="592" spans="1:11" x14ac:dyDescent="0.25">
      <c r="A592" s="391" t="s">
        <v>454</v>
      </c>
      <c r="B592" s="392"/>
      <c r="C592" s="393"/>
      <c r="D592" s="260">
        <f ca="1">E260</f>
        <v>1.1100000000000136</v>
      </c>
      <c r="E592" s="260">
        <f ca="1">E362</f>
        <v>2.3599999999999852</v>
      </c>
      <c r="F592" s="152">
        <f ca="1">E464</f>
        <v>5.4200000000000159</v>
      </c>
      <c r="G592" s="260">
        <f ca="1">E565</f>
        <v>5.4799999999999045</v>
      </c>
    </row>
    <row r="593" spans="1:8" ht="18.75" x14ac:dyDescent="0.25">
      <c r="A593" s="391" t="s">
        <v>219</v>
      </c>
      <c r="B593" s="392"/>
      <c r="C593" s="393"/>
      <c r="D593" s="264" t="str">
        <f ca="1">E262</f>
        <v>CONFORME</v>
      </c>
      <c r="E593" s="264" t="str">
        <f ca="1">E364</f>
        <v>CONFORME</v>
      </c>
      <c r="F593" s="264" t="str">
        <f ca="1">E466</f>
        <v>CONFORME</v>
      </c>
      <c r="G593" s="264" t="str">
        <f ca="1">E567</f>
        <v>CONFORME</v>
      </c>
    </row>
    <row r="594" spans="1:8" ht="18.75" x14ac:dyDescent="0.3">
      <c r="B594" s="230"/>
    </row>
    <row r="595" spans="1:8" x14ac:dyDescent="0.25">
      <c r="A595" s="401" t="s">
        <v>431</v>
      </c>
      <c r="B595" s="402"/>
      <c r="C595" s="403"/>
      <c r="D595" s="396" t="s">
        <v>390</v>
      </c>
      <c r="E595" s="397"/>
      <c r="F595" s="396" t="s">
        <v>387</v>
      </c>
      <c r="G595" s="397"/>
    </row>
    <row r="596" spans="1:8" x14ac:dyDescent="0.25">
      <c r="A596" s="391" t="s">
        <v>455</v>
      </c>
      <c r="B596" s="392"/>
      <c r="C596" s="393"/>
      <c r="D596" s="394" t="str">
        <f ca="1">E268</f>
        <v>NON</v>
      </c>
      <c r="E596" s="395"/>
      <c r="F596" s="394" t="str">
        <f ca="1">F268</f>
        <v>NON</v>
      </c>
      <c r="G596" s="395"/>
    </row>
    <row r="597" spans="1:8" x14ac:dyDescent="0.25">
      <c r="A597" s="391" t="s">
        <v>456</v>
      </c>
      <c r="B597" s="392"/>
      <c r="C597" s="393"/>
      <c r="D597" s="394" t="str">
        <f ca="1">E370</f>
        <v>NON</v>
      </c>
      <c r="E597" s="395"/>
      <c r="F597" s="394" t="str">
        <f ca="1">F370</f>
        <v>NON</v>
      </c>
      <c r="G597" s="395"/>
    </row>
    <row r="598" spans="1:8" x14ac:dyDescent="0.25">
      <c r="A598" s="391" t="s">
        <v>457</v>
      </c>
      <c r="B598" s="392"/>
      <c r="C598" s="393"/>
      <c r="D598" s="394" t="str">
        <f ca="1">E472</f>
        <v>NON</v>
      </c>
      <c r="E598" s="395"/>
      <c r="F598" s="394" t="str">
        <f ca="1">F472</f>
        <v>OUI</v>
      </c>
      <c r="G598" s="395"/>
    </row>
    <row r="599" spans="1:8" x14ac:dyDescent="0.25">
      <c r="A599" s="391" t="s">
        <v>458</v>
      </c>
      <c r="B599" s="392"/>
      <c r="C599" s="393"/>
      <c r="D599" s="394" t="str">
        <f ca="1">E573</f>
        <v>NON</v>
      </c>
      <c r="E599" s="395"/>
      <c r="F599" s="394" t="str">
        <f ca="1">F573</f>
        <v>OUI</v>
      </c>
      <c r="G599" s="395"/>
    </row>
    <row r="600" spans="1:8" ht="18.75" x14ac:dyDescent="0.3">
      <c r="A600" s="383" t="s">
        <v>459</v>
      </c>
      <c r="B600" s="384"/>
      <c r="C600" s="385"/>
      <c r="D600" s="386" t="str">
        <f ca="1">IF(AND(E268="NON",E370="NON",E472="NON",E573="NON"),"NON","OUI")</f>
        <v>NON</v>
      </c>
      <c r="E600" s="386"/>
      <c r="F600" s="387" t="str">
        <f ca="1">IF(AND(F268="NON",F370="NON",F472="NON",F573="NON"),"NON","OUI")</f>
        <v>OUI</v>
      </c>
      <c r="G600" s="388"/>
    </row>
    <row r="601" spans="1:8" ht="18.75" x14ac:dyDescent="0.3">
      <c r="B601" s="230"/>
    </row>
    <row r="602" spans="1:8" ht="18.75" x14ac:dyDescent="0.25">
      <c r="A602" s="265" t="s">
        <v>460</v>
      </c>
      <c r="B602" s="389" t="str">
        <f>D57</f>
        <v>THERMIDOR</v>
      </c>
      <c r="C602" s="389"/>
      <c r="D602" s="266" t="s">
        <v>461</v>
      </c>
      <c r="E602" s="267" t="str">
        <f ca="1">IF(AND(D588="NON",E588="NON",F588="NON",G588="NON",D593="CONFORME",E593="CONFORME",F593="CONFORME",G593="CONFORME"),"CONFORME","Non CONFORME")</f>
        <v>CONFORME</v>
      </c>
      <c r="F602" s="390" t="s">
        <v>462</v>
      </c>
      <c r="G602" s="390"/>
      <c r="H602" s="268" t="s">
        <v>463</v>
      </c>
    </row>
    <row r="604" spans="1:8" x14ac:dyDescent="0.25">
      <c r="B604" t="s">
        <v>464</v>
      </c>
    </row>
    <row r="605" spans="1:8" x14ac:dyDescent="0.25">
      <c r="C605" s="379" t="s">
        <v>465</v>
      </c>
      <c r="D605" s="379"/>
      <c r="E605" s="379"/>
    </row>
    <row r="606" spans="1:8" x14ac:dyDescent="0.25">
      <c r="C606" s="379" t="s">
        <v>466</v>
      </c>
      <c r="D606" s="379"/>
      <c r="E606" s="379"/>
    </row>
    <row r="607" spans="1:8" x14ac:dyDescent="0.25">
      <c r="C607" s="380" t="s">
        <v>467</v>
      </c>
      <c r="D607" s="380"/>
      <c r="E607" s="380"/>
    </row>
    <row r="608" spans="1:8" x14ac:dyDescent="0.25">
      <c r="C608" s="380"/>
      <c r="D608" s="380"/>
      <c r="E608" s="380"/>
    </row>
    <row r="609" spans="2:8" ht="14.45" customHeight="1" x14ac:dyDescent="0.25">
      <c r="C609" s="380" t="s">
        <v>468</v>
      </c>
      <c r="D609" s="380"/>
      <c r="E609" s="380"/>
    </row>
    <row r="610" spans="2:8" x14ac:dyDescent="0.25">
      <c r="C610" s="380"/>
      <c r="D610" s="380"/>
      <c r="E610" s="380"/>
    </row>
    <row r="612" spans="2:8" ht="14.45" customHeight="1" x14ac:dyDescent="0.25">
      <c r="B612" s="381" t="str">
        <f ca="1">IF(E602&lt;&gt;"CONFORME","ECHEC DE TUS : LA TUS DEVRA DONC ÊTRE RÉALISÉE TOUS LES MOIS JUSQU’À CE QUE 4 TUS CONSÉCUTIVES SOIENT CONFORMES","")</f>
        <v/>
      </c>
      <c r="C612" s="381"/>
      <c r="D612" s="381"/>
      <c r="E612" s="381"/>
      <c r="G612" s="333" t="s">
        <v>469</v>
      </c>
      <c r="H612" s="382">
        <f>IF(D11&lt;&gt;"",D11,"")</f>
        <v>45342</v>
      </c>
    </row>
    <row r="613" spans="2:8" ht="14.45" customHeight="1" x14ac:dyDescent="0.25">
      <c r="B613" s="381"/>
      <c r="C613" s="381"/>
      <c r="D613" s="381"/>
      <c r="E613" s="381"/>
      <c r="G613" s="333"/>
      <c r="H613" s="333"/>
    </row>
    <row r="614" spans="2:8" ht="14.45" customHeight="1" x14ac:dyDescent="0.25">
      <c r="B614" s="381"/>
      <c r="C614" s="381"/>
      <c r="D614" s="381"/>
      <c r="E614" s="381"/>
      <c r="G614" s="333" t="s">
        <v>470</v>
      </c>
      <c r="H614" s="382">
        <f>+IF(D11&lt;&gt;"",EDATE(D11,3),"")</f>
        <v>45432</v>
      </c>
    </row>
    <row r="615" spans="2:8" ht="14.45" customHeight="1" x14ac:dyDescent="0.25">
      <c r="B615" s="381"/>
      <c r="C615" s="381"/>
      <c r="D615" s="381"/>
      <c r="E615" s="381"/>
      <c r="G615" s="333"/>
      <c r="H615" s="333"/>
    </row>
  </sheetData>
  <sheetProtection algorithmName="SHA-512" hashValue="zm8QDA8flqubxGOV7XC/mRZiaKu00wDVTzU590IUYKlqw8HU97PTjTSUIK6Mm9QzwEmJAVouO6PvbxDVqark+w==" saltValue="TXzvHwL/HFPeD7sbIhoCbQ=="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zoomScaleNormal="100" workbookViewId="0">
      <selection activeCell="D6" sqref="D6"/>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4"/>
      <c r="B1" s="1"/>
      <c r="C1" s="1"/>
      <c r="D1" s="1"/>
      <c r="E1" s="1"/>
      <c r="F1" s="1"/>
      <c r="G1" s="1"/>
      <c r="H1" s="1"/>
      <c r="I1" s="1"/>
      <c r="J1" s="1"/>
      <c r="K1" s="1"/>
      <c r="L1" s="1"/>
      <c r="M1" s="1"/>
      <c r="N1" s="1"/>
      <c r="O1" s="1"/>
    </row>
    <row r="2" spans="1:16" ht="15" customHeight="1" x14ac:dyDescent="0.25">
      <c r="A2" s="1"/>
      <c r="B2" s="444" t="s">
        <v>536</v>
      </c>
      <c r="C2" s="445"/>
      <c r="D2" s="445"/>
      <c r="E2" s="445"/>
      <c r="F2" s="445"/>
      <c r="G2" s="445"/>
      <c r="H2" s="445"/>
      <c r="I2" s="445"/>
      <c r="J2" s="445"/>
      <c r="K2" s="445"/>
      <c r="L2" s="1"/>
      <c r="M2" s="1"/>
      <c r="N2" s="1"/>
      <c r="O2" s="1"/>
    </row>
    <row r="3" spans="1:16" ht="63.75" customHeight="1" x14ac:dyDescent="0.25">
      <c r="A3" s="1"/>
      <c r="B3" s="445"/>
      <c r="C3" s="445"/>
      <c r="D3" s="445"/>
      <c r="E3" s="445"/>
      <c r="F3" s="445"/>
      <c r="G3" s="445"/>
      <c r="H3" s="445"/>
      <c r="I3" s="445"/>
      <c r="J3" s="445"/>
      <c r="K3" s="445"/>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6" t="s">
        <v>537</v>
      </c>
      <c r="B5" s="446"/>
      <c r="C5" s="446"/>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6" t="s">
        <v>0</v>
      </c>
      <c r="B6" s="446"/>
      <c r="C6" s="446"/>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6" t="s">
        <v>1</v>
      </c>
      <c r="B8" s="446"/>
      <c r="C8" s="4"/>
      <c r="D8" s="1"/>
      <c r="E8" s="446" t="s">
        <v>18</v>
      </c>
      <c r="F8" s="446"/>
      <c r="G8" s="4"/>
      <c r="H8" s="1"/>
      <c r="I8" s="1"/>
      <c r="J8" s="1"/>
      <c r="K8" s="1"/>
      <c r="L8" s="1"/>
      <c r="M8" s="1"/>
      <c r="N8" s="1"/>
      <c r="O8" s="5"/>
    </row>
    <row r="9" spans="1:16" x14ac:dyDescent="0.25">
      <c r="A9" s="446" t="s">
        <v>2</v>
      </c>
      <c r="B9" s="446"/>
      <c r="C9" s="6"/>
      <c r="D9" s="1"/>
      <c r="E9" s="446" t="s">
        <v>19</v>
      </c>
      <c r="F9" s="446"/>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2" t="s">
        <v>3</v>
      </c>
      <c r="B11" s="443"/>
      <c r="C11" s="7"/>
      <c r="D11" s="1"/>
      <c r="E11" s="442" t="s">
        <v>20</v>
      </c>
      <c r="F11" s="443"/>
      <c r="G11" s="8"/>
      <c r="H11" s="1"/>
      <c r="I11" s="1"/>
      <c r="J11" s="1"/>
      <c r="K11" s="1"/>
      <c r="L11" s="1"/>
      <c r="M11" s="1"/>
      <c r="N11" s="1"/>
      <c r="O11" s="1"/>
    </row>
    <row r="12" spans="1:16" x14ac:dyDescent="0.25">
      <c r="A12" s="442" t="s">
        <v>4</v>
      </c>
      <c r="B12" s="443"/>
      <c r="C12" s="8"/>
      <c r="D12" s="1"/>
      <c r="E12" s="446" t="s">
        <v>21</v>
      </c>
      <c r="F12" s="446"/>
      <c r="G12" s="159">
        <v>9</v>
      </c>
      <c r="H12" s="1"/>
      <c r="I12" s="1"/>
      <c r="J12" s="1"/>
      <c r="K12" s="1"/>
      <c r="L12" s="1"/>
      <c r="M12" s="1"/>
      <c r="N12" s="1"/>
      <c r="O12" s="1"/>
    </row>
    <row r="13" spans="1:16" x14ac:dyDescent="0.25">
      <c r="A13" s="1"/>
      <c r="B13" s="1"/>
      <c r="C13" s="1"/>
      <c r="D13" s="1"/>
      <c r="E13" s="446" t="s">
        <v>22</v>
      </c>
      <c r="F13" s="446"/>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2" t="s">
        <v>5</v>
      </c>
      <c r="B15" s="443"/>
      <c r="C15" s="4"/>
      <c r="D15" s="1"/>
      <c r="E15" s="1"/>
      <c r="F15" s="1"/>
      <c r="G15" s="1"/>
      <c r="H15" s="1"/>
      <c r="I15" s="1"/>
      <c r="J15" s="1"/>
      <c r="K15" s="1"/>
      <c r="L15" s="1"/>
      <c r="M15" s="1"/>
      <c r="N15" s="1"/>
      <c r="O15" s="1"/>
    </row>
    <row r="16" spans="1:16" x14ac:dyDescent="0.25">
      <c r="A16" s="442" t="s">
        <v>6</v>
      </c>
      <c r="B16" s="443"/>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538</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7" t="s">
        <v>13</v>
      </c>
      <c r="C39" s="447"/>
      <c r="D39" s="1"/>
      <c r="E39" s="1"/>
      <c r="F39" s="1"/>
      <c r="G39" s="1"/>
      <c r="H39" s="1"/>
      <c r="I39" s="1"/>
      <c r="J39" s="1"/>
      <c r="K39" s="1"/>
      <c r="L39" s="447" t="s">
        <v>30</v>
      </c>
      <c r="M39" s="447"/>
      <c r="N39" s="1"/>
      <c r="O39" s="1"/>
    </row>
    <row r="40" spans="1:16" x14ac:dyDescent="0.25">
      <c r="A40" s="1"/>
      <c r="B40" s="1"/>
      <c r="C40" s="1"/>
      <c r="D40" s="1"/>
      <c r="E40" s="1"/>
      <c r="F40" s="1"/>
      <c r="G40" s="1"/>
      <c r="H40" s="1"/>
      <c r="I40" s="1"/>
      <c r="J40" s="1"/>
      <c r="K40" s="1"/>
      <c r="L40" s="1"/>
      <c r="M40" s="1"/>
      <c r="N40" s="1"/>
      <c r="O40" s="1"/>
    </row>
    <row r="41" spans="1:16" x14ac:dyDescent="0.25">
      <c r="A41" s="446" t="s">
        <v>10</v>
      </c>
      <c r="B41" s="446"/>
      <c r="C41" s="448"/>
      <c r="D41" s="448"/>
      <c r="E41" s="448"/>
      <c r="F41" s="449"/>
      <c r="G41" s="1"/>
      <c r="H41" s="1"/>
      <c r="I41" s="1"/>
      <c r="J41" s="1"/>
      <c r="K41" s="442" t="s">
        <v>26</v>
      </c>
      <c r="L41" s="453"/>
      <c r="M41" s="453"/>
      <c r="N41" s="453"/>
      <c r="O41" s="453"/>
      <c r="P41" s="443"/>
    </row>
    <row r="42" spans="1:16" ht="45" x14ac:dyDescent="0.25">
      <c r="A42" s="446"/>
      <c r="B42" s="446"/>
      <c r="C42" s="3" t="s">
        <v>15</v>
      </c>
      <c r="D42" s="20" t="s">
        <v>17</v>
      </c>
      <c r="E42" s="20" t="s">
        <v>24</v>
      </c>
      <c r="F42" s="20" t="s">
        <v>25</v>
      </c>
      <c r="G42" s="1"/>
      <c r="H42" s="1"/>
      <c r="I42" s="1"/>
      <c r="J42" s="1"/>
      <c r="K42" s="450"/>
      <c r="L42" s="450"/>
      <c r="M42" s="177" t="s">
        <v>32</v>
      </c>
      <c r="N42" s="177" t="s">
        <v>34</v>
      </c>
      <c r="O42" s="177" t="s">
        <v>35</v>
      </c>
      <c r="P42" s="3" t="s">
        <v>15</v>
      </c>
    </row>
    <row r="43" spans="1:16" x14ac:dyDescent="0.25">
      <c r="A43" s="442" t="str">
        <f>CONCATENATE("Sonde ", B24)</f>
        <v xml:space="preserve">Sonde </v>
      </c>
      <c r="B43" s="443"/>
      <c r="C43" s="10"/>
      <c r="D43" s="10"/>
      <c r="E43" s="10"/>
      <c r="F43" s="10"/>
      <c r="G43" s="1"/>
      <c r="H43" s="1"/>
      <c r="I43" s="1"/>
      <c r="J43" s="1"/>
      <c r="K43" s="451" t="s">
        <v>27</v>
      </c>
      <c r="L43" s="452"/>
      <c r="M43" s="10"/>
      <c r="N43" s="10"/>
      <c r="O43" s="10"/>
      <c r="P43" s="10"/>
    </row>
    <row r="44" spans="1:16" x14ac:dyDescent="0.25">
      <c r="A44" s="442" t="str">
        <f t="shared" ref="A44:A52" si="0">"Sonde " &amp; B25</f>
        <v xml:space="preserve">Sonde </v>
      </c>
      <c r="B44" s="443"/>
      <c r="C44" s="10"/>
      <c r="D44" s="10"/>
      <c r="E44" s="10"/>
      <c r="F44" s="10"/>
      <c r="G44" s="1"/>
      <c r="H44" s="1"/>
      <c r="I44" s="1"/>
      <c r="J44" s="1"/>
      <c r="K44" s="1"/>
      <c r="L44" s="1"/>
      <c r="M44" s="1"/>
      <c r="N44" s="1"/>
      <c r="O44" s="1"/>
    </row>
    <row r="45" spans="1:16" x14ac:dyDescent="0.25">
      <c r="A45" s="442" t="str">
        <f t="shared" si="0"/>
        <v xml:space="preserve">Sonde </v>
      </c>
      <c r="B45" s="443"/>
      <c r="C45" s="10"/>
      <c r="D45" s="10"/>
      <c r="E45" s="10"/>
      <c r="F45" s="10"/>
      <c r="G45" s="1"/>
      <c r="H45" s="1"/>
      <c r="I45" s="1"/>
      <c r="J45" s="1"/>
      <c r="K45" s="1"/>
      <c r="L45" s="1"/>
      <c r="M45" s="1"/>
      <c r="N45" s="1"/>
      <c r="O45" s="1"/>
    </row>
    <row r="46" spans="1:16" x14ac:dyDescent="0.25">
      <c r="A46" s="442" t="str">
        <f t="shared" si="0"/>
        <v xml:space="preserve">Sonde </v>
      </c>
      <c r="B46" s="443"/>
      <c r="C46" s="10"/>
      <c r="D46" s="10"/>
      <c r="E46" s="10"/>
      <c r="F46" s="10"/>
      <c r="G46" s="1"/>
      <c r="H46" s="1"/>
      <c r="I46" s="1"/>
      <c r="J46" s="1"/>
      <c r="K46" s="1"/>
      <c r="L46" s="1"/>
      <c r="M46" s="1"/>
      <c r="N46" s="1"/>
      <c r="O46" s="1"/>
    </row>
    <row r="47" spans="1:16" ht="26.25" x14ac:dyDescent="0.25">
      <c r="A47" s="442" t="str">
        <f t="shared" si="0"/>
        <v xml:space="preserve">Sonde </v>
      </c>
      <c r="B47" s="443"/>
      <c r="C47" s="10"/>
      <c r="D47" s="10"/>
      <c r="E47" s="10"/>
      <c r="F47" s="10"/>
      <c r="G47" s="1"/>
      <c r="H47" s="1"/>
      <c r="I47" s="1"/>
      <c r="J47" s="1"/>
      <c r="K47" s="1"/>
      <c r="L47" s="447" t="s">
        <v>31</v>
      </c>
      <c r="M47" s="447"/>
      <c r="N47" s="1"/>
      <c r="O47" s="1"/>
    </row>
    <row r="48" spans="1:16" ht="45" x14ac:dyDescent="0.25">
      <c r="A48" s="442" t="str">
        <f t="shared" si="0"/>
        <v xml:space="preserve">Sonde </v>
      </c>
      <c r="B48" s="443"/>
      <c r="C48" s="10"/>
      <c r="D48" s="10"/>
      <c r="E48" s="10"/>
      <c r="F48" s="10"/>
      <c r="G48" s="1"/>
      <c r="H48" s="1"/>
      <c r="I48" s="1"/>
      <c r="J48" s="1"/>
      <c r="K48" s="1"/>
      <c r="L48" s="1"/>
      <c r="M48" s="21" t="s">
        <v>33</v>
      </c>
      <c r="N48" s="21" t="s">
        <v>15</v>
      </c>
      <c r="O48" s="21" t="s">
        <v>302</v>
      </c>
    </row>
    <row r="49" spans="1:15" x14ac:dyDescent="0.25">
      <c r="A49" s="442" t="str">
        <f t="shared" si="0"/>
        <v xml:space="preserve">Sonde </v>
      </c>
      <c r="B49" s="443"/>
      <c r="C49" s="10"/>
      <c r="D49" s="10"/>
      <c r="E49" s="10"/>
      <c r="F49" s="10"/>
      <c r="G49" s="1"/>
      <c r="H49" s="1"/>
      <c r="I49" s="1"/>
      <c r="J49" s="1"/>
      <c r="K49" s="454" t="s">
        <v>298</v>
      </c>
      <c r="L49" s="454"/>
      <c r="M49" s="10"/>
      <c r="N49" s="10"/>
      <c r="O49" s="10"/>
    </row>
    <row r="50" spans="1:15" x14ac:dyDescent="0.25">
      <c r="A50" s="442" t="str">
        <f t="shared" si="0"/>
        <v xml:space="preserve">Sonde </v>
      </c>
      <c r="B50" s="443"/>
      <c r="C50" s="10"/>
      <c r="D50" s="10"/>
      <c r="E50" s="10"/>
      <c r="F50" s="10"/>
      <c r="G50" s="1"/>
      <c r="H50" s="1"/>
      <c r="I50" s="1"/>
      <c r="J50" s="1"/>
    </row>
    <row r="51" spans="1:15" x14ac:dyDescent="0.25">
      <c r="A51" s="442" t="str">
        <f t="shared" si="0"/>
        <v xml:space="preserve">Sonde </v>
      </c>
      <c r="B51" s="443"/>
      <c r="C51" s="10"/>
      <c r="D51" s="10"/>
      <c r="E51" s="10"/>
      <c r="F51" s="10"/>
      <c r="G51" s="1"/>
      <c r="H51" s="1"/>
      <c r="I51" s="1"/>
      <c r="J51" s="1"/>
    </row>
    <row r="52" spans="1:15" x14ac:dyDescent="0.25">
      <c r="A52" s="442" t="str">
        <f t="shared" si="0"/>
        <v xml:space="preserve">Sonde </v>
      </c>
      <c r="B52" s="443"/>
      <c r="C52" s="10"/>
      <c r="D52" s="10"/>
      <c r="E52" s="10"/>
      <c r="F52" s="10"/>
      <c r="G52" s="1"/>
      <c r="H52" s="1"/>
      <c r="I52" s="1"/>
      <c r="J52" s="1"/>
      <c r="K52" s="1"/>
      <c r="L52" s="1"/>
      <c r="M52" s="1"/>
      <c r="N52" s="1"/>
      <c r="O52" s="1"/>
    </row>
  </sheetData>
  <sheetProtection algorithmName="SHA-512" hashValue="N3qRDYp1tYilcoVYVCIePDJbeTQT1BICAbinHsaW6m4H6By57mUAFVqa7l7K59iw8ezUv5c5sFrg7yRWYs7kcg==" saltValue="1euOrPGd4keoBi7pe96HMw=="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knA/v5OE5I0b0zYSdPA/XQM32rx+kcAIvEoLXpFAb2+O14xsCSnLhUysx0WFAHufpxFh3x9DFHMj3gqNZb92WQ==" saltValue="HuyLpcLQU38Aw2s4WAQpCg=="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43" workbookViewId="0">
      <selection activeCell="P89" sqref="P89"/>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5" t="str">
        <f>Mesures_Ressuage_BCH!B18 &amp; "°C"</f>
        <v>°C</v>
      </c>
      <c r="B1" s="455"/>
      <c r="C1" s="455"/>
      <c r="D1" s="455"/>
      <c r="E1" s="455"/>
      <c r="F1" s="455"/>
      <c r="G1" s="455"/>
      <c r="H1" s="455"/>
      <c r="I1" s="455"/>
      <c r="J1" s="455"/>
      <c r="K1" s="455"/>
      <c r="L1" s="455"/>
      <c r="M1" s="455"/>
      <c r="N1" s="455"/>
      <c r="O1" s="455"/>
      <c r="P1" s="455"/>
      <c r="Q1" s="455"/>
    </row>
    <row r="2" spans="1:17" s="27" customFormat="1" x14ac:dyDescent="0.25">
      <c r="A2" s="455"/>
      <c r="B2" s="455"/>
      <c r="C2" s="455"/>
      <c r="D2" s="455"/>
      <c r="E2" s="455"/>
      <c r="F2" s="455"/>
      <c r="G2" s="455"/>
      <c r="H2" s="455"/>
      <c r="I2" s="455"/>
      <c r="J2" s="455"/>
      <c r="K2" s="455"/>
      <c r="L2" s="455"/>
      <c r="M2" s="455"/>
      <c r="N2" s="455"/>
      <c r="O2" s="455"/>
      <c r="P2" s="455"/>
      <c r="Q2" s="455"/>
    </row>
    <row r="3" spans="1:17" s="27" customFormat="1" x14ac:dyDescent="0.25">
      <c r="A3" s="455"/>
      <c r="B3" s="455"/>
      <c r="C3" s="455"/>
      <c r="D3" s="455"/>
      <c r="E3" s="455"/>
      <c r="F3" s="455"/>
      <c r="G3" s="455"/>
      <c r="H3" s="455"/>
      <c r="I3" s="455"/>
      <c r="J3" s="455"/>
      <c r="K3" s="455"/>
      <c r="L3" s="455"/>
      <c r="M3" s="455"/>
      <c r="N3" s="455"/>
      <c r="O3" s="455"/>
      <c r="P3" s="455"/>
      <c r="Q3" s="455"/>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51" t="s">
        <v>88</v>
      </c>
      <c r="B9" s="351"/>
      <c r="C9" s="351"/>
      <c r="D9" s="351"/>
      <c r="E9" s="351"/>
      <c r="F9" s="351"/>
      <c r="G9" s="351"/>
      <c r="H9" s="351"/>
      <c r="I9" s="351"/>
      <c r="J9" s="351"/>
      <c r="K9" s="351"/>
      <c r="L9" s="351"/>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6"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5" t="e">
        <f ca="1">ABS(MAX(C16:L16)- MIN(C17:L17))</f>
        <v>#REF!</v>
      </c>
      <c r="D20" s="375"/>
      <c r="E20" s="375"/>
      <c r="F20" s="375"/>
      <c r="G20" s="375"/>
      <c r="H20" s="375"/>
      <c r="I20" s="375"/>
      <c r="J20" s="375"/>
      <c r="K20" s="375"/>
      <c r="L20" s="375"/>
      <c r="M20" s="375"/>
      <c r="N20" s="33"/>
    </row>
    <row r="21" spans="2:16" s="27" customFormat="1" x14ac:dyDescent="0.25">
      <c r="B21" s="42" t="s">
        <v>98</v>
      </c>
      <c r="C21" s="375" t="e">
        <f ca="1">AVERAGE(C18:L18)</f>
        <v>#REF!</v>
      </c>
      <c r="D21" s="375"/>
      <c r="E21" s="375"/>
      <c r="F21" s="375"/>
      <c r="G21" s="375"/>
      <c r="H21" s="375"/>
      <c r="I21" s="375"/>
      <c r="J21" s="375"/>
      <c r="K21" s="375"/>
      <c r="L21" s="375"/>
      <c r="M21" s="375"/>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azSZaZra7m6cTx/0rRhyRxJFGx8/SMkczx8+HRkg5m4KCGvFFTzoL6kJw6X9r475/Cu9TFRHsoe7heXGsooV0Q==" saltValue="z/hwtU6yA7lwVQd6w2ff/A=="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48" zoomScale="70" zoomScaleNormal="60" zoomScaleSheetLayoutView="77" zoomScalePageLayoutView="70" workbookViewId="0">
      <selection activeCell="E56" sqref="E56:H56"/>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312</v>
      </c>
      <c r="C5" s="87"/>
      <c r="D5" s="87"/>
      <c r="E5" s="87"/>
      <c r="F5" s="87"/>
      <c r="G5" s="87"/>
      <c r="H5" s="87"/>
      <c r="I5" s="88"/>
    </row>
    <row r="10" spans="2:9" ht="21" x14ac:dyDescent="0.25">
      <c r="C10" s="437" t="s">
        <v>138</v>
      </c>
      <c r="D10" s="437"/>
      <c r="E10" s="458">
        <f>Mesures_Ressuage_BCH!D6</f>
        <v>0</v>
      </c>
      <c r="F10" s="458"/>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59" t="s">
        <v>146</v>
      </c>
      <c r="B28" s="459"/>
    </row>
    <row r="30" spans="1:9" x14ac:dyDescent="0.25">
      <c r="A30" s="435" t="s">
        <v>539</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0" t="s">
        <v>148</v>
      </c>
      <c r="D51" s="460"/>
      <c r="E51" s="460"/>
      <c r="F51" s="460"/>
    </row>
    <row r="52" spans="2:8" ht="20.25" customHeight="1" x14ac:dyDescent="0.25">
      <c r="B52" s="104"/>
    </row>
    <row r="53" spans="2:8" ht="23.25" x14ac:dyDescent="0.25">
      <c r="B53" s="105" t="s">
        <v>149</v>
      </c>
    </row>
    <row r="55" spans="2:8" ht="21" x14ac:dyDescent="0.25">
      <c r="B55" s="106" t="s">
        <v>313</v>
      </c>
      <c r="E55" s="457" t="s">
        <v>540</v>
      </c>
      <c r="F55" s="457"/>
      <c r="G55" s="457"/>
      <c r="H55" s="107"/>
    </row>
    <row r="56" spans="2:8" ht="21" customHeight="1" x14ac:dyDescent="0.25">
      <c r="B56" s="106" t="s">
        <v>314</v>
      </c>
      <c r="E56" s="457" t="str">
        <f>"Températures (mini et maxi) d’utilisation : " &amp; Mesures_Ressuage_BCH!B21 &amp; "°C à ambiante"</f>
        <v>Températures (mini et maxi) d’utilisation : °C à ambiante</v>
      </c>
      <c r="F56" s="457"/>
      <c r="G56" s="457"/>
      <c r="H56" s="457"/>
    </row>
    <row r="57" spans="2:8" ht="21" x14ac:dyDescent="0.25">
      <c r="B57" s="106" t="s">
        <v>315</v>
      </c>
      <c r="E57" s="457" t="s">
        <v>155</v>
      </c>
      <c r="F57" s="457"/>
      <c r="G57" s="107"/>
      <c r="H57" s="107"/>
    </row>
    <row r="59" spans="2:8" ht="23.25" x14ac:dyDescent="0.25">
      <c r="B59" s="105" t="s">
        <v>156</v>
      </c>
    </row>
    <row r="61" spans="2:8" ht="21" x14ac:dyDescent="0.25">
      <c r="B61" s="109" t="s">
        <v>541</v>
      </c>
      <c r="C61" s="109"/>
      <c r="D61" s="109"/>
      <c r="E61" s="457"/>
      <c r="F61" s="457"/>
      <c r="G61" s="457"/>
    </row>
    <row r="62" spans="2:8" ht="21" x14ac:dyDescent="0.25">
      <c r="B62" s="457"/>
      <c r="C62" s="457"/>
      <c r="D62" s="457"/>
    </row>
    <row r="64" spans="2:8" ht="21" x14ac:dyDescent="0.25">
      <c r="B64" s="106" t="s">
        <v>160</v>
      </c>
    </row>
    <row r="66" spans="1:10" ht="21" x14ac:dyDescent="0.25">
      <c r="B66" s="457" t="s">
        <v>319</v>
      </c>
      <c r="C66" s="457"/>
      <c r="D66" s="457"/>
      <c r="E66" s="457" t="s">
        <v>542</v>
      </c>
      <c r="F66" s="457"/>
      <c r="G66" s="457"/>
      <c r="H66" s="457"/>
      <c r="I66" s="457"/>
    </row>
    <row r="67" spans="1:10" ht="21" x14ac:dyDescent="0.25">
      <c r="B67" s="457"/>
      <c r="C67" s="457"/>
      <c r="D67" s="457"/>
      <c r="E67" s="457" t="s">
        <v>543</v>
      </c>
      <c r="F67" s="457"/>
      <c r="G67" s="457"/>
      <c r="H67" s="457"/>
      <c r="I67" s="457"/>
    </row>
    <row r="68" spans="1:10" ht="21" x14ac:dyDescent="0.25">
      <c r="B68" s="457"/>
      <c r="C68" s="457"/>
      <c r="D68" s="457"/>
      <c r="E68" s="457" t="s">
        <v>544</v>
      </c>
      <c r="F68" s="457"/>
      <c r="G68" s="457"/>
      <c r="H68" s="457"/>
      <c r="I68" s="457"/>
    </row>
    <row r="69" spans="1:10" ht="21" x14ac:dyDescent="0.25">
      <c r="B69" s="457"/>
      <c r="C69" s="457"/>
      <c r="D69" s="457"/>
      <c r="E69" s="457" t="s">
        <v>545</v>
      </c>
      <c r="F69" s="457"/>
      <c r="G69" s="457"/>
      <c r="H69" s="457"/>
      <c r="I69" s="107"/>
    </row>
    <row r="72" spans="1:10" ht="21" customHeight="1" x14ac:dyDescent="0.25">
      <c r="A72" s="461" t="s">
        <v>546</v>
      </c>
      <c r="B72" s="461"/>
      <c r="C72" s="461"/>
      <c r="D72" s="461"/>
      <c r="E72" s="461"/>
      <c r="F72" s="461"/>
      <c r="G72" s="461"/>
      <c r="H72" s="461"/>
      <c r="I72" s="461"/>
      <c r="J72" s="461"/>
    </row>
    <row r="73" spans="1:10" ht="21" customHeight="1" x14ac:dyDescent="0.25">
      <c r="A73" s="461"/>
      <c r="B73" s="461"/>
      <c r="C73" s="461"/>
      <c r="D73" s="461"/>
      <c r="E73" s="461"/>
      <c r="F73" s="461"/>
      <c r="G73" s="461"/>
      <c r="H73" s="461"/>
      <c r="I73" s="461"/>
      <c r="J73" s="461"/>
    </row>
    <row r="74" spans="1:10" ht="15" customHeight="1" x14ac:dyDescent="0.25">
      <c r="A74" s="461"/>
      <c r="B74" s="461"/>
      <c r="C74" s="461"/>
      <c r="D74" s="461"/>
      <c r="E74" s="461"/>
      <c r="F74" s="461"/>
      <c r="G74" s="461"/>
      <c r="H74" s="461"/>
      <c r="I74" s="461"/>
      <c r="J74" s="461"/>
    </row>
    <row r="75" spans="1:10" ht="15" customHeight="1" x14ac:dyDescent="0.25">
      <c r="A75" s="461"/>
      <c r="B75" s="461"/>
      <c r="C75" s="461"/>
      <c r="D75" s="461"/>
      <c r="E75" s="461"/>
      <c r="F75" s="461"/>
      <c r="G75" s="461"/>
      <c r="H75" s="461"/>
      <c r="I75" s="461"/>
      <c r="J75" s="461"/>
    </row>
    <row r="76" spans="1:10" x14ac:dyDescent="0.25">
      <c r="A76" s="461"/>
      <c r="B76" s="461"/>
      <c r="C76" s="461"/>
      <c r="D76" s="461"/>
      <c r="E76" s="461"/>
      <c r="F76" s="461"/>
      <c r="G76" s="461"/>
      <c r="H76" s="461"/>
      <c r="I76" s="461"/>
      <c r="J76" s="461"/>
    </row>
    <row r="77" spans="1:10" x14ac:dyDescent="0.25">
      <c r="A77" s="461"/>
      <c r="B77" s="461"/>
      <c r="C77" s="461"/>
      <c r="D77" s="461"/>
      <c r="E77" s="461"/>
      <c r="F77" s="461"/>
      <c r="G77" s="461"/>
      <c r="H77" s="461"/>
      <c r="I77" s="461"/>
      <c r="J77" s="461"/>
    </row>
    <row r="78" spans="1:10" x14ac:dyDescent="0.25">
      <c r="A78" s="461"/>
      <c r="B78" s="461"/>
      <c r="C78" s="461"/>
      <c r="D78" s="461"/>
      <c r="E78" s="461"/>
      <c r="F78" s="461"/>
      <c r="G78" s="461"/>
      <c r="H78" s="461"/>
      <c r="I78" s="461"/>
      <c r="J78" s="461"/>
    </row>
    <row r="79" spans="1:10" x14ac:dyDescent="0.25">
      <c r="A79" s="461"/>
      <c r="B79" s="461"/>
      <c r="C79" s="461"/>
      <c r="D79" s="461"/>
      <c r="E79" s="461"/>
      <c r="F79" s="461"/>
      <c r="G79" s="461"/>
      <c r="H79" s="461"/>
      <c r="I79" s="461"/>
      <c r="J79" s="461"/>
    </row>
    <row r="80" spans="1:10" x14ac:dyDescent="0.25">
      <c r="A80" s="461"/>
      <c r="B80" s="461"/>
      <c r="C80" s="461"/>
      <c r="D80" s="461"/>
      <c r="E80" s="461"/>
      <c r="F80" s="461"/>
      <c r="G80" s="461"/>
      <c r="H80" s="461"/>
      <c r="I80" s="461"/>
      <c r="J80" s="461"/>
    </row>
    <row r="81" spans="1:10" x14ac:dyDescent="0.25">
      <c r="A81" s="461"/>
      <c r="B81" s="461"/>
      <c r="C81" s="461"/>
      <c r="D81" s="461"/>
      <c r="E81" s="461"/>
      <c r="F81" s="461"/>
      <c r="G81" s="461"/>
      <c r="H81" s="461"/>
      <c r="I81" s="461"/>
      <c r="J81" s="461"/>
    </row>
    <row r="85" spans="1:10" ht="36" x14ac:dyDescent="0.25">
      <c r="C85" s="460" t="s">
        <v>170</v>
      </c>
      <c r="D85" s="460"/>
      <c r="E85" s="460"/>
      <c r="F85" s="460"/>
      <c r="G85" s="460"/>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2" t="s">
        <v>10</v>
      </c>
      <c r="D94" s="462"/>
      <c r="E94" s="462"/>
      <c r="F94" s="462"/>
      <c r="G94" s="462"/>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3" t="s">
        <v>176</v>
      </c>
      <c r="C116" s="463"/>
      <c r="D116" s="463"/>
      <c r="E116" s="463"/>
      <c r="F116" s="463"/>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0" t="s">
        <v>188</v>
      </c>
      <c r="D127" s="460"/>
      <c r="E127" s="460"/>
      <c r="F127" s="460"/>
    </row>
    <row r="128" spans="1:9" ht="36" x14ac:dyDescent="0.25">
      <c r="B128" s="103"/>
      <c r="C128" s="103"/>
      <c r="D128" s="103"/>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0" t="s">
        <v>316</v>
      </c>
      <c r="D163" s="460"/>
      <c r="E163" s="460"/>
      <c r="F163" s="460"/>
      <c r="G163" s="460"/>
      <c r="H163" s="460"/>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0" t="str">
        <f>"6. Résultats et exploitation des résultats à " &amp; Mesures_Ressuage_BCH!$B$18 &amp; "°C"</f>
        <v>6. Résultats et exploitation des résultats à °C</v>
      </c>
      <c r="D196" s="460"/>
      <c r="E196" s="460"/>
      <c r="F196" s="460"/>
      <c r="G196" s="460"/>
      <c r="H196" s="460"/>
    </row>
    <row r="199" spans="1:9" x14ac:dyDescent="0.25">
      <c r="A199" s="128" t="str" cm="1">
        <f t="array" ref="A199:B199">Mesures_Ressuage_BCH!A18:B18</f>
        <v>Consignes</v>
      </c>
      <c r="B199" s="129">
        <v>0</v>
      </c>
    </row>
    <row r="200" spans="1:9" x14ac:dyDescent="0.25">
      <c r="G200" s="464" t="s">
        <v>190</v>
      </c>
      <c r="H200" s="465"/>
      <c r="I200" s="466"/>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7" t="s">
        <v>194</v>
      </c>
      <c r="C205" s="467"/>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8"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8"/>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8"/>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8"/>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0" t="str">
        <f>"7. Résultats et exploitation des résultats à " &amp; Mesures_Ressuage_BCH!$B$18 &amp; "°C"</f>
        <v>7. Résultats et exploitation des résultats à °C</v>
      </c>
      <c r="C226" s="460"/>
      <c r="D226" s="460"/>
      <c r="E226" s="460"/>
      <c r="F226" s="460"/>
    </row>
    <row r="229" spans="2:9" x14ac:dyDescent="0.25">
      <c r="B229" s="351" t="s">
        <v>207</v>
      </c>
      <c r="C229" s="351"/>
    </row>
    <row r="232" spans="2:9" x14ac:dyDescent="0.25">
      <c r="C232" s="27"/>
      <c r="D232" s="27"/>
      <c r="E232" s="27"/>
      <c r="F232" s="470" t="s">
        <v>190</v>
      </c>
      <c r="G232" s="472"/>
      <c r="H232" s="472"/>
      <c r="I232" s="471"/>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59" t="s">
        <v>214</v>
      </c>
      <c r="H293" s="459"/>
    </row>
    <row r="297" spans="2:8" ht="23.25" customHeight="1" x14ac:dyDescent="0.25">
      <c r="B297" s="473" t="s">
        <v>547</v>
      </c>
      <c r="C297" s="473"/>
      <c r="D297" s="473"/>
      <c r="E297" s="473"/>
      <c r="F297" s="137" t="e">
        <f ca="1">IF(OR(AVERAGE(Ressuage_BCH!C16:L16)&gt;Ressuage_BCH!M16,AVERAGE(Ressuage_BCH!C17:L17)&lt;Ressuage_BCH!M17),"NON CONFORME","CONFORME")</f>
        <v>#REF!</v>
      </c>
      <c r="G297" s="138"/>
    </row>
    <row r="298" spans="2:8" ht="23.25" customHeight="1" x14ac:dyDescent="0.25">
      <c r="B298" s="473"/>
      <c r="C298" s="473"/>
      <c r="D298" s="473"/>
      <c r="E298" s="473"/>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69" t="s">
        <v>216</v>
      </c>
      <c r="D304" s="469"/>
      <c r="E304" s="141">
        <f>Mesures_Ressuage_BCH!$B$18</f>
        <v>0</v>
      </c>
    </row>
    <row r="305" spans="3:5" x14ac:dyDescent="0.25">
      <c r="C305" s="469" t="s">
        <v>217</v>
      </c>
      <c r="D305" s="469"/>
      <c r="E305" s="133" t="e">
        <f ca="1">Ressuage_BCH!C20</f>
        <v>#REF!</v>
      </c>
    </row>
    <row r="306" spans="3:5" x14ac:dyDescent="0.25">
      <c r="C306" s="469" t="s">
        <v>218</v>
      </c>
      <c r="D306" s="469"/>
      <c r="E306" s="38" t="str">
        <f>"±" &amp; Mesures_Ressuage_BCH!$B$21</f>
        <v>±</v>
      </c>
    </row>
    <row r="307" spans="3:5" x14ac:dyDescent="0.25">
      <c r="C307" s="470" t="s">
        <v>317</v>
      </c>
      <c r="D307" s="471"/>
      <c r="E307" s="38" t="e">
        <f ca="1">IF(MIN(Ressuage_BCH!$C$17:$L$17)&lt;Ressuage_BCH!$M$17,"NON CONFORME","CONFORME")</f>
        <v>#REF!</v>
      </c>
    </row>
    <row r="308" spans="3:5" x14ac:dyDescent="0.25">
      <c r="C308" s="470" t="s">
        <v>318</v>
      </c>
      <c r="D308" s="471"/>
      <c r="E308" s="38" t="e">
        <f ca="1">IF(MAX(Ressuage_BCH!$C$16:$L$16)&lt;Ressuage_BCH!$M$17,"NON CONFORME","CONFORME")</f>
        <v>#REF!</v>
      </c>
    </row>
    <row r="309" spans="3:5" x14ac:dyDescent="0.25">
      <c r="C309" s="470" t="s">
        <v>241</v>
      </c>
      <c r="D309" s="471"/>
      <c r="E309" s="38" t="e">
        <f ca="1">IF(F297="CONFORME","OUI","NON")</f>
        <v>#REF!</v>
      </c>
    </row>
  </sheetData>
  <sheetProtection algorithmName="SHA-512" hashValue="fsV0RjhqOc7tJpLtY8fKY9uxNRtESV/eG6nN2EBKDQVs2JQaTcQUiQr1vru6YHBKXXnU8nleHKLrOG2GpsMbMg==" saltValue="8w1lv84O+V+S3KHhLBsdsA=="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16"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6" t="s">
        <v>287</v>
      </c>
      <c r="C1" s="476"/>
      <c r="D1" s="476"/>
      <c r="E1" s="476"/>
      <c r="F1" s="476"/>
      <c r="G1" s="476"/>
      <c r="H1" s="476"/>
      <c r="I1" s="476"/>
      <c r="J1" s="51"/>
      <c r="K1" s="51"/>
      <c r="L1" s="51"/>
      <c r="M1" s="51"/>
    </row>
    <row r="2" spans="1:13" x14ac:dyDescent="0.25">
      <c r="L2" s="51"/>
      <c r="M2" s="51"/>
    </row>
    <row r="3" spans="1:13" x14ac:dyDescent="0.25">
      <c r="A3" s="477" t="s">
        <v>101</v>
      </c>
      <c r="B3" s="477"/>
      <c r="C3" s="477"/>
      <c r="D3" s="477"/>
      <c r="E3" s="477"/>
      <c r="F3" s="477"/>
      <c r="G3" s="477"/>
      <c r="H3" s="477"/>
      <c r="I3" s="477"/>
    </row>
    <row r="4" spans="1:13" x14ac:dyDescent="0.25">
      <c r="A4" t="s">
        <v>288</v>
      </c>
      <c r="B4" s="52"/>
      <c r="C4" s="52"/>
      <c r="D4" s="52"/>
      <c r="E4" s="52"/>
      <c r="F4" s="52"/>
      <c r="G4" s="52"/>
      <c r="H4" s="52"/>
      <c r="I4" s="52"/>
    </row>
    <row r="5" spans="1:13" x14ac:dyDescent="0.25">
      <c r="A5" t="s">
        <v>289</v>
      </c>
      <c r="B5" s="52"/>
      <c r="C5" s="52"/>
      <c r="D5" s="52"/>
      <c r="E5" s="52"/>
      <c r="F5" s="52"/>
      <c r="G5" s="52"/>
      <c r="H5" s="52"/>
      <c r="I5" s="52"/>
    </row>
    <row r="6" spans="1:13" x14ac:dyDescent="0.25">
      <c r="A6" t="s">
        <v>290</v>
      </c>
      <c r="B6" s="52"/>
      <c r="C6" s="52"/>
      <c r="D6" s="52"/>
      <c r="E6" s="52"/>
      <c r="F6" s="52"/>
      <c r="G6" s="52"/>
      <c r="H6" s="52"/>
      <c r="I6" s="52"/>
    </row>
    <row r="8" spans="1:13" x14ac:dyDescent="0.25">
      <c r="A8" s="478" t="s">
        <v>105</v>
      </c>
      <c r="B8" s="478"/>
      <c r="C8" s="478"/>
      <c r="D8" s="478"/>
      <c r="E8" s="478"/>
      <c r="F8" s="478"/>
      <c r="G8" s="478"/>
      <c r="H8" s="478"/>
      <c r="I8" s="478"/>
    </row>
    <row r="9" spans="1:13" x14ac:dyDescent="0.25">
      <c r="A9" s="52"/>
    </row>
    <row r="10" spans="1:13" x14ac:dyDescent="0.25">
      <c r="A10" s="52" t="s">
        <v>291</v>
      </c>
    </row>
    <row r="12" spans="1:13" x14ac:dyDescent="0.25">
      <c r="B12" s="179" t="s">
        <v>195</v>
      </c>
      <c r="C12" s="179" t="s">
        <v>293</v>
      </c>
    </row>
    <row r="13" spans="1:13" x14ac:dyDescent="0.25">
      <c r="B13" s="180" t="s">
        <v>292</v>
      </c>
      <c r="C13" s="180">
        <f>Mesures_Ressuage_BCH!P43</f>
        <v>0</v>
      </c>
      <c r="E13" s="49" t="s">
        <v>299</v>
      </c>
      <c r="H13" s="180" t="e">
        <f>AVERAGE(Mesures_Ressuage_BCH!D24:D33)</f>
        <v>#DIV/0!</v>
      </c>
    </row>
    <row r="14" spans="1:13" x14ac:dyDescent="0.25">
      <c r="B14" s="180" t="str">
        <f>"Sonde TUS N°" &amp; Mesures_Ressuage_BCH!B33</f>
        <v>Sonde TUS N°</v>
      </c>
      <c r="C14" s="180">
        <f>Mesures_Ressuage_BCH!C52</f>
        <v>0</v>
      </c>
      <c r="E14" s="49" t="s">
        <v>300</v>
      </c>
      <c r="H14" s="180">
        <f>Mesures_Ressuage_BCH!E33</f>
        <v>0</v>
      </c>
    </row>
    <row r="16" spans="1:13" x14ac:dyDescent="0.25">
      <c r="A16" s="49" t="s">
        <v>294</v>
      </c>
    </row>
    <row r="18" spans="1:9" x14ac:dyDescent="0.25">
      <c r="B18" s="179" t="s">
        <v>295</v>
      </c>
      <c r="C18" s="179" t="s">
        <v>296</v>
      </c>
    </row>
    <row r="19" spans="1:9" x14ac:dyDescent="0.25">
      <c r="B19" s="180" t="s">
        <v>297</v>
      </c>
      <c r="C19" s="180">
        <f>Mesures_Ressuage_BCH!N49</f>
        <v>0</v>
      </c>
      <c r="E19" s="27" t="s">
        <v>301</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4" t="s">
        <v>303</v>
      </c>
      <c r="B26" s="475"/>
      <c r="C26" s="475"/>
      <c r="D26" s="475"/>
      <c r="E26" s="475"/>
      <c r="F26" s="475"/>
      <c r="G26" s="475"/>
      <c r="H26" s="475"/>
      <c r="I26" s="181" t="s">
        <v>309</v>
      </c>
    </row>
    <row r="27" spans="1:9" ht="47.25" x14ac:dyDescent="0.25">
      <c r="A27" s="182" t="s">
        <v>36</v>
      </c>
      <c r="B27" s="179" t="s">
        <v>304</v>
      </c>
      <c r="C27" s="179" t="s">
        <v>305</v>
      </c>
      <c r="D27" s="179" t="s">
        <v>306</v>
      </c>
      <c r="E27" s="69" t="s">
        <v>307</v>
      </c>
      <c r="F27" s="179" t="s">
        <v>308</v>
      </c>
      <c r="G27" s="69" t="s">
        <v>310</v>
      </c>
      <c r="H27" s="179" t="s">
        <v>311</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LrbiZfZ1Y2LxdwNosJChFcheTjaKgNQ/EQ+baRN6WTr/XtJ06+ZBt0UZZuLuLE9g9T8OXNUxZNO4bQ6bsQpGOg==" saltValue="u555OZ/FSxRid73zbM+Eiw=="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4"/>
      <c r="B1" s="1"/>
      <c r="C1" s="1"/>
      <c r="D1" s="1"/>
      <c r="E1" s="1"/>
      <c r="F1" s="1"/>
      <c r="G1" s="1"/>
      <c r="H1" s="1"/>
      <c r="I1" s="1"/>
      <c r="J1" s="1"/>
      <c r="K1" s="1"/>
      <c r="L1" s="1"/>
      <c r="M1" s="1"/>
      <c r="N1" s="1"/>
      <c r="O1" s="1"/>
    </row>
    <row r="2" spans="1:16" ht="15" customHeight="1" x14ac:dyDescent="0.25">
      <c r="A2" s="1"/>
      <c r="B2" s="444" t="s">
        <v>11</v>
      </c>
      <c r="C2" s="445"/>
      <c r="D2" s="445"/>
      <c r="E2" s="445"/>
      <c r="F2" s="445"/>
      <c r="G2" s="445"/>
      <c r="H2" s="445"/>
      <c r="I2" s="445"/>
      <c r="J2" s="445"/>
      <c r="K2" s="445"/>
      <c r="L2" s="1"/>
      <c r="M2" s="1"/>
      <c r="N2" s="1"/>
      <c r="O2" s="1"/>
    </row>
    <row r="3" spans="1:16" ht="67.5" customHeight="1" x14ac:dyDescent="0.25">
      <c r="A3" s="1"/>
      <c r="B3" s="445"/>
      <c r="C3" s="445"/>
      <c r="D3" s="445"/>
      <c r="E3" s="445"/>
      <c r="F3" s="445"/>
      <c r="G3" s="445"/>
      <c r="H3" s="445"/>
      <c r="I3" s="445"/>
      <c r="J3" s="445"/>
      <c r="K3" s="445"/>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6" t="s">
        <v>537</v>
      </c>
      <c r="B5" s="446"/>
      <c r="C5" s="446"/>
      <c r="D5" s="162" t="str">
        <f>Choose_TUS!L2 &amp; "(PV/SAT du Congélateur)"</f>
        <v>IMP 472 ind O du 07-02-2024 (PV/SAT du Congélateur)</v>
      </c>
      <c r="E5" s="2"/>
      <c r="F5" s="2"/>
      <c r="G5" s="2"/>
      <c r="H5" s="2"/>
      <c r="I5" s="2"/>
      <c r="J5" s="2"/>
      <c r="K5" s="2"/>
      <c r="L5" s="1"/>
      <c r="M5" s="1"/>
      <c r="N5" s="1"/>
      <c r="O5" s="1"/>
    </row>
    <row r="6" spans="1:16" x14ac:dyDescent="0.25">
      <c r="A6" s="446" t="s">
        <v>0</v>
      </c>
      <c r="B6" s="446"/>
      <c r="C6" s="446"/>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6" t="s">
        <v>1</v>
      </c>
      <c r="B8" s="446"/>
      <c r="C8" s="4"/>
      <c r="D8" s="1"/>
      <c r="E8" s="446" t="s">
        <v>18</v>
      </c>
      <c r="F8" s="446"/>
      <c r="G8" s="4"/>
      <c r="H8" s="1"/>
      <c r="I8" s="1"/>
      <c r="J8" s="1"/>
      <c r="K8" s="1"/>
      <c r="L8" s="1"/>
      <c r="M8" s="1"/>
      <c r="N8" s="1"/>
      <c r="O8" s="5"/>
    </row>
    <row r="9" spans="1:16" x14ac:dyDescent="0.25">
      <c r="A9" s="446" t="s">
        <v>2</v>
      </c>
      <c r="B9" s="446"/>
      <c r="C9" s="6"/>
      <c r="D9" s="1"/>
      <c r="E9" s="446" t="s">
        <v>19</v>
      </c>
      <c r="F9" s="446"/>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2" t="s">
        <v>3</v>
      </c>
      <c r="B11" s="443"/>
      <c r="C11" s="7"/>
      <c r="D11" s="1"/>
      <c r="E11" s="442" t="s">
        <v>20</v>
      </c>
      <c r="F11" s="443"/>
      <c r="G11" s="8"/>
      <c r="H11" s="1"/>
      <c r="I11" s="1"/>
      <c r="J11" s="1"/>
      <c r="K11" s="1"/>
      <c r="L11" s="1"/>
      <c r="M11" s="1"/>
      <c r="N11" s="1"/>
      <c r="O11" s="1"/>
    </row>
    <row r="12" spans="1:16" x14ac:dyDescent="0.25">
      <c r="A12" s="442" t="s">
        <v>4</v>
      </c>
      <c r="B12" s="443"/>
      <c r="C12" s="8"/>
      <c r="D12" s="1"/>
      <c r="E12" s="446" t="s">
        <v>21</v>
      </c>
      <c r="F12" s="446"/>
      <c r="G12" s="159">
        <v>9</v>
      </c>
      <c r="H12" s="1"/>
      <c r="I12" s="1"/>
      <c r="J12" s="1"/>
      <c r="K12" s="1"/>
      <c r="L12" s="1"/>
      <c r="M12" s="1"/>
      <c r="N12" s="1"/>
      <c r="O12" s="1"/>
    </row>
    <row r="13" spans="1:16" x14ac:dyDescent="0.25">
      <c r="A13" s="1"/>
      <c r="B13" s="1"/>
      <c r="C13" s="1"/>
      <c r="D13" s="1"/>
      <c r="E13" s="446" t="s">
        <v>22</v>
      </c>
      <c r="F13" s="446"/>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2" t="s">
        <v>5</v>
      </c>
      <c r="B15" s="443"/>
      <c r="C15" s="4"/>
      <c r="D15" s="1"/>
      <c r="E15" s="1"/>
      <c r="F15" s="1"/>
      <c r="G15" s="1"/>
      <c r="H15" s="1"/>
      <c r="I15" s="1"/>
      <c r="J15" s="1"/>
      <c r="K15" s="1"/>
      <c r="L15" s="1"/>
      <c r="M15" s="1"/>
      <c r="N15" s="1"/>
      <c r="O15" s="1"/>
    </row>
    <row r="16" spans="1:16" x14ac:dyDescent="0.25">
      <c r="A16" s="442" t="s">
        <v>6</v>
      </c>
      <c r="B16" s="443"/>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548</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550</v>
      </c>
      <c r="C20" s="3" t="s">
        <v>31</v>
      </c>
      <c r="D20" s="1"/>
      <c r="E20" s="1"/>
      <c r="F20" s="1"/>
      <c r="G20" s="1"/>
      <c r="H20" s="1"/>
      <c r="I20" s="1"/>
      <c r="J20" s="1"/>
      <c r="K20" s="1"/>
      <c r="L20" s="1"/>
      <c r="M20" s="1"/>
      <c r="N20" s="1"/>
      <c r="O20" s="1"/>
    </row>
    <row r="21" spans="1:15" x14ac:dyDescent="0.25">
      <c r="A21" s="3" t="s">
        <v>549</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7" t="s">
        <v>13</v>
      </c>
      <c r="C39" s="447"/>
      <c r="D39" s="1"/>
      <c r="E39" s="1"/>
      <c r="F39" s="1"/>
      <c r="G39" s="1"/>
      <c r="H39" s="1"/>
      <c r="I39" s="1"/>
      <c r="J39" s="1"/>
      <c r="K39" s="1"/>
      <c r="L39" s="447" t="s">
        <v>30</v>
      </c>
      <c r="M39" s="447"/>
      <c r="N39" s="1"/>
      <c r="O39" s="1"/>
    </row>
    <row r="40" spans="1:15" x14ac:dyDescent="0.25">
      <c r="A40" s="1"/>
      <c r="B40" s="1"/>
      <c r="C40" s="1"/>
      <c r="D40" s="1"/>
      <c r="E40" s="1"/>
      <c r="F40" s="1"/>
      <c r="G40" s="1"/>
      <c r="H40" s="1"/>
      <c r="I40" s="1"/>
      <c r="J40" s="1"/>
      <c r="K40" s="1"/>
      <c r="L40" s="1"/>
      <c r="M40" s="1"/>
      <c r="N40" s="1"/>
      <c r="O40" s="1"/>
    </row>
    <row r="41" spans="1:15" x14ac:dyDescent="0.25">
      <c r="A41" s="446" t="s">
        <v>10</v>
      </c>
      <c r="B41" s="446"/>
      <c r="C41" s="448"/>
      <c r="D41" s="448"/>
      <c r="E41" s="448"/>
      <c r="F41" s="449"/>
      <c r="G41" s="1"/>
      <c r="H41" s="1"/>
      <c r="I41" s="1"/>
      <c r="J41" s="1"/>
      <c r="K41" s="446" t="s">
        <v>26</v>
      </c>
      <c r="L41" s="446"/>
      <c r="M41" s="446"/>
      <c r="N41" s="446"/>
      <c r="O41" s="446"/>
    </row>
    <row r="42" spans="1:15" ht="45" x14ac:dyDescent="0.25">
      <c r="A42" s="446"/>
      <c r="B42" s="446"/>
      <c r="C42" s="3" t="s">
        <v>15</v>
      </c>
      <c r="D42" s="20" t="s">
        <v>17</v>
      </c>
      <c r="E42" s="20" t="s">
        <v>24</v>
      </c>
      <c r="F42" s="20" t="s">
        <v>25</v>
      </c>
      <c r="G42" s="1"/>
      <c r="H42" s="1"/>
      <c r="I42" s="1"/>
      <c r="J42" s="1"/>
      <c r="K42" s="450"/>
      <c r="L42" s="450"/>
      <c r="M42" s="3" t="s">
        <v>32</v>
      </c>
      <c r="N42" s="3" t="s">
        <v>34</v>
      </c>
      <c r="O42" s="3" t="s">
        <v>35</v>
      </c>
    </row>
    <row r="43" spans="1:15" x14ac:dyDescent="0.25">
      <c r="A43" s="442" t="str">
        <f>CONCATENATE("Sonde ", B24)</f>
        <v xml:space="preserve">Sonde </v>
      </c>
      <c r="B43" s="443"/>
      <c r="C43" s="10"/>
      <c r="D43" s="10"/>
      <c r="E43" s="10"/>
      <c r="F43" s="10"/>
      <c r="G43" s="1"/>
      <c r="H43" s="1"/>
      <c r="I43" s="1"/>
      <c r="J43" s="1"/>
      <c r="K43" s="451" t="s">
        <v>27</v>
      </c>
      <c r="L43" s="452"/>
      <c r="M43" s="10"/>
      <c r="N43" s="10"/>
      <c r="O43" s="10"/>
    </row>
    <row r="44" spans="1:15" x14ac:dyDescent="0.25">
      <c r="A44" s="442" t="str">
        <f t="shared" ref="A44:A54" si="0">"Sonde " &amp; B25</f>
        <v xml:space="preserve">Sonde </v>
      </c>
      <c r="B44" s="443"/>
      <c r="C44" s="10"/>
      <c r="D44" s="10"/>
      <c r="E44" s="10"/>
      <c r="F44" s="10"/>
      <c r="G44" s="1"/>
      <c r="H44" s="1"/>
      <c r="I44" s="1"/>
      <c r="J44" s="1"/>
      <c r="K44" s="1"/>
      <c r="L44" s="1"/>
      <c r="M44" s="1"/>
      <c r="N44" s="1"/>
      <c r="O44" s="1"/>
    </row>
    <row r="45" spans="1:15" x14ac:dyDescent="0.25">
      <c r="A45" s="442" t="str">
        <f>"Sonde " &amp; B26</f>
        <v xml:space="preserve">Sonde </v>
      </c>
      <c r="B45" s="443"/>
      <c r="C45" s="10"/>
      <c r="D45" s="10"/>
      <c r="E45" s="10"/>
      <c r="F45" s="10"/>
      <c r="G45" s="1"/>
      <c r="H45" s="1"/>
      <c r="I45" s="1"/>
      <c r="J45" s="1"/>
      <c r="K45" s="1"/>
      <c r="L45" s="1"/>
      <c r="M45" s="1"/>
      <c r="N45" s="1"/>
      <c r="O45" s="1"/>
    </row>
    <row r="46" spans="1:15" x14ac:dyDescent="0.25">
      <c r="A46" s="442" t="str">
        <f t="shared" si="0"/>
        <v xml:space="preserve">Sonde </v>
      </c>
      <c r="B46" s="443"/>
      <c r="C46" s="10"/>
      <c r="D46" s="10"/>
      <c r="E46" s="10"/>
      <c r="F46" s="10"/>
      <c r="G46" s="1"/>
      <c r="H46" s="1"/>
      <c r="I46" s="1"/>
      <c r="J46" s="1"/>
      <c r="K46" s="1"/>
      <c r="L46" s="1"/>
      <c r="M46" s="1"/>
      <c r="N46" s="1"/>
      <c r="O46" s="1"/>
    </row>
    <row r="47" spans="1:15" ht="26.25" x14ac:dyDescent="0.25">
      <c r="A47" s="442" t="str">
        <f t="shared" si="0"/>
        <v xml:space="preserve">Sonde </v>
      </c>
      <c r="B47" s="443"/>
      <c r="C47" s="10"/>
      <c r="D47" s="10"/>
      <c r="E47" s="10"/>
      <c r="F47" s="10"/>
      <c r="G47" s="1"/>
      <c r="H47" s="1"/>
      <c r="I47" s="1"/>
      <c r="J47" s="1"/>
      <c r="K47" s="1"/>
      <c r="L47" s="447" t="s">
        <v>31</v>
      </c>
      <c r="M47" s="447"/>
      <c r="N47" s="1"/>
      <c r="O47" s="1"/>
    </row>
    <row r="48" spans="1:15" ht="45" x14ac:dyDescent="0.25">
      <c r="A48" s="442" t="str">
        <f t="shared" si="0"/>
        <v xml:space="preserve">Sonde </v>
      </c>
      <c r="B48" s="443"/>
      <c r="C48" s="10"/>
      <c r="D48" s="10"/>
      <c r="E48" s="10"/>
      <c r="F48" s="10"/>
      <c r="G48" s="1"/>
      <c r="H48" s="1"/>
      <c r="I48" s="1"/>
      <c r="J48" s="1"/>
      <c r="K48" s="1"/>
      <c r="L48" s="1"/>
      <c r="M48" s="21" t="s">
        <v>33</v>
      </c>
      <c r="N48" s="21" t="s">
        <v>15</v>
      </c>
      <c r="O48" s="21" t="s">
        <v>302</v>
      </c>
    </row>
    <row r="49" spans="1:15" x14ac:dyDescent="0.25">
      <c r="A49" s="442" t="str">
        <f t="shared" si="0"/>
        <v xml:space="preserve">Sonde </v>
      </c>
      <c r="B49" s="443"/>
      <c r="C49" s="10"/>
      <c r="D49" s="10"/>
      <c r="E49" s="10"/>
      <c r="F49" s="10"/>
      <c r="G49" s="1"/>
      <c r="H49" s="1"/>
      <c r="I49" s="1"/>
      <c r="J49" s="1"/>
      <c r="K49" s="479" t="s">
        <v>28</v>
      </c>
      <c r="L49" s="480"/>
      <c r="M49" s="10"/>
      <c r="N49" s="10"/>
      <c r="O49" s="10"/>
    </row>
    <row r="50" spans="1:15" x14ac:dyDescent="0.25">
      <c r="A50" s="442" t="str">
        <f t="shared" si="0"/>
        <v xml:space="preserve">Sonde </v>
      </c>
      <c r="B50" s="443"/>
      <c r="C50" s="10"/>
      <c r="D50" s="10"/>
      <c r="E50" s="10"/>
      <c r="F50" s="10"/>
      <c r="G50" s="1"/>
      <c r="H50" s="1"/>
      <c r="I50" s="1"/>
      <c r="J50" s="1"/>
      <c r="K50" s="454" t="s">
        <v>29</v>
      </c>
      <c r="L50" s="454"/>
      <c r="M50" s="10"/>
      <c r="N50" s="10"/>
      <c r="O50" s="10"/>
    </row>
    <row r="51" spans="1:15" x14ac:dyDescent="0.25">
      <c r="A51" s="442" t="str">
        <f t="shared" si="0"/>
        <v xml:space="preserve">Sonde </v>
      </c>
      <c r="B51" s="443"/>
      <c r="C51" s="10"/>
      <c r="D51" s="10"/>
      <c r="E51" s="10"/>
      <c r="F51" s="10"/>
      <c r="G51" s="1"/>
      <c r="H51" s="1"/>
      <c r="I51" s="1"/>
      <c r="J51" s="1"/>
      <c r="K51" s="454" t="s">
        <v>30</v>
      </c>
      <c r="L51" s="454"/>
      <c r="M51" s="10"/>
      <c r="N51" s="10"/>
      <c r="O51" s="10"/>
    </row>
    <row r="52" spans="1:15" x14ac:dyDescent="0.25">
      <c r="A52" s="442" t="str">
        <f t="shared" si="0"/>
        <v xml:space="preserve">Sonde </v>
      </c>
      <c r="B52" s="443"/>
      <c r="C52" s="10"/>
      <c r="D52" s="10"/>
      <c r="E52" s="10"/>
      <c r="F52" s="10"/>
      <c r="G52" s="1"/>
      <c r="H52" s="1"/>
      <c r="I52" s="1"/>
      <c r="J52" s="1"/>
      <c r="K52" s="1"/>
      <c r="L52" s="1"/>
      <c r="M52" s="1"/>
      <c r="N52" s="1"/>
      <c r="O52" s="1"/>
    </row>
    <row r="53" spans="1:15" x14ac:dyDescent="0.25">
      <c r="A53" s="442" t="str">
        <f t="shared" si="0"/>
        <v xml:space="preserve">Sonde </v>
      </c>
      <c r="B53" s="443"/>
      <c r="C53" s="10"/>
      <c r="D53" s="10"/>
      <c r="E53" s="10"/>
      <c r="F53" s="10"/>
      <c r="G53" s="1"/>
      <c r="H53" s="1"/>
      <c r="I53" s="1"/>
      <c r="J53" s="1"/>
      <c r="K53" s="1"/>
      <c r="L53" s="1"/>
      <c r="M53" s="1"/>
      <c r="N53" s="1"/>
      <c r="O53" s="1"/>
    </row>
    <row r="54" spans="1:15" x14ac:dyDescent="0.25">
      <c r="A54" s="442" t="str">
        <f t="shared" si="0"/>
        <v xml:space="preserve">Sonde </v>
      </c>
      <c r="B54" s="443"/>
      <c r="C54" s="10"/>
      <c r="D54" s="10"/>
      <c r="E54" s="10"/>
      <c r="F54" s="10"/>
      <c r="G54" s="1"/>
      <c r="H54" s="1"/>
      <c r="I54" s="1"/>
      <c r="J54" s="1"/>
      <c r="K54" s="1"/>
      <c r="L54" s="1"/>
      <c r="M54" s="1"/>
      <c r="N54" s="1"/>
      <c r="O54" s="1"/>
    </row>
  </sheetData>
  <sheetProtection algorithmName="SHA-512" hashValue="sL95MQJZLDLwQcgTsu7uVSp0E+GlBEaWcswz4SuFJIhu41hHOei7Uc6C4y/w4c88giyjnNC0N3nK/HpGYrE/bQ==" saltValue="HrN29qRSizV33yX1lGH3MA=="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RlWhIIwbkv77OFPF5ULYHqBS1Ft0yi7Vd2WJyus2Sq0uL7b3g+C2fY12CVomeRYc/iIaIV3E3qUFk4DxWnpoeA==" saltValue="VoI7ydPe2Rsfg8iPqh5P9Q=="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19" workbookViewId="0">
      <selection activeCell="A9" sqref="A9:N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5" t="str">
        <f>Mesures_Congel!B18 &amp; "°C"</f>
        <v>°C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6"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92</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94</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5" t="e">
        <f ca="1">ABS(MAX(C16:N16)- MIN(C17:N17))</f>
        <v>#REF!</v>
      </c>
      <c r="D20" s="375"/>
      <c r="E20" s="375"/>
      <c r="F20" s="375"/>
      <c r="G20" s="375"/>
      <c r="H20" s="375"/>
      <c r="I20" s="375"/>
      <c r="J20" s="375"/>
      <c r="K20" s="375"/>
      <c r="L20" s="375"/>
      <c r="M20" s="375"/>
      <c r="N20" s="375"/>
      <c r="O20" s="375"/>
      <c r="P20" s="33"/>
    </row>
    <row r="21" spans="2:18" s="27" customFormat="1" x14ac:dyDescent="0.25">
      <c r="B21" s="42" t="s">
        <v>98</v>
      </c>
      <c r="C21" s="375" t="e">
        <f ca="1">AVERAGE(C18:N18)</f>
        <v>#REF!</v>
      </c>
      <c r="D21" s="375"/>
      <c r="E21" s="375"/>
      <c r="F21" s="375"/>
      <c r="G21" s="375"/>
      <c r="H21" s="375"/>
      <c r="I21" s="375"/>
      <c r="J21" s="375"/>
      <c r="K21" s="375"/>
      <c r="L21" s="375"/>
      <c r="M21" s="375"/>
      <c r="N21" s="375"/>
      <c r="O21" s="375"/>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prKLQRbdkcGJsIZviz2uL9EZ0u4ZLuVeXcDVukO4RgmyOs9oAW5XB3L+oaiVXbKj4O9rTyWPRhWEIvp00XCChg==" saltValue="xkaVfkDh94VhPjf2MydApA=="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60"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7" t="s">
        <v>138</v>
      </c>
      <c r="D10" s="437"/>
      <c r="E10" s="458">
        <f>Mesures_Congel!D6</f>
        <v>0</v>
      </c>
      <c r="F10" s="458"/>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59" t="s">
        <v>146</v>
      </c>
      <c r="B28" s="459"/>
    </row>
    <row r="30" spans="1:9" x14ac:dyDescent="0.25">
      <c r="A30" s="435" t="s">
        <v>147</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0" t="s">
        <v>148</v>
      </c>
      <c r="D51" s="460"/>
      <c r="E51" s="460"/>
      <c r="F51" s="460"/>
    </row>
    <row r="52" spans="2:8" ht="20.25" customHeight="1" x14ac:dyDescent="0.25">
      <c r="B52" s="104"/>
    </row>
    <row r="53" spans="2:8" ht="23.25" x14ac:dyDescent="0.25">
      <c r="B53" s="105" t="s">
        <v>149</v>
      </c>
    </row>
    <row r="55" spans="2:8" ht="21" x14ac:dyDescent="0.25">
      <c r="B55" s="106" t="s">
        <v>150</v>
      </c>
      <c r="E55" s="457" t="s">
        <v>151</v>
      </c>
      <c r="F55" s="457"/>
      <c r="G55" s="457"/>
      <c r="H55" s="107"/>
    </row>
    <row r="56" spans="2:8" ht="21" customHeight="1" x14ac:dyDescent="0.25">
      <c r="B56" s="106" t="s">
        <v>152</v>
      </c>
      <c r="E56" s="457" t="s">
        <v>153</v>
      </c>
      <c r="F56" s="457"/>
      <c r="G56" s="457"/>
      <c r="H56" s="457"/>
    </row>
    <row r="57" spans="2:8" ht="21" x14ac:dyDescent="0.25">
      <c r="B57" s="106" t="s">
        <v>154</v>
      </c>
      <c r="E57" s="457" t="s">
        <v>155</v>
      </c>
      <c r="F57" s="457"/>
      <c r="G57" s="107"/>
      <c r="H57" s="107"/>
    </row>
    <row r="59" spans="2:8" ht="23.25" x14ac:dyDescent="0.25">
      <c r="B59" s="105" t="s">
        <v>156</v>
      </c>
    </row>
    <row r="61" spans="2:8" ht="21" x14ac:dyDescent="0.25">
      <c r="B61" s="457" t="s">
        <v>157</v>
      </c>
      <c r="C61" s="457"/>
      <c r="D61" s="457"/>
      <c r="E61" s="457" t="s">
        <v>158</v>
      </c>
      <c r="F61" s="457"/>
      <c r="G61" s="457"/>
    </row>
    <row r="62" spans="2:8" ht="21" x14ac:dyDescent="0.25">
      <c r="B62" s="457" t="s">
        <v>159</v>
      </c>
      <c r="C62" s="457"/>
      <c r="D62" s="457"/>
    </row>
    <row r="64" spans="2:8" ht="21" x14ac:dyDescent="0.25">
      <c r="B64" s="106" t="s">
        <v>160</v>
      </c>
    </row>
    <row r="66" spans="1:10" ht="21" x14ac:dyDescent="0.25">
      <c r="B66" s="457" t="s">
        <v>161</v>
      </c>
      <c r="C66" s="457"/>
      <c r="D66" s="457"/>
      <c r="E66" s="457" t="s">
        <v>162</v>
      </c>
      <c r="F66" s="457"/>
      <c r="G66" s="457"/>
      <c r="H66" s="457"/>
      <c r="I66" s="457"/>
    </row>
    <row r="67" spans="1:10" ht="23.25" x14ac:dyDescent="0.25">
      <c r="B67" s="457" t="s">
        <v>163</v>
      </c>
      <c r="C67" s="457"/>
      <c r="D67" s="457"/>
      <c r="E67" s="457" t="s">
        <v>164</v>
      </c>
      <c r="F67" s="457"/>
      <c r="G67" s="457"/>
      <c r="H67" s="457"/>
      <c r="I67" s="457"/>
    </row>
    <row r="68" spans="1:10" ht="21" x14ac:dyDescent="0.25">
      <c r="B68" s="457" t="s">
        <v>165</v>
      </c>
      <c r="C68" s="457"/>
      <c r="D68" s="457"/>
      <c r="E68" s="457" t="s">
        <v>166</v>
      </c>
      <c r="F68" s="457"/>
      <c r="G68" s="457"/>
      <c r="H68" s="457"/>
      <c r="I68" s="457"/>
    </row>
    <row r="69" spans="1:10" ht="23.25" x14ac:dyDescent="0.25">
      <c r="B69" s="457" t="s">
        <v>167</v>
      </c>
      <c r="C69" s="457"/>
      <c r="D69" s="457"/>
      <c r="E69" s="457" t="s">
        <v>168</v>
      </c>
      <c r="F69" s="457"/>
      <c r="G69" s="457"/>
      <c r="H69" s="457"/>
      <c r="I69" s="107"/>
    </row>
    <row r="72" spans="1:10" ht="21" customHeight="1" x14ac:dyDescent="0.25">
      <c r="A72" s="461" t="s">
        <v>169</v>
      </c>
      <c r="B72" s="461"/>
      <c r="C72" s="461"/>
      <c r="D72" s="461"/>
      <c r="E72" s="461"/>
      <c r="F72" s="461"/>
      <c r="G72" s="461"/>
      <c r="H72" s="461"/>
      <c r="I72" s="461"/>
      <c r="J72" s="461"/>
    </row>
    <row r="73" spans="1:10" ht="21" customHeight="1" x14ac:dyDescent="0.25">
      <c r="A73" s="461"/>
      <c r="B73" s="461"/>
      <c r="C73" s="461"/>
      <c r="D73" s="461"/>
      <c r="E73" s="461"/>
      <c r="F73" s="461"/>
      <c r="G73" s="461"/>
      <c r="H73" s="461"/>
      <c r="I73" s="461"/>
      <c r="J73" s="461"/>
    </row>
    <row r="74" spans="1:10" ht="15" customHeight="1" x14ac:dyDescent="0.25">
      <c r="A74" s="461"/>
      <c r="B74" s="461"/>
      <c r="C74" s="461"/>
      <c r="D74" s="461"/>
      <c r="E74" s="461"/>
      <c r="F74" s="461"/>
      <c r="G74" s="461"/>
      <c r="H74" s="461"/>
      <c r="I74" s="461"/>
      <c r="J74" s="461"/>
    </row>
    <row r="75" spans="1:10" ht="15" customHeight="1" x14ac:dyDescent="0.25">
      <c r="A75" s="461"/>
      <c r="B75" s="461"/>
      <c r="C75" s="461"/>
      <c r="D75" s="461"/>
      <c r="E75" s="461"/>
      <c r="F75" s="461"/>
      <c r="G75" s="461"/>
      <c r="H75" s="461"/>
      <c r="I75" s="461"/>
      <c r="J75" s="461"/>
    </row>
    <row r="76" spans="1:10" x14ac:dyDescent="0.25">
      <c r="A76" s="461"/>
      <c r="B76" s="461"/>
      <c r="C76" s="461"/>
      <c r="D76" s="461"/>
      <c r="E76" s="461"/>
      <c r="F76" s="461"/>
      <c r="G76" s="461"/>
      <c r="H76" s="461"/>
      <c r="I76" s="461"/>
      <c r="J76" s="461"/>
    </row>
    <row r="77" spans="1:10" x14ac:dyDescent="0.25">
      <c r="A77" s="461"/>
      <c r="B77" s="461"/>
      <c r="C77" s="461"/>
      <c r="D77" s="461"/>
      <c r="E77" s="461"/>
      <c r="F77" s="461"/>
      <c r="G77" s="461"/>
      <c r="H77" s="461"/>
      <c r="I77" s="461"/>
      <c r="J77" s="461"/>
    </row>
    <row r="78" spans="1:10" x14ac:dyDescent="0.25">
      <c r="A78" s="461"/>
      <c r="B78" s="461"/>
      <c r="C78" s="461"/>
      <c r="D78" s="461"/>
      <c r="E78" s="461"/>
      <c r="F78" s="461"/>
      <c r="G78" s="461"/>
      <c r="H78" s="461"/>
      <c r="I78" s="461"/>
      <c r="J78" s="461"/>
    </row>
    <row r="79" spans="1:10" x14ac:dyDescent="0.25">
      <c r="A79" s="461"/>
      <c r="B79" s="461"/>
      <c r="C79" s="461"/>
      <c r="D79" s="461"/>
      <c r="E79" s="461"/>
      <c r="F79" s="461"/>
      <c r="G79" s="461"/>
      <c r="H79" s="461"/>
      <c r="I79" s="461"/>
      <c r="J79" s="461"/>
    </row>
    <row r="80" spans="1:10" x14ac:dyDescent="0.25">
      <c r="A80" s="461"/>
      <c r="B80" s="461"/>
      <c r="C80" s="461"/>
      <c r="D80" s="461"/>
      <c r="E80" s="461"/>
      <c r="F80" s="461"/>
      <c r="G80" s="461"/>
      <c r="H80" s="461"/>
      <c r="I80" s="461"/>
      <c r="J80" s="461"/>
    </row>
    <row r="81" spans="1:10" x14ac:dyDescent="0.25">
      <c r="A81" s="461"/>
      <c r="B81" s="461"/>
      <c r="C81" s="461"/>
      <c r="D81" s="461"/>
      <c r="E81" s="461"/>
      <c r="F81" s="461"/>
      <c r="G81" s="461"/>
      <c r="H81" s="461"/>
      <c r="I81" s="461"/>
      <c r="J81" s="461"/>
    </row>
    <row r="85" spans="1:10" ht="36" x14ac:dyDescent="0.25">
      <c r="C85" s="460" t="s">
        <v>170</v>
      </c>
      <c r="D85" s="460"/>
      <c r="E85" s="460"/>
      <c r="F85" s="460"/>
      <c r="G85" s="460"/>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2" t="s">
        <v>10</v>
      </c>
      <c r="D94" s="462"/>
      <c r="E94" s="462"/>
      <c r="F94" s="462"/>
      <c r="G94" s="462"/>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3" t="s">
        <v>176</v>
      </c>
      <c r="C116" s="463"/>
      <c r="D116" s="463"/>
      <c r="E116" s="463"/>
      <c r="F116" s="463"/>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0" t="s">
        <v>188</v>
      </c>
      <c r="D127" s="460"/>
      <c r="E127" s="460"/>
      <c r="F127" s="460"/>
    </row>
    <row r="128" spans="1:9" ht="36" x14ac:dyDescent="0.25">
      <c r="B128" s="103"/>
      <c r="C128" s="103"/>
      <c r="D128" s="103"/>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0" t="s">
        <v>189</v>
      </c>
      <c r="D163" s="460"/>
      <c r="E163" s="460"/>
      <c r="F163" s="460"/>
      <c r="G163" s="460"/>
      <c r="H163" s="460"/>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0" t="str">
        <f>"6. Résultats et exploitation des résultats à " &amp; Mesures_Congel!B18 &amp; "°C"</f>
        <v>6. Résultats et exploitation des résultats à °C</v>
      </c>
      <c r="D196" s="460"/>
      <c r="E196" s="460"/>
      <c r="F196" s="460"/>
      <c r="G196" s="460"/>
      <c r="H196" s="460"/>
    </row>
    <row r="200" spans="1:9" x14ac:dyDescent="0.25">
      <c r="A200" s="121" t="str" cm="1">
        <f t="array" ref="A200:B200">Mesures_Congel!A18:B18</f>
        <v>Consignes °C</v>
      </c>
      <c r="B200" s="123">
        <v>0</v>
      </c>
      <c r="G200" s="464" t="s">
        <v>190</v>
      </c>
      <c r="H200" s="465"/>
      <c r="I200" s="466"/>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7" t="s">
        <v>194</v>
      </c>
      <c r="C205" s="467"/>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8"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68"/>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68"/>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68"/>
      <c r="B214" s="128" t="s">
        <v>206</v>
      </c>
      <c r="C214" s="131" t="e">
        <f>Congel!#REF!</f>
        <v>#REF!</v>
      </c>
      <c r="D214" s="129" t="s">
        <v>200</v>
      </c>
      <c r="E214" s="129" t="s">
        <v>200</v>
      </c>
      <c r="F214" s="130" t="s">
        <v>200</v>
      </c>
    </row>
    <row r="215" spans="1:6" x14ac:dyDescent="0.25">
      <c r="C215" s="88"/>
      <c r="D215" s="88"/>
      <c r="E215" s="88"/>
      <c r="F215" s="88"/>
    </row>
    <row r="226" spans="2:9" ht="36" x14ac:dyDescent="0.25">
      <c r="B226" s="460" t="str">
        <f>"7. Résultats et exploitation des résultats à " &amp; Mesures_Congel!B18 &amp; "°C"</f>
        <v>7. Résultats et exploitation des résultats à °C</v>
      </c>
      <c r="C226" s="460"/>
      <c r="D226" s="460"/>
      <c r="E226" s="460"/>
      <c r="F226" s="460"/>
    </row>
    <row r="229" spans="2:9" x14ac:dyDescent="0.25">
      <c r="B229" s="351" t="s">
        <v>207</v>
      </c>
      <c r="C229" s="351"/>
    </row>
    <row r="232" spans="2:9" x14ac:dyDescent="0.25">
      <c r="C232" s="27"/>
      <c r="D232" s="27"/>
      <c r="E232" s="27"/>
      <c r="F232" s="470" t="s">
        <v>190</v>
      </c>
      <c r="G232" s="472"/>
      <c r="H232" s="472"/>
      <c r="I232" s="471"/>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59" t="s">
        <v>214</v>
      </c>
      <c r="H293" s="459"/>
    </row>
    <row r="297" spans="2:8" ht="23.25" customHeight="1" x14ac:dyDescent="0.25">
      <c r="B297" s="473" t="s">
        <v>551</v>
      </c>
      <c r="C297" s="473"/>
      <c r="D297" s="473"/>
      <c r="E297" s="473"/>
      <c r="F297" s="137" t="e">
        <f>IF(OR(AVERAGE(Congel!#REF!)&gt;Congel!#REF!,AVERAGE(Congel!#REF!)&lt;Congel!#REF!),"NON CONFORME","CONFORME")</f>
        <v>#REF!</v>
      </c>
      <c r="G297" s="138"/>
    </row>
    <row r="298" spans="2:8" ht="23.25" customHeight="1" x14ac:dyDescent="0.25">
      <c r="B298" s="473"/>
      <c r="C298" s="473"/>
      <c r="D298" s="473"/>
      <c r="E298" s="473"/>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69" t="s">
        <v>216</v>
      </c>
      <c r="D304" s="469"/>
      <c r="E304" s="141">
        <f>Mesures_Congel!$B$18</f>
        <v>0</v>
      </c>
    </row>
    <row r="305" spans="3:5" x14ac:dyDescent="0.25">
      <c r="C305" s="469" t="s">
        <v>217</v>
      </c>
      <c r="D305" s="469"/>
      <c r="E305" s="133" t="e">
        <f>Congel!#REF!</f>
        <v>#REF!</v>
      </c>
    </row>
    <row r="306" spans="3:5" x14ac:dyDescent="0.25">
      <c r="C306" s="469" t="s">
        <v>218</v>
      </c>
      <c r="D306" s="469"/>
      <c r="E306" s="38" t="str">
        <f>"±" &amp; Mesures_Congel!$B$21</f>
        <v>±</v>
      </c>
    </row>
    <row r="307" spans="3:5" x14ac:dyDescent="0.25">
      <c r="C307" s="470" t="s">
        <v>219</v>
      </c>
      <c r="D307" s="471"/>
      <c r="E307" s="38" t="e">
        <f>IF(F297="CONFORME","OUI","NON")</f>
        <v>#REF!</v>
      </c>
    </row>
  </sheetData>
  <sheetProtection algorithmName="SHA-512" hashValue="gD17779hckq1fWgmqQ81oqFfkAC4Nyi5OVUrbAqcwmqnuEGMlOJtiuzIraJ8AvRCVDYf61vReJAnjmWHvkY+kQ==" saltValue="WJF/+vgijMxKeyb+fGOclQ=="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6" t="s">
        <v>100</v>
      </c>
      <c r="C1" s="476"/>
      <c r="D1" s="476"/>
      <c r="E1" s="476"/>
      <c r="F1" s="476"/>
      <c r="G1" s="476"/>
      <c r="H1" s="476"/>
      <c r="I1" s="476"/>
      <c r="J1" s="51"/>
      <c r="K1" s="51"/>
      <c r="L1" s="51"/>
      <c r="M1" s="51"/>
    </row>
    <row r="2" spans="1:13" x14ac:dyDescent="0.25">
      <c r="L2" s="51"/>
      <c r="M2" s="51"/>
    </row>
    <row r="3" spans="1:13" x14ac:dyDescent="0.25">
      <c r="A3" s="477" t="s">
        <v>101</v>
      </c>
      <c r="B3" s="477"/>
      <c r="C3" s="477"/>
      <c r="D3" s="477"/>
      <c r="E3" s="477"/>
      <c r="F3" s="477"/>
      <c r="G3" s="477"/>
      <c r="H3" s="477"/>
      <c r="I3" s="477"/>
    </row>
    <row r="4" spans="1:13" x14ac:dyDescent="0.25">
      <c r="A4" s="478" t="s">
        <v>102</v>
      </c>
      <c r="B4" s="478"/>
      <c r="C4" s="478"/>
      <c r="D4" s="478"/>
      <c r="E4" s="478"/>
      <c r="F4" s="478"/>
      <c r="G4" s="478"/>
      <c r="H4" s="478"/>
      <c r="I4" s="478"/>
    </row>
    <row r="5" spans="1:13" x14ac:dyDescent="0.25">
      <c r="A5" s="478" t="s">
        <v>103</v>
      </c>
      <c r="B5" s="478"/>
      <c r="C5" s="478"/>
      <c r="D5" s="478"/>
      <c r="E5" s="478"/>
      <c r="F5" s="478"/>
      <c r="G5" s="478"/>
      <c r="H5" s="478"/>
      <c r="I5" s="478"/>
    </row>
    <row r="6" spans="1:13" x14ac:dyDescent="0.25">
      <c r="A6" s="478" t="s">
        <v>104</v>
      </c>
      <c r="B6" s="478"/>
      <c r="C6" s="478"/>
      <c r="D6" s="478"/>
      <c r="E6" s="478"/>
      <c r="F6" s="478"/>
      <c r="G6" s="478"/>
      <c r="H6" s="478"/>
      <c r="I6" s="478"/>
    </row>
    <row r="8" spans="1:13" x14ac:dyDescent="0.25">
      <c r="A8" s="478" t="s">
        <v>105</v>
      </c>
      <c r="B8" s="478"/>
      <c r="C8" s="478"/>
      <c r="D8" s="478"/>
      <c r="E8" s="478"/>
      <c r="F8" s="478"/>
      <c r="G8" s="478"/>
      <c r="H8" s="478"/>
      <c r="I8" s="478"/>
    </row>
    <row r="9" spans="1:13" ht="16.5" thickBot="1" x14ac:dyDescent="0.3"/>
    <row r="10" spans="1:13" ht="16.5" thickBot="1" x14ac:dyDescent="0.3">
      <c r="B10" s="53" t="s">
        <v>106</v>
      </c>
      <c r="C10" s="54" t="s">
        <v>107</v>
      </c>
      <c r="D10" s="481"/>
      <c r="E10" s="481"/>
      <c r="F10" s="482"/>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1" t="s">
        <v>111</v>
      </c>
      <c r="E11" s="481"/>
      <c r="F11" s="482"/>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1" t="s">
        <v>113</v>
      </c>
      <c r="E13" s="481"/>
      <c r="F13" s="482"/>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1" t="s">
        <v>113</v>
      </c>
      <c r="E14" s="481"/>
      <c r="F14" s="481"/>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1" t="s">
        <v>113</v>
      </c>
      <c r="E15" s="481"/>
      <c r="F15" s="481"/>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8" t="s">
        <v>114</v>
      </c>
      <c r="B17" s="478"/>
      <c r="C17" s="478"/>
      <c r="D17" s="478"/>
      <c r="E17" s="478"/>
      <c r="F17" s="478"/>
      <c r="G17" s="478"/>
      <c r="H17" s="478"/>
      <c r="I17" s="478"/>
    </row>
    <row r="18" spans="1:15" ht="16.5" thickBot="1" x14ac:dyDescent="0.3">
      <c r="A18" s="52"/>
      <c r="B18" s="52"/>
      <c r="C18" s="52"/>
      <c r="D18" s="52"/>
      <c r="E18" s="52"/>
      <c r="F18" s="52"/>
      <c r="G18" s="52"/>
      <c r="H18" s="52"/>
      <c r="I18" s="52"/>
    </row>
    <row r="19" spans="1:15" ht="16.5" thickBot="1" x14ac:dyDescent="0.3">
      <c r="A19" s="483" t="s">
        <v>106</v>
      </c>
      <c r="B19" s="484"/>
      <c r="C19" s="54" t="s">
        <v>107</v>
      </c>
      <c r="H19" s="481"/>
      <c r="I19" s="481"/>
    </row>
    <row r="20" spans="1:15" ht="16.5" thickBot="1" x14ac:dyDescent="0.3">
      <c r="A20" s="485" t="s">
        <v>115</v>
      </c>
      <c r="B20" s="486"/>
      <c r="C20" s="55">
        <f>Mesures_Congel!N49</f>
        <v>0</v>
      </c>
      <c r="D20" s="481" t="s">
        <v>116</v>
      </c>
      <c r="E20" s="481"/>
      <c r="F20" s="481"/>
      <c r="G20" s="64">
        <f>Mesures_Congel!O49</f>
        <v>0</v>
      </c>
      <c r="H20" s="65" t="s">
        <v>117</v>
      </c>
    </row>
    <row r="21" spans="1:15" ht="16.5" thickBot="1" x14ac:dyDescent="0.3">
      <c r="A21" s="485" t="s">
        <v>118</v>
      </c>
      <c r="B21" s="486"/>
      <c r="C21" s="55">
        <f>Mesures_Congel!N50</f>
        <v>0</v>
      </c>
      <c r="D21" s="481" t="s">
        <v>116</v>
      </c>
      <c r="E21" s="481"/>
      <c r="F21" s="481"/>
      <c r="G21" s="64">
        <f>Mesures_Congel!O50</f>
        <v>0</v>
      </c>
      <c r="H21" s="65" t="s">
        <v>119</v>
      </c>
    </row>
    <row r="22" spans="1:15" ht="16.5" thickBot="1" x14ac:dyDescent="0.3">
      <c r="A22" s="485" t="s">
        <v>120</v>
      </c>
      <c r="B22" s="486"/>
      <c r="C22" s="55">
        <f>Mesures_Congel!N51</f>
        <v>0</v>
      </c>
      <c r="D22" s="481" t="s">
        <v>116</v>
      </c>
      <c r="E22" s="481"/>
      <c r="F22" s="481"/>
      <c r="G22" s="64">
        <f>Mesures_Congel!O51</f>
        <v>0</v>
      </c>
      <c r="H22" s="65" t="s">
        <v>121</v>
      </c>
    </row>
    <row r="23" spans="1:15" x14ac:dyDescent="0.25">
      <c r="A23" s="51"/>
      <c r="G23" s="52"/>
      <c r="H23" s="63"/>
      <c r="I23" s="63"/>
      <c r="J23" s="63"/>
      <c r="K23" s="51"/>
    </row>
    <row r="24" spans="1:15" x14ac:dyDescent="0.25">
      <c r="A24" s="491" t="str">
        <f>"TEMPERATURE : "&amp;  Mesures_Congel!B18 &amp; "°C CRITERES D'ACCEPTATION : +/-"&amp; Mesures_Congel!C21 &amp;"°C"</f>
        <v>TEMPERATURE : °C CRITERES D'ACCEPTATION : +/-°C</v>
      </c>
      <c r="B24" s="491"/>
      <c r="C24" s="491"/>
      <c r="D24" s="491"/>
      <c r="E24" s="491"/>
      <c r="F24" s="491"/>
      <c r="G24" s="491"/>
      <c r="H24" s="491"/>
      <c r="I24" s="491"/>
      <c r="K24" s="51"/>
    </row>
    <row r="25" spans="1:15" ht="16.5" thickBot="1" x14ac:dyDescent="0.3">
      <c r="A25" s="478"/>
      <c r="B25" s="478"/>
      <c r="C25" s="478"/>
      <c r="D25" s="478"/>
      <c r="E25" s="478"/>
      <c r="F25" s="478"/>
      <c r="G25" s="478"/>
      <c r="H25" s="478"/>
      <c r="I25" s="478"/>
    </row>
    <row r="26" spans="1:15" ht="15.75" customHeight="1" x14ac:dyDescent="0.25">
      <c r="A26" s="487" t="s">
        <v>28</v>
      </c>
      <c r="B26" s="488"/>
      <c r="C26" s="488"/>
      <c r="D26" s="488"/>
      <c r="E26" s="488"/>
      <c r="F26" s="488"/>
      <c r="G26" s="488"/>
      <c r="H26" s="489"/>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7" t="s">
        <v>29</v>
      </c>
      <c r="B29" s="488"/>
      <c r="C29" s="488"/>
      <c r="D29" s="488"/>
      <c r="E29" s="488"/>
      <c r="F29" s="488"/>
      <c r="G29" s="488"/>
      <c r="H29" s="489"/>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7" t="s">
        <v>30</v>
      </c>
      <c r="B32" s="488"/>
      <c r="C32" s="488"/>
      <c r="D32" s="488"/>
      <c r="E32" s="488"/>
      <c r="F32" s="488"/>
      <c r="G32" s="488"/>
      <c r="H32" s="489"/>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90" t="s">
        <v>133</v>
      </c>
      <c r="B36" s="490"/>
      <c r="C36" s="490"/>
      <c r="D36" s="490"/>
      <c r="E36" s="490"/>
      <c r="F36" s="490"/>
      <c r="G36" s="490"/>
      <c r="H36" s="490"/>
      <c r="I36" s="490"/>
      <c r="J36" s="82" t="s">
        <v>134</v>
      </c>
      <c r="K36" s="83">
        <f ca="1">TODAY()</f>
        <v>45343</v>
      </c>
    </row>
    <row r="37" spans="1:15" ht="19.5" thickBot="1" x14ac:dyDescent="0.3">
      <c r="D37" s="84"/>
      <c r="E37" s="84"/>
      <c r="F37" s="84"/>
      <c r="G37" s="84"/>
      <c r="H37" s="84"/>
      <c r="I37" s="49" t="s">
        <v>135</v>
      </c>
      <c r="J37" s="85" t="s">
        <v>136</v>
      </c>
      <c r="K37" s="86">
        <f ca="1">EDATE(K36,6)</f>
        <v>45525</v>
      </c>
    </row>
  </sheetData>
  <sheetProtection algorithmName="SHA-512" hashValue="WgT3X9P1xxhiZb/9AAO+arKaYuDlPZ4yixc6noM/XaB4wW0MdE8w44xwQTGwS50LQHP+UMC4U1VFjoN2ABrngA==" saltValue="aVT1Cj8zaRcz39kzCdxRbA=="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 TUS de l'étuve de polymération ENATT)</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D5" sqref="D5"/>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4"/>
      <c r="B1" s="1"/>
      <c r="C1" s="1"/>
      <c r="D1" s="1"/>
      <c r="E1" s="1"/>
      <c r="F1" s="1"/>
      <c r="G1" s="1"/>
      <c r="H1" s="1"/>
      <c r="I1" s="1"/>
      <c r="J1" s="1"/>
      <c r="K1" s="1"/>
      <c r="L1" s="1"/>
      <c r="M1" s="1"/>
      <c r="N1" s="1"/>
      <c r="O1" s="1"/>
    </row>
    <row r="2" spans="1:15" x14ac:dyDescent="0.25">
      <c r="A2" s="1"/>
      <c r="B2" s="444" t="s">
        <v>11</v>
      </c>
      <c r="C2" s="445"/>
      <c r="D2" s="445"/>
      <c r="E2" s="445"/>
      <c r="F2" s="445"/>
      <c r="G2" s="445"/>
      <c r="H2" s="445"/>
      <c r="I2" s="445"/>
      <c r="J2" s="445"/>
      <c r="K2" s="445"/>
      <c r="L2" s="1"/>
      <c r="M2" s="1"/>
      <c r="N2" s="1"/>
      <c r="O2" s="1"/>
    </row>
    <row r="3" spans="1:15" x14ac:dyDescent="0.25">
      <c r="A3" s="1"/>
      <c r="B3" s="445"/>
      <c r="C3" s="445"/>
      <c r="D3" s="445"/>
      <c r="E3" s="445"/>
      <c r="F3" s="445"/>
      <c r="G3" s="445"/>
      <c r="H3" s="445"/>
      <c r="I3" s="445"/>
      <c r="J3" s="445"/>
      <c r="K3" s="445"/>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6" t="s">
        <v>553</v>
      </c>
      <c r="B5" s="446"/>
      <c r="C5" s="446"/>
      <c r="D5" s="162" t="str">
        <f>Choose_TUS!L2 &amp; "(TUS du séchoir)"</f>
        <v>IMP 472 ind O du 07-02-2024 (TUS du séchoir)</v>
      </c>
      <c r="E5" s="2"/>
      <c r="F5" s="2"/>
      <c r="G5" s="2"/>
      <c r="H5" s="2"/>
      <c r="I5" s="2"/>
      <c r="J5" s="2"/>
      <c r="K5" s="2"/>
      <c r="L5" s="1"/>
      <c r="M5" s="1"/>
      <c r="N5" s="1"/>
      <c r="O5" s="1"/>
    </row>
    <row r="6" spans="1:15" x14ac:dyDescent="0.25">
      <c r="A6" s="446" t="s">
        <v>0</v>
      </c>
      <c r="B6" s="446"/>
      <c r="C6" s="446"/>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6" t="s">
        <v>1</v>
      </c>
      <c r="B8" s="446"/>
      <c r="C8" s="4"/>
      <c r="D8" s="1"/>
      <c r="E8" s="446" t="s">
        <v>18</v>
      </c>
      <c r="F8" s="446"/>
      <c r="G8" s="4"/>
      <c r="H8" s="1"/>
      <c r="I8" s="1"/>
      <c r="J8" s="1"/>
      <c r="K8" s="1"/>
      <c r="L8" s="1"/>
      <c r="M8" s="1"/>
      <c r="N8" s="1"/>
      <c r="O8" s="5"/>
    </row>
    <row r="9" spans="1:15" x14ac:dyDescent="0.25">
      <c r="A9" s="446" t="s">
        <v>2</v>
      </c>
      <c r="B9" s="446"/>
      <c r="C9" s="6"/>
      <c r="D9" s="1"/>
      <c r="E9" s="446" t="s">
        <v>19</v>
      </c>
      <c r="F9" s="446"/>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2" t="s">
        <v>3</v>
      </c>
      <c r="B11" s="443"/>
      <c r="C11" s="7"/>
      <c r="D11" s="1"/>
      <c r="E11" s="442" t="s">
        <v>20</v>
      </c>
      <c r="F11" s="443"/>
      <c r="G11" s="8"/>
      <c r="H11" s="1"/>
      <c r="I11" s="1"/>
      <c r="J11" s="1"/>
      <c r="K11" s="1"/>
      <c r="L11" s="1"/>
      <c r="M11" s="1"/>
      <c r="N11" s="1"/>
      <c r="O11" s="1"/>
    </row>
    <row r="12" spans="1:15" x14ac:dyDescent="0.25">
      <c r="A12" s="442" t="s">
        <v>4</v>
      </c>
      <c r="B12" s="443"/>
      <c r="C12" s="8"/>
      <c r="D12" s="1"/>
      <c r="E12" s="446" t="s">
        <v>21</v>
      </c>
      <c r="F12" s="446"/>
      <c r="G12" s="159">
        <v>9</v>
      </c>
      <c r="H12" s="1"/>
      <c r="I12" s="1"/>
      <c r="J12" s="1"/>
      <c r="K12" s="1"/>
      <c r="L12" s="1"/>
      <c r="M12" s="1"/>
      <c r="N12" s="1"/>
      <c r="O12" s="1"/>
    </row>
    <row r="13" spans="1:15" x14ac:dyDescent="0.25">
      <c r="A13" s="1"/>
      <c r="B13" s="1"/>
      <c r="C13" s="1"/>
      <c r="D13" s="1"/>
      <c r="E13" s="446" t="s">
        <v>22</v>
      </c>
      <c r="F13" s="446"/>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2" t="s">
        <v>5</v>
      </c>
      <c r="B15" s="443"/>
      <c r="C15" s="4"/>
      <c r="D15" s="1"/>
      <c r="E15" s="1"/>
      <c r="F15" s="1"/>
      <c r="G15" s="1"/>
      <c r="H15" s="1"/>
      <c r="I15" s="1"/>
      <c r="J15" s="1"/>
      <c r="K15" s="1"/>
      <c r="L15" s="1"/>
      <c r="M15" s="1"/>
      <c r="N15" s="1"/>
      <c r="O15" s="1"/>
    </row>
    <row r="16" spans="1:15" x14ac:dyDescent="0.25">
      <c r="A16" s="442" t="s">
        <v>6</v>
      </c>
      <c r="B16" s="443"/>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548</v>
      </c>
      <c r="B20" s="11"/>
      <c r="C20" s="1"/>
      <c r="D20" s="1"/>
      <c r="E20" s="1"/>
      <c r="F20" s="1"/>
      <c r="G20" s="1"/>
      <c r="H20" s="1"/>
      <c r="I20" s="1"/>
      <c r="J20" s="1"/>
      <c r="K20" s="1"/>
      <c r="L20" s="1"/>
      <c r="M20" s="1"/>
      <c r="N20" s="1"/>
      <c r="O20" s="1"/>
    </row>
    <row r="21" spans="1:15" x14ac:dyDescent="0.25">
      <c r="A21" s="3" t="s">
        <v>549</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554</v>
      </c>
      <c r="E23" s="14" t="s">
        <v>555</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7" t="s">
        <v>13</v>
      </c>
      <c r="C39" s="447"/>
      <c r="D39" s="1"/>
      <c r="E39" s="1"/>
      <c r="F39" s="1"/>
      <c r="G39" s="1"/>
      <c r="H39" s="1"/>
      <c r="I39" s="1"/>
      <c r="J39" s="1"/>
      <c r="K39" s="1"/>
      <c r="L39" s="447" t="s">
        <v>30</v>
      </c>
      <c r="M39" s="447"/>
      <c r="N39" s="1"/>
      <c r="O39" s="1"/>
    </row>
    <row r="40" spans="1:15" x14ac:dyDescent="0.25">
      <c r="A40" s="1"/>
      <c r="B40" s="1"/>
      <c r="C40" s="1"/>
      <c r="D40" s="1"/>
      <c r="E40" s="1"/>
      <c r="F40" s="1"/>
      <c r="G40" s="1"/>
      <c r="H40" s="1"/>
      <c r="I40" s="1"/>
      <c r="J40" s="1"/>
      <c r="K40" s="1"/>
      <c r="L40" s="1"/>
      <c r="M40" s="1"/>
      <c r="N40" s="1"/>
      <c r="O40" s="1"/>
    </row>
    <row r="41" spans="1:15" x14ac:dyDescent="0.25">
      <c r="B41" s="442" t="s">
        <v>10</v>
      </c>
      <c r="C41" s="453"/>
      <c r="D41" s="453"/>
      <c r="E41" s="453"/>
      <c r="F41" s="443"/>
      <c r="G41" s="1"/>
      <c r="H41" s="1"/>
      <c r="I41" s="1"/>
      <c r="J41" s="1"/>
      <c r="K41" s="446" t="s">
        <v>26</v>
      </c>
      <c r="L41" s="446"/>
      <c r="M41" s="446"/>
      <c r="N41" s="446"/>
      <c r="O41" s="446"/>
    </row>
    <row r="42" spans="1:15" ht="30" x14ac:dyDescent="0.25">
      <c r="B42" s="3"/>
      <c r="C42" s="3" t="s">
        <v>15</v>
      </c>
      <c r="D42" s="20" t="s">
        <v>17</v>
      </c>
      <c r="E42" s="20" t="s">
        <v>24</v>
      </c>
      <c r="F42" s="20" t="s">
        <v>25</v>
      </c>
      <c r="G42" s="1"/>
      <c r="H42" s="1"/>
      <c r="I42" s="1"/>
      <c r="J42" s="1"/>
      <c r="K42" s="450"/>
      <c r="L42" s="450"/>
      <c r="M42" s="3" t="s">
        <v>32</v>
      </c>
      <c r="N42" s="3" t="s">
        <v>34</v>
      </c>
      <c r="O42" s="3" t="s">
        <v>35</v>
      </c>
    </row>
    <row r="43" spans="1:15" x14ac:dyDescent="0.25">
      <c r="B43" s="319" t="str">
        <f>CONCATENATE("Sonde ", B24)</f>
        <v xml:space="preserve">Sonde </v>
      </c>
      <c r="C43" s="10"/>
      <c r="D43" s="10"/>
      <c r="E43" s="10"/>
      <c r="F43" s="10"/>
      <c r="G43" s="1"/>
      <c r="H43" s="1"/>
      <c r="I43" s="1"/>
      <c r="J43" s="1"/>
      <c r="K43" s="451" t="s">
        <v>27</v>
      </c>
      <c r="L43" s="452"/>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3cVnXHEgRVyPS3Oe/XHuQGf608sch1ctJQh7Bww933O6H8x/ki6rAxuOzZpis8iycMtGSOalso+WKEnKOQ4qkg==" saltValue="mfDYnwGonYMU78CBfH88cg=="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disablePrompts="1"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5eqzcR7EXOFh4TtMLlN7uUx+CLTBj/nkTm+eqvXaoEJiI4EhGwhOA8Clk0Zn8gszqGkfjIm1PbjLFGzD5pcJHA==" saltValue="+oSWBPStyirMVMr4Ey5H9Q=="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5" workbookViewId="0">
      <selection activeCell="N77" sqref="N77"/>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5" t="str">
        <f>Mesures_Sechoir!B20 &amp; "°C"</f>
        <v>°C</v>
      </c>
      <c r="B1" s="455"/>
      <c r="C1" s="455"/>
      <c r="D1" s="455"/>
      <c r="E1" s="455"/>
      <c r="F1" s="455"/>
      <c r="G1" s="455"/>
      <c r="H1" s="455"/>
      <c r="I1" s="455"/>
      <c r="J1" s="455"/>
      <c r="K1" s="455"/>
      <c r="L1" s="455"/>
      <c r="M1" s="455"/>
      <c r="N1" s="455"/>
      <c r="O1" s="455"/>
      <c r="P1" s="455"/>
    </row>
    <row r="2" spans="1:16" s="27" customFormat="1" x14ac:dyDescent="0.25">
      <c r="A2" s="455"/>
      <c r="B2" s="455"/>
      <c r="C2" s="455"/>
      <c r="D2" s="455"/>
      <c r="E2" s="455"/>
      <c r="F2" s="455"/>
      <c r="G2" s="455"/>
      <c r="H2" s="455"/>
      <c r="I2" s="455"/>
      <c r="J2" s="455"/>
      <c r="K2" s="455"/>
      <c r="L2" s="455"/>
      <c r="M2" s="455"/>
      <c r="N2" s="455"/>
      <c r="O2" s="455"/>
      <c r="P2" s="455"/>
    </row>
    <row r="3" spans="1:16" s="27" customFormat="1" x14ac:dyDescent="0.25">
      <c r="A3" s="455"/>
      <c r="B3" s="455"/>
      <c r="C3" s="455"/>
      <c r="D3" s="455"/>
      <c r="E3" s="455"/>
      <c r="F3" s="455"/>
      <c r="G3" s="455"/>
      <c r="H3" s="455"/>
      <c r="I3" s="455"/>
      <c r="J3" s="455"/>
      <c r="K3" s="455"/>
      <c r="L3" s="455"/>
      <c r="M3" s="455"/>
      <c r="N3" s="455"/>
      <c r="O3" s="455"/>
      <c r="P3" s="455"/>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51" t="s">
        <v>88</v>
      </c>
      <c r="B9" s="351"/>
      <c r="C9" s="351"/>
      <c r="D9" s="351"/>
      <c r="E9" s="351"/>
      <c r="F9" s="351"/>
      <c r="G9" s="351"/>
      <c r="H9" s="351"/>
      <c r="I9" s="351"/>
      <c r="J9" s="351"/>
      <c r="K9" s="351"/>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6"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548</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556</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557</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5" t="e">
        <f ca="1">ABS(MAX(C16:K16)- MIN(C17:K17))</f>
        <v>#REF!</v>
      </c>
      <c r="D20" s="375"/>
      <c r="E20" s="375"/>
      <c r="F20" s="375"/>
      <c r="G20" s="375"/>
      <c r="H20" s="375"/>
      <c r="I20" s="375"/>
      <c r="J20" s="375"/>
      <c r="K20" s="375"/>
      <c r="L20" s="375"/>
      <c r="M20" s="33"/>
    </row>
    <row r="21" spans="2:15" s="27" customFormat="1" x14ac:dyDescent="0.25">
      <c r="B21" s="42" t="s">
        <v>98</v>
      </c>
      <c r="C21" s="375" t="e">
        <f ca="1">AVERAGE(C18:K18)</f>
        <v>#REF!</v>
      </c>
      <c r="D21" s="375"/>
      <c r="E21" s="375"/>
      <c r="F21" s="375"/>
      <c r="G21" s="375"/>
      <c r="H21" s="375"/>
      <c r="I21" s="375"/>
      <c r="J21" s="375"/>
      <c r="K21" s="375"/>
      <c r="L21" s="375"/>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Uwk/p7Ray1xnrSrNrF4ONLipTR+mM4GALwCor8mBQ2HxfkcxbwqzOxoKMZyDXz2nH6OzQIcJeP06ia6f5nepOg==" saltValue="GvAtiHq8a8Pju7x2LcrGQQ=="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09" zoomScale="70" zoomScaleNormal="60" zoomScaleSheetLayoutView="77" zoomScalePageLayoutView="70" workbookViewId="0">
      <selection activeCell="B308" sqref="B30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7" t="s">
        <v>138</v>
      </c>
      <c r="D10" s="437"/>
      <c r="E10" s="458">
        <f>Mesures_Sechoir!D6</f>
        <v>0</v>
      </c>
      <c r="F10" s="458"/>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59" t="s">
        <v>146</v>
      </c>
      <c r="B28" s="459"/>
    </row>
    <row r="30" spans="1:9" x14ac:dyDescent="0.25">
      <c r="A30" s="435" t="s">
        <v>278</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0" t="s">
        <v>148</v>
      </c>
      <c r="D51" s="460"/>
      <c r="E51" s="460"/>
      <c r="F51" s="460"/>
    </row>
    <row r="52" spans="2:8" ht="20.25" customHeight="1" x14ac:dyDescent="0.25">
      <c r="B52" s="104"/>
    </row>
    <row r="53" spans="2:8" ht="23.25" x14ac:dyDescent="0.25">
      <c r="B53" s="105" t="s">
        <v>149</v>
      </c>
    </row>
    <row r="55" spans="2:8" ht="21" x14ac:dyDescent="0.25">
      <c r="B55" s="106"/>
      <c r="E55" s="457"/>
      <c r="F55" s="457"/>
      <c r="G55" s="457"/>
      <c r="H55" s="107"/>
    </row>
    <row r="56" spans="2:8" ht="21" customHeight="1" x14ac:dyDescent="0.25">
      <c r="B56" s="106"/>
      <c r="E56" s="457"/>
      <c r="F56" s="457"/>
      <c r="G56" s="457"/>
      <c r="H56" s="457"/>
    </row>
    <row r="57" spans="2:8" ht="21" x14ac:dyDescent="0.25">
      <c r="B57" s="106"/>
      <c r="E57" s="457"/>
      <c r="F57" s="457"/>
      <c r="G57" s="107"/>
      <c r="H57" s="107"/>
    </row>
    <row r="59" spans="2:8" ht="23.25" x14ac:dyDescent="0.25">
      <c r="B59" s="105" t="s">
        <v>156</v>
      </c>
    </row>
    <row r="61" spans="2:8" ht="21" x14ac:dyDescent="0.25">
      <c r="B61" s="457"/>
      <c r="C61" s="457"/>
      <c r="D61" s="457"/>
      <c r="E61" s="457"/>
      <c r="F61" s="457"/>
      <c r="G61" s="457"/>
    </row>
    <row r="62" spans="2:8" ht="21" x14ac:dyDescent="0.25">
      <c r="B62" s="457"/>
      <c r="C62" s="457"/>
      <c r="D62" s="457"/>
    </row>
    <row r="64" spans="2:8" ht="21" x14ac:dyDescent="0.25">
      <c r="B64" s="106" t="s">
        <v>160</v>
      </c>
    </row>
    <row r="66" spans="1:10" ht="21" x14ac:dyDescent="0.25">
      <c r="B66" s="457"/>
      <c r="C66" s="457"/>
      <c r="D66" s="457"/>
      <c r="E66" s="457"/>
      <c r="F66" s="457"/>
      <c r="G66" s="457"/>
      <c r="H66" s="457"/>
      <c r="I66" s="457"/>
    </row>
    <row r="67" spans="1:10" ht="21" x14ac:dyDescent="0.25">
      <c r="B67" s="457"/>
      <c r="C67" s="457"/>
      <c r="D67" s="457"/>
      <c r="E67" s="457"/>
      <c r="F67" s="457"/>
      <c r="G67" s="457"/>
      <c r="H67" s="457"/>
      <c r="I67" s="457"/>
    </row>
    <row r="68" spans="1:10" ht="21" x14ac:dyDescent="0.25">
      <c r="B68" s="457"/>
      <c r="C68" s="457"/>
      <c r="D68" s="457"/>
      <c r="E68" s="457"/>
      <c r="F68" s="457"/>
      <c r="G68" s="457"/>
      <c r="H68" s="457"/>
      <c r="I68" s="457"/>
    </row>
    <row r="69" spans="1:10" ht="21" x14ac:dyDescent="0.25">
      <c r="B69" s="457"/>
      <c r="C69" s="457"/>
      <c r="D69" s="457"/>
      <c r="E69" s="457"/>
      <c r="F69" s="457"/>
      <c r="G69" s="457"/>
      <c r="H69" s="457"/>
      <c r="I69" s="107"/>
    </row>
    <row r="72" spans="1:10" ht="21" customHeight="1" x14ac:dyDescent="0.25">
      <c r="A72" s="461"/>
      <c r="B72" s="461"/>
      <c r="C72" s="461"/>
      <c r="D72" s="461"/>
      <c r="E72" s="461"/>
      <c r="F72" s="461"/>
      <c r="G72" s="461"/>
      <c r="H72" s="461"/>
      <c r="I72" s="461"/>
      <c r="J72" s="461"/>
    </row>
    <row r="73" spans="1:10" ht="21" customHeight="1" x14ac:dyDescent="0.25">
      <c r="A73" s="461"/>
      <c r="B73" s="461"/>
      <c r="C73" s="461"/>
      <c r="D73" s="461"/>
      <c r="E73" s="461"/>
      <c r="F73" s="461"/>
      <c r="G73" s="461"/>
      <c r="H73" s="461"/>
      <c r="I73" s="461"/>
      <c r="J73" s="461"/>
    </row>
    <row r="74" spans="1:10" ht="15" customHeight="1" x14ac:dyDescent="0.25">
      <c r="A74" s="461"/>
      <c r="B74" s="461"/>
      <c r="C74" s="461"/>
      <c r="D74" s="461"/>
      <c r="E74" s="461"/>
      <c r="F74" s="461"/>
      <c r="G74" s="461"/>
      <c r="H74" s="461"/>
      <c r="I74" s="461"/>
      <c r="J74" s="461"/>
    </row>
    <row r="75" spans="1:10" ht="15" customHeight="1" x14ac:dyDescent="0.25">
      <c r="A75" s="461"/>
      <c r="B75" s="461"/>
      <c r="C75" s="461"/>
      <c r="D75" s="461"/>
      <c r="E75" s="461"/>
      <c r="F75" s="461"/>
      <c r="G75" s="461"/>
      <c r="H75" s="461"/>
      <c r="I75" s="461"/>
      <c r="J75" s="461"/>
    </row>
    <row r="76" spans="1:10" x14ac:dyDescent="0.25">
      <c r="A76" s="461"/>
      <c r="B76" s="461"/>
      <c r="C76" s="461"/>
      <c r="D76" s="461"/>
      <c r="E76" s="461"/>
      <c r="F76" s="461"/>
      <c r="G76" s="461"/>
      <c r="H76" s="461"/>
      <c r="I76" s="461"/>
      <c r="J76" s="461"/>
    </row>
    <row r="77" spans="1:10" x14ac:dyDescent="0.25">
      <c r="A77" s="461"/>
      <c r="B77" s="461"/>
      <c r="C77" s="461"/>
      <c r="D77" s="461"/>
      <c r="E77" s="461"/>
      <c r="F77" s="461"/>
      <c r="G77" s="461"/>
      <c r="H77" s="461"/>
      <c r="I77" s="461"/>
      <c r="J77" s="461"/>
    </row>
    <row r="78" spans="1:10" x14ac:dyDescent="0.25">
      <c r="A78" s="461"/>
      <c r="B78" s="461"/>
      <c r="C78" s="461"/>
      <c r="D78" s="461"/>
      <c r="E78" s="461"/>
      <c r="F78" s="461"/>
      <c r="G78" s="461"/>
      <c r="H78" s="461"/>
      <c r="I78" s="461"/>
      <c r="J78" s="461"/>
    </row>
    <row r="79" spans="1:10" x14ac:dyDescent="0.25">
      <c r="A79" s="461"/>
      <c r="B79" s="461"/>
      <c r="C79" s="461"/>
      <c r="D79" s="461"/>
      <c r="E79" s="461"/>
      <c r="F79" s="461"/>
      <c r="G79" s="461"/>
      <c r="H79" s="461"/>
      <c r="I79" s="461"/>
      <c r="J79" s="461"/>
    </row>
    <row r="80" spans="1:10" x14ac:dyDescent="0.25">
      <c r="A80" s="461"/>
      <c r="B80" s="461"/>
      <c r="C80" s="461"/>
      <c r="D80" s="461"/>
      <c r="E80" s="461"/>
      <c r="F80" s="461"/>
      <c r="G80" s="461"/>
      <c r="H80" s="461"/>
      <c r="I80" s="461"/>
      <c r="J80" s="461"/>
    </row>
    <row r="81" spans="1:10" x14ac:dyDescent="0.25">
      <c r="A81" s="461"/>
      <c r="B81" s="461"/>
      <c r="C81" s="461"/>
      <c r="D81" s="461"/>
      <c r="E81" s="461"/>
      <c r="F81" s="461"/>
      <c r="G81" s="461"/>
      <c r="H81" s="461"/>
      <c r="I81" s="461"/>
      <c r="J81" s="461"/>
    </row>
    <row r="85" spans="1:10" ht="36" x14ac:dyDescent="0.25">
      <c r="C85" s="460" t="s">
        <v>170</v>
      </c>
      <c r="D85" s="460"/>
      <c r="E85" s="460"/>
      <c r="F85" s="460"/>
      <c r="G85" s="460"/>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2" t="s">
        <v>10</v>
      </c>
      <c r="E96" s="453"/>
      <c r="F96" s="453"/>
      <c r="G96" s="453"/>
      <c r="H96" s="443"/>
    </row>
    <row r="97" spans="1:9" ht="30" x14ac:dyDescent="0.25">
      <c r="A97" s="110"/>
      <c r="B97" s="110"/>
      <c r="D97" s="323"/>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3" t="s">
        <v>176</v>
      </c>
      <c r="C116" s="463"/>
      <c r="D116" s="463"/>
      <c r="E116" s="463"/>
      <c r="F116" s="463"/>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0" t="s">
        <v>188</v>
      </c>
      <c r="D127" s="460"/>
      <c r="E127" s="460"/>
      <c r="F127" s="460"/>
    </row>
    <row r="128" spans="1:9" ht="36" x14ac:dyDescent="0.25">
      <c r="B128" s="103"/>
      <c r="C128" s="103"/>
      <c r="D128" s="103"/>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0" t="s">
        <v>283</v>
      </c>
      <c r="D163" s="460"/>
      <c r="E163" s="460"/>
      <c r="F163" s="460"/>
      <c r="G163" s="460"/>
      <c r="H163" s="460"/>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0" t="str">
        <f>"6. Résultats et exploitation des résultats à " &amp; Mesures_Sechoir!B20 &amp; "°C"</f>
        <v>6. Résultats et exploitation des résultats à °C</v>
      </c>
      <c r="D196" s="460"/>
      <c r="E196" s="460"/>
      <c r="F196" s="460"/>
      <c r="G196" s="460"/>
      <c r="H196" s="460"/>
    </row>
    <row r="200" spans="1:9" x14ac:dyDescent="0.25">
      <c r="A200" s="121" t="str" cm="1">
        <f t="array" ref="A200:B201">Mesures_Sechoir!$A$20:$B$21</f>
        <v>Consignes °C</v>
      </c>
      <c r="B200" s="123">
        <v>0</v>
      </c>
      <c r="G200" s="464" t="s">
        <v>190</v>
      </c>
      <c r="H200" s="465"/>
      <c r="I200" s="466"/>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7" t="s">
        <v>194</v>
      </c>
      <c r="C205" s="467"/>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8"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8"/>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8"/>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8"/>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0" t="str">
        <f>"6. Résultats et exploitation des résultats à " &amp; Mesures_Sechoir!B20&amp; "°C"</f>
        <v>6. Résultats et exploitation des résultats à °C</v>
      </c>
      <c r="C226" s="460"/>
      <c r="D226" s="460"/>
      <c r="E226" s="460"/>
      <c r="F226" s="460"/>
    </row>
    <row r="229" spans="2:9" x14ac:dyDescent="0.25">
      <c r="B229" s="351" t="s">
        <v>207</v>
      </c>
      <c r="C229" s="351"/>
    </row>
    <row r="232" spans="2:9" x14ac:dyDescent="0.25">
      <c r="C232" s="27"/>
      <c r="D232" s="27"/>
      <c r="E232" s="27"/>
      <c r="F232" s="470" t="s">
        <v>190</v>
      </c>
      <c r="G232" s="472"/>
      <c r="H232" s="472"/>
      <c r="I232" s="471"/>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59" t="s">
        <v>214</v>
      </c>
      <c r="H293" s="459"/>
    </row>
    <row r="297" spans="2:8" ht="23.25" customHeight="1" x14ac:dyDescent="0.25">
      <c r="B297" s="473" t="s">
        <v>552</v>
      </c>
      <c r="C297" s="473"/>
      <c r="D297" s="473"/>
      <c r="E297" s="473"/>
      <c r="F297" s="137" t="e">
        <f ca="1">IF(OR(AVERAGE(Sechoir!C16:K16)&gt;Sechoir!L16,AVERAGE(Sechoir!C17:K17)&lt;Sechoir!L17),"NON CONFORME","CONFORME")</f>
        <v>#REF!</v>
      </c>
      <c r="G297" s="138"/>
    </row>
    <row r="298" spans="2:8" ht="23.25" customHeight="1" x14ac:dyDescent="0.25">
      <c r="B298" s="473"/>
      <c r="C298" s="473"/>
      <c r="D298" s="473"/>
      <c r="E298" s="473"/>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69" t="s">
        <v>216</v>
      </c>
      <c r="D304" s="469"/>
      <c r="E304" s="141">
        <f>Mesures_Sechoir!$B$20</f>
        <v>0</v>
      </c>
    </row>
    <row r="305" spans="3:5" x14ac:dyDescent="0.25">
      <c r="C305" s="469" t="s">
        <v>217</v>
      </c>
      <c r="D305" s="469"/>
      <c r="E305" s="133" t="e">
        <f ca="1">Sechoir!C20</f>
        <v>#REF!</v>
      </c>
    </row>
    <row r="306" spans="3:5" x14ac:dyDescent="0.25">
      <c r="C306" s="469" t="s">
        <v>218</v>
      </c>
      <c r="D306" s="469"/>
      <c r="E306" s="38" t="str">
        <f>"±" &amp; Mesures_Sechoir!$B$21</f>
        <v>±</v>
      </c>
    </row>
    <row r="307" spans="3:5" x14ac:dyDescent="0.25">
      <c r="C307" s="470" t="s">
        <v>219</v>
      </c>
      <c r="D307" s="471"/>
      <c r="E307" s="38" t="e">
        <f ca="1">IF(F297="CONFORME","OUI","NON")</f>
        <v>#REF!</v>
      </c>
    </row>
  </sheetData>
  <sheetProtection algorithmName="SHA-512" hashValue="hSb29ml88KyqqvwZbudFMp1oz9YGEJQyjzrmAX8k+dgFXfuJvN4hk8njhyNiiN3olqe4bdKmHST6xF8lWUPwug==" saltValue="gRNDop9ByR95yTI9XKaT3g==" spinCount="100000" sheet="1" objects="1" scenarios="1"/>
  <mergeCells count="39">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workbookViewId="0">
      <selection activeCell="D6" sqref="D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5"/>
    </row>
    <row r="2" spans="1:13" x14ac:dyDescent="0.25">
      <c r="B2" s="444" t="s">
        <v>49</v>
      </c>
      <c r="C2" s="445"/>
      <c r="D2" s="445"/>
      <c r="E2" s="445"/>
      <c r="F2" s="445"/>
      <c r="G2" s="445"/>
      <c r="H2" s="445"/>
      <c r="I2" s="445"/>
      <c r="J2" s="445"/>
      <c r="K2" s="445"/>
    </row>
    <row r="3" spans="1:13" x14ac:dyDescent="0.25">
      <c r="B3" s="445"/>
      <c r="C3" s="445"/>
      <c r="D3" s="445"/>
      <c r="E3" s="445"/>
      <c r="F3" s="445"/>
      <c r="G3" s="445"/>
      <c r="H3" s="445"/>
      <c r="I3" s="445"/>
      <c r="J3" s="445"/>
      <c r="K3" s="445"/>
    </row>
    <row r="4" spans="1:13" ht="57" x14ac:dyDescent="0.25">
      <c r="B4" s="2"/>
      <c r="C4" s="2"/>
      <c r="D4" s="2"/>
      <c r="E4" s="2"/>
      <c r="F4" s="2"/>
      <c r="G4" s="2"/>
      <c r="H4" s="2"/>
      <c r="I4" s="2"/>
      <c r="J4" s="2"/>
      <c r="K4" s="2"/>
    </row>
    <row r="5" spans="1:13" ht="14.25" customHeight="1" x14ac:dyDescent="0.25">
      <c r="A5" s="446" t="s">
        <v>537</v>
      </c>
      <c r="B5" s="446"/>
      <c r="C5" s="446"/>
      <c r="D5" s="161" t="str">
        <f>Choose_TUS!L2 &amp; "(PV de l'étuve OMIA LVT)"</f>
        <v>IMP 472 ind O du 07-02-2024 (PV de l'étuve OMIA LVT)</v>
      </c>
      <c r="E5" s="2"/>
      <c r="F5" s="2"/>
      <c r="G5" s="2"/>
    </row>
    <row r="6" spans="1:13" x14ac:dyDescent="0.25">
      <c r="A6" s="446" t="s">
        <v>0</v>
      </c>
      <c r="B6" s="446"/>
      <c r="C6" s="446"/>
      <c r="D6" s="161"/>
      <c r="E6" s="1"/>
      <c r="F6" s="1"/>
    </row>
    <row r="7" spans="1:13" x14ac:dyDescent="0.25">
      <c r="A7" s="1"/>
      <c r="B7" s="1"/>
      <c r="C7" s="1"/>
      <c r="D7" s="1"/>
      <c r="E7" s="1"/>
      <c r="F7" s="1"/>
      <c r="G7" s="1"/>
    </row>
    <row r="8" spans="1:13" x14ac:dyDescent="0.25">
      <c r="A8" s="446" t="s">
        <v>1</v>
      </c>
      <c r="B8" s="446"/>
      <c r="C8" s="4"/>
      <c r="D8" s="1"/>
      <c r="E8" s="446" t="s">
        <v>18</v>
      </c>
      <c r="F8" s="446"/>
      <c r="G8" s="4"/>
      <c r="H8" s="156"/>
      <c r="M8" s="5"/>
    </row>
    <row r="9" spans="1:13" x14ac:dyDescent="0.25">
      <c r="A9" s="446" t="s">
        <v>2</v>
      </c>
      <c r="B9" s="446"/>
      <c r="C9" s="6"/>
      <c r="D9" s="1"/>
      <c r="E9" s="446" t="s">
        <v>19</v>
      </c>
      <c r="F9" s="446"/>
      <c r="G9" s="6"/>
      <c r="M9" s="5"/>
    </row>
    <row r="10" spans="1:13" x14ac:dyDescent="0.25">
      <c r="A10" s="1"/>
      <c r="B10" s="1"/>
      <c r="C10" s="1"/>
      <c r="D10" s="1"/>
      <c r="E10" s="1"/>
      <c r="F10" s="1"/>
      <c r="G10" s="1"/>
      <c r="M10" s="5"/>
    </row>
    <row r="11" spans="1:13" x14ac:dyDescent="0.25">
      <c r="A11" s="442" t="s">
        <v>3</v>
      </c>
      <c r="B11" s="443"/>
      <c r="C11" s="7"/>
      <c r="D11" s="1"/>
      <c r="E11" s="442" t="s">
        <v>20</v>
      </c>
      <c r="F11" s="443"/>
      <c r="G11" s="8"/>
    </row>
    <row r="12" spans="1:13" x14ac:dyDescent="0.25">
      <c r="A12" s="442" t="s">
        <v>4</v>
      </c>
      <c r="B12" s="443"/>
      <c r="C12" s="8"/>
      <c r="D12" s="1"/>
      <c r="E12" s="446" t="s">
        <v>21</v>
      </c>
      <c r="F12" s="446"/>
      <c r="G12" s="159">
        <v>15</v>
      </c>
    </row>
    <row r="13" spans="1:13" x14ac:dyDescent="0.25">
      <c r="A13" s="1"/>
      <c r="B13" s="1"/>
      <c r="C13" s="1"/>
      <c r="D13" s="1"/>
      <c r="E13" s="446" t="s">
        <v>22</v>
      </c>
      <c r="F13" s="446"/>
      <c r="G13" s="10"/>
    </row>
    <row r="14" spans="1:13" x14ac:dyDescent="0.25">
      <c r="A14" s="1"/>
      <c r="B14" s="1"/>
      <c r="C14" s="1"/>
      <c r="D14" s="1"/>
      <c r="E14" s="1"/>
      <c r="F14" s="1"/>
      <c r="G14" s="1"/>
    </row>
    <row r="15" spans="1:13" x14ac:dyDescent="0.25">
      <c r="A15" s="442" t="s">
        <v>5</v>
      </c>
      <c r="B15" s="443"/>
      <c r="C15" s="4"/>
      <c r="D15" s="1"/>
      <c r="E15" s="1"/>
      <c r="F15" s="1"/>
      <c r="G15" s="1"/>
    </row>
    <row r="16" spans="1:13" x14ac:dyDescent="0.25">
      <c r="A16" s="442" t="s">
        <v>6</v>
      </c>
      <c r="B16" s="443"/>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7" t="s">
        <v>13</v>
      </c>
      <c r="C41" s="447"/>
      <c r="D41" s="1"/>
      <c r="E41" s="1"/>
      <c r="F41" s="1"/>
      <c r="G41" s="1"/>
      <c r="H41" s="1"/>
      <c r="I41" s="1"/>
      <c r="J41" s="447" t="s">
        <v>30</v>
      </c>
      <c r="K41" s="447"/>
      <c r="L41" s="1"/>
      <c r="M41" s="1"/>
    </row>
    <row r="42" spans="1:15" x14ac:dyDescent="0.25">
      <c r="A42" s="1"/>
      <c r="B42" s="1"/>
      <c r="C42" s="1"/>
      <c r="D42" s="1"/>
      <c r="E42" s="1"/>
      <c r="F42" s="1"/>
      <c r="G42" s="1"/>
      <c r="H42" s="1"/>
      <c r="I42" s="1"/>
      <c r="J42" s="1"/>
      <c r="K42" s="1"/>
      <c r="L42" s="1"/>
      <c r="M42" s="1"/>
      <c r="N42" s="1"/>
      <c r="O42" s="1"/>
    </row>
    <row r="43" spans="1:15" x14ac:dyDescent="0.25">
      <c r="A43" s="442" t="s">
        <v>10</v>
      </c>
      <c r="B43" s="453"/>
      <c r="C43" s="453"/>
      <c r="D43" s="453"/>
      <c r="E43" s="453"/>
      <c r="F43" s="443"/>
      <c r="G43" s="1"/>
      <c r="H43" s="1"/>
      <c r="I43" s="446" t="s">
        <v>26</v>
      </c>
      <c r="J43" s="446"/>
      <c r="K43" s="446"/>
      <c r="L43" s="446"/>
      <c r="M43" s="446"/>
    </row>
    <row r="44" spans="1:15" ht="30" x14ac:dyDescent="0.25">
      <c r="A44" s="446"/>
      <c r="B44" s="446"/>
      <c r="C44" s="3" t="s">
        <v>15</v>
      </c>
      <c r="D44" s="20" t="s">
        <v>17</v>
      </c>
      <c r="E44" s="20" t="s">
        <v>24</v>
      </c>
      <c r="F44" s="20" t="s">
        <v>25</v>
      </c>
      <c r="G44" s="1"/>
      <c r="H44" s="1"/>
      <c r="I44" s="450"/>
      <c r="J44" s="450"/>
      <c r="K44" s="3" t="s">
        <v>32</v>
      </c>
      <c r="L44" s="3" t="s">
        <v>34</v>
      </c>
      <c r="M44" s="3" t="s">
        <v>35</v>
      </c>
    </row>
    <row r="45" spans="1:15" x14ac:dyDescent="0.25">
      <c r="A45" s="442" t="str">
        <f>CONCATENATE("Sonde ", B24)</f>
        <v xml:space="preserve">Sonde </v>
      </c>
      <c r="B45" s="443"/>
      <c r="C45" s="10"/>
      <c r="D45" s="10"/>
      <c r="E45" s="10"/>
      <c r="F45" s="4"/>
      <c r="G45" s="1"/>
      <c r="H45" s="1"/>
      <c r="I45" s="451" t="s">
        <v>27</v>
      </c>
      <c r="J45" s="452"/>
      <c r="K45" s="10"/>
      <c r="L45" s="4"/>
      <c r="M45" s="4"/>
    </row>
    <row r="46" spans="1:15" x14ac:dyDescent="0.25">
      <c r="A46" s="442" t="str">
        <f t="shared" ref="A46:A57" si="0">CONCATENATE("Sonde ", B25)</f>
        <v xml:space="preserve">Sonde </v>
      </c>
      <c r="B46" s="443"/>
      <c r="C46" s="10"/>
      <c r="D46" s="10"/>
      <c r="E46" s="10"/>
      <c r="F46" s="4"/>
      <c r="G46" s="1"/>
      <c r="H46" s="1"/>
      <c r="I46" s="1"/>
      <c r="J46" s="1"/>
      <c r="K46" s="1"/>
      <c r="L46" s="1"/>
      <c r="M46" s="1"/>
    </row>
    <row r="47" spans="1:15" x14ac:dyDescent="0.25">
      <c r="A47" s="442" t="str">
        <f t="shared" si="0"/>
        <v xml:space="preserve">Sonde </v>
      </c>
      <c r="B47" s="443"/>
      <c r="C47" s="10"/>
      <c r="D47" s="10"/>
      <c r="E47" s="10"/>
      <c r="F47" s="4"/>
      <c r="G47" s="1"/>
      <c r="H47" s="1"/>
      <c r="I47" s="1"/>
      <c r="J47" s="1"/>
      <c r="K47" s="1"/>
      <c r="L47" s="1"/>
      <c r="M47" s="1"/>
    </row>
    <row r="48" spans="1:15" x14ac:dyDescent="0.25">
      <c r="A48" s="442" t="str">
        <f t="shared" si="0"/>
        <v xml:space="preserve">Sonde </v>
      </c>
      <c r="B48" s="443"/>
      <c r="C48" s="10"/>
      <c r="D48" s="10"/>
      <c r="E48" s="10"/>
      <c r="F48" s="4"/>
      <c r="G48" s="1"/>
      <c r="H48" s="1"/>
      <c r="I48" s="1"/>
      <c r="J48" s="1"/>
      <c r="K48" s="1"/>
      <c r="L48" s="1"/>
      <c r="M48" s="1"/>
    </row>
    <row r="49" spans="1:15" x14ac:dyDescent="0.25">
      <c r="A49" s="442" t="str">
        <f t="shared" si="0"/>
        <v xml:space="preserve">Sonde </v>
      </c>
      <c r="B49" s="443"/>
      <c r="C49" s="10"/>
      <c r="D49" s="10"/>
      <c r="E49" s="10"/>
      <c r="F49" s="4"/>
      <c r="G49" s="1"/>
      <c r="H49" s="1"/>
      <c r="I49" s="1"/>
      <c r="J49" s="1"/>
    </row>
    <row r="50" spans="1:15" x14ac:dyDescent="0.25">
      <c r="A50" s="442" t="str">
        <f t="shared" si="0"/>
        <v xml:space="preserve">Sonde </v>
      </c>
      <c r="B50" s="443"/>
      <c r="C50" s="10"/>
      <c r="D50" s="10"/>
      <c r="E50" s="10"/>
      <c r="F50" s="4"/>
      <c r="G50" s="1"/>
      <c r="H50" s="1"/>
      <c r="I50" s="1"/>
      <c r="J50" s="1"/>
    </row>
    <row r="51" spans="1:15" x14ac:dyDescent="0.25">
      <c r="A51" s="442" t="str">
        <f t="shared" si="0"/>
        <v xml:space="preserve">Sonde </v>
      </c>
      <c r="B51" s="443"/>
      <c r="C51" s="10"/>
      <c r="D51" s="10"/>
      <c r="E51" s="10"/>
      <c r="F51" s="4"/>
      <c r="G51" s="1"/>
      <c r="H51" s="1"/>
      <c r="I51" s="1"/>
      <c r="J51" s="1"/>
    </row>
    <row r="52" spans="1:15" x14ac:dyDescent="0.25">
      <c r="A52" s="442" t="str">
        <f t="shared" si="0"/>
        <v xml:space="preserve">Sonde </v>
      </c>
      <c r="B52" s="443"/>
      <c r="C52" s="10"/>
      <c r="D52" s="10"/>
      <c r="E52" s="10"/>
      <c r="F52" s="4"/>
      <c r="G52" s="1"/>
      <c r="H52" s="1"/>
      <c r="I52" s="1"/>
      <c r="J52" s="1"/>
    </row>
    <row r="53" spans="1:15" x14ac:dyDescent="0.25">
      <c r="A53" s="442" t="str">
        <f t="shared" si="0"/>
        <v xml:space="preserve">Sonde </v>
      </c>
      <c r="B53" s="443"/>
      <c r="C53" s="10"/>
      <c r="D53" s="10"/>
      <c r="E53" s="10"/>
      <c r="F53" s="4"/>
      <c r="G53" s="1"/>
      <c r="H53" s="1"/>
      <c r="I53" s="1"/>
      <c r="J53" s="1"/>
    </row>
    <row r="54" spans="1:15" x14ac:dyDescent="0.25">
      <c r="A54" s="442" t="str">
        <f t="shared" si="0"/>
        <v xml:space="preserve">Sonde </v>
      </c>
      <c r="B54" s="443"/>
      <c r="C54" s="10"/>
      <c r="D54" s="10"/>
      <c r="E54" s="10"/>
      <c r="F54" s="4"/>
      <c r="G54" s="1"/>
      <c r="H54" s="1"/>
      <c r="I54" s="1"/>
      <c r="J54" s="1"/>
    </row>
    <row r="55" spans="1:15" x14ac:dyDescent="0.25">
      <c r="A55" s="442" t="str">
        <f t="shared" si="0"/>
        <v xml:space="preserve">Sonde </v>
      </c>
      <c r="B55" s="443"/>
      <c r="C55" s="10"/>
      <c r="D55" s="10"/>
      <c r="E55" s="10"/>
      <c r="F55" s="4"/>
      <c r="G55" s="1"/>
      <c r="H55" s="1"/>
      <c r="I55" s="1"/>
      <c r="J55" s="1"/>
      <c r="K55" s="1"/>
      <c r="L55" s="1"/>
      <c r="M55" s="1"/>
    </row>
    <row r="56" spans="1:15" x14ac:dyDescent="0.25">
      <c r="A56" s="442" t="str">
        <f t="shared" si="0"/>
        <v xml:space="preserve">Sonde </v>
      </c>
      <c r="B56" s="443"/>
      <c r="C56" s="10"/>
      <c r="D56" s="10"/>
      <c r="E56" s="10"/>
      <c r="F56" s="4"/>
      <c r="G56" s="1"/>
      <c r="H56" s="1"/>
      <c r="I56" s="1"/>
      <c r="J56" s="1"/>
      <c r="K56" s="1"/>
      <c r="L56" s="1"/>
      <c r="M56" s="1"/>
    </row>
    <row r="57" spans="1:15" x14ac:dyDescent="0.25">
      <c r="A57" s="442" t="str">
        <f t="shared" si="0"/>
        <v xml:space="preserve">Sonde </v>
      </c>
      <c r="B57" s="443"/>
      <c r="C57" s="10"/>
      <c r="D57" s="10"/>
      <c r="E57" s="10"/>
      <c r="F57" s="4"/>
      <c r="G57" s="1"/>
      <c r="H57" s="1"/>
      <c r="I57" s="1"/>
      <c r="J57" s="1"/>
      <c r="K57" s="1"/>
      <c r="L57" s="1"/>
      <c r="M57" s="1"/>
      <c r="N57" s="1"/>
      <c r="O57" s="1"/>
    </row>
  </sheetData>
  <sheetProtection algorithmName="SHA-512" hashValue="ihnNhyDJGj/ZTO1X1KS/lHGpn2GjbvDI6unWqZjMrUj/QAnYxlTDzFkn0s9QpWJ1In2QvnX0ASwTdZ47JvA05g==" saltValue="R2HvbCtaJ/n8i7f6sjT07g=="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riNBz+H8lpBlp5fWKuh0xClEZB5oK09nsCpkJkvA6rINUpcTcLcfaCJsaJyvX4nmsOrw5QITgWrTcBYc4mkegw==" saltValue="OOX6VxXdvoCyxGJqTuAw+w=="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ejcQpJt6CZSJtvx6r4BIgobTsuEXISU2olSjef7AmpVYbk44Ad163czJFGiegsPc7YyitJ0IDcMxMeuWGu/dew==" saltValue="DIeAUlQ2kunkgpN5NjoJTQ=="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lfmTLvSFd9XL/rjIC2hbZX1W7f/4/KJR4sQgu1QLiuD9k42w7DhZKC2eUN5CUJw2w7+vnFSF02Ba8V6Obbhizw==" saltValue="hYWIs4jgrZJdlDVfr0iqvA=="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topLeftCell="A33"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5" t="str">
        <f>Mesures_Omia!B20 &amp; "°C"</f>
        <v>°C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4" t="s">
        <v>88</v>
      </c>
      <c r="B9" s="374"/>
      <c r="C9" s="374"/>
      <c r="D9" s="374"/>
      <c r="E9" s="374"/>
      <c r="F9" s="374"/>
      <c r="G9" s="374"/>
      <c r="H9" s="374"/>
      <c r="I9" s="374"/>
      <c r="J9" s="374"/>
      <c r="K9" s="374"/>
      <c r="L9" s="374"/>
      <c r="M9" s="374"/>
      <c r="N9" s="374"/>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5"/>
      <c r="B13" s="495"/>
      <c r="C13" s="495"/>
      <c r="D13" s="495"/>
      <c r="E13" s="495"/>
      <c r="F13" s="495"/>
      <c r="G13" s="495"/>
      <c r="H13" s="495"/>
      <c r="I13" s="495"/>
      <c r="J13" s="495"/>
      <c r="K13" s="495"/>
      <c r="L13" s="495"/>
      <c r="M13" s="495"/>
      <c r="N13" s="495"/>
      <c r="O13" s="495"/>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92</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94</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2" t="e">
        <f ca="1">ABS(MAX(C16:O16)-MIN(C17:O17))</f>
        <v>#REF!</v>
      </c>
      <c r="D20" s="493"/>
      <c r="E20" s="493"/>
      <c r="F20" s="493"/>
      <c r="G20" s="493"/>
      <c r="H20" s="493"/>
      <c r="I20" s="493"/>
      <c r="J20" s="493"/>
      <c r="K20" s="493"/>
      <c r="L20" s="493"/>
      <c r="M20" s="493"/>
      <c r="N20" s="493"/>
      <c r="O20" s="494"/>
      <c r="P20" s="33"/>
    </row>
    <row r="21" spans="2:19" s="27" customFormat="1" x14ac:dyDescent="0.25">
      <c r="B21" s="42" t="s">
        <v>98</v>
      </c>
      <c r="C21" s="492" t="e">
        <f ca="1">AVERAGE(C18:O18)</f>
        <v>#REF!</v>
      </c>
      <c r="D21" s="493"/>
      <c r="E21" s="493"/>
      <c r="F21" s="493"/>
      <c r="G21" s="493"/>
      <c r="H21" s="493"/>
      <c r="I21" s="493"/>
      <c r="J21" s="493"/>
      <c r="K21" s="493"/>
      <c r="L21" s="493"/>
      <c r="M21" s="493"/>
      <c r="N21" s="493"/>
      <c r="O21" s="494"/>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sxVaOoac3fdUEvoln2A0Wzuj5Q8qJOG4445xdvQJdRru7ulNUDHAutKAbm3HDU0FfG3zMuZwD4uZaBzSjjkTGg==" saltValue="gq3dTTf+1K0wOuYnfhjIgA=="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0" workbookViewId="0">
      <selection activeCell="C64" sqref="C64"/>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5" t="str">
        <f>Mesures_Omia!C20 &amp; "°C"</f>
        <v>°C</v>
      </c>
      <c r="B1" s="455"/>
      <c r="C1" s="455"/>
      <c r="D1" s="455"/>
      <c r="E1" s="455"/>
      <c r="F1" s="455"/>
      <c r="G1" s="455"/>
      <c r="H1" s="455"/>
      <c r="I1" s="455"/>
      <c r="J1" s="455"/>
      <c r="K1" s="455"/>
      <c r="L1" s="455"/>
      <c r="M1" s="455"/>
      <c r="N1" s="455"/>
      <c r="O1" s="455"/>
      <c r="P1" s="455"/>
      <c r="Q1" s="455"/>
      <c r="R1" s="455"/>
      <c r="S1" s="455"/>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O9" s="351"/>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5"/>
      <c r="B13" s="495"/>
      <c r="C13" s="495"/>
      <c r="D13" s="495"/>
      <c r="E13" s="495"/>
      <c r="F13" s="495"/>
      <c r="G13" s="495"/>
      <c r="H13" s="495"/>
      <c r="I13" s="495"/>
      <c r="J13" s="495"/>
      <c r="K13" s="495"/>
      <c r="L13" s="495"/>
      <c r="M13" s="495"/>
      <c r="N13" s="495"/>
      <c r="O13" s="495"/>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94</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2" t="e">
        <f ca="1">ABS(MAX(C16:N16)-MIN(C17:N17))</f>
        <v>#REF!</v>
      </c>
      <c r="D20" s="493"/>
      <c r="E20" s="493"/>
      <c r="F20" s="493"/>
      <c r="G20" s="493"/>
      <c r="H20" s="493"/>
      <c r="I20" s="493"/>
      <c r="J20" s="493"/>
      <c r="K20" s="493"/>
      <c r="L20" s="493"/>
      <c r="M20" s="493"/>
      <c r="N20" s="493"/>
      <c r="O20" s="494"/>
      <c r="P20" s="33"/>
    </row>
    <row r="21" spans="1:19" s="27" customFormat="1" x14ac:dyDescent="0.25">
      <c r="B21" s="42" t="s">
        <v>98</v>
      </c>
      <c r="C21" s="492" t="e">
        <f ca="1">AVERAGE(C18:N18)</f>
        <v>#REF!</v>
      </c>
      <c r="D21" s="493"/>
      <c r="E21" s="493"/>
      <c r="F21" s="493"/>
      <c r="G21" s="493"/>
      <c r="H21" s="493"/>
      <c r="I21" s="493"/>
      <c r="J21" s="493"/>
      <c r="K21" s="493"/>
      <c r="L21" s="493"/>
      <c r="M21" s="493"/>
      <c r="N21" s="493"/>
      <c r="O21" s="494"/>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5O6gFq49jcOARm5/8o8nR0YGaXZdjoh8cgW1LeU/7xKE6vt1s+q1uhVT+ujveZP2SA7fmVPLSMDvDgO3GCUfxA==" saltValue="VmuKrOiUUHUhIeOm8Qs9WA=="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13" workbookViewId="0">
      <selection activeCell="H60" sqref="H60"/>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5" t="str">
        <f>Mesures_Omia!D20 &amp; "°C"</f>
        <v>°C</v>
      </c>
      <c r="B1" s="455"/>
      <c r="C1" s="455"/>
      <c r="D1" s="455"/>
      <c r="E1" s="455"/>
      <c r="F1" s="455"/>
      <c r="G1" s="455"/>
      <c r="H1" s="455"/>
      <c r="I1" s="455"/>
      <c r="J1" s="455"/>
      <c r="K1" s="455"/>
      <c r="L1" s="455"/>
      <c r="M1" s="455"/>
      <c r="N1" s="455"/>
      <c r="O1" s="455"/>
      <c r="P1" s="455"/>
      <c r="Q1" s="455"/>
      <c r="R1" s="455"/>
      <c r="S1" s="455"/>
    </row>
    <row r="2" spans="1:19" s="27" customFormat="1" x14ac:dyDescent="0.25">
      <c r="A2" s="455"/>
      <c r="B2" s="455"/>
      <c r="C2" s="455"/>
      <c r="D2" s="455"/>
      <c r="E2" s="455"/>
      <c r="F2" s="455"/>
      <c r="G2" s="455"/>
      <c r="H2" s="455"/>
      <c r="I2" s="455"/>
      <c r="J2" s="455"/>
      <c r="K2" s="455"/>
      <c r="L2" s="455"/>
      <c r="M2" s="455"/>
      <c r="N2" s="455"/>
      <c r="O2" s="455"/>
      <c r="P2" s="455"/>
      <c r="Q2" s="455"/>
      <c r="R2" s="455"/>
      <c r="S2" s="455"/>
    </row>
    <row r="3" spans="1:19" s="27" customFormat="1" x14ac:dyDescent="0.25">
      <c r="A3" s="455"/>
      <c r="B3" s="455"/>
      <c r="C3" s="455"/>
      <c r="D3" s="455"/>
      <c r="E3" s="455"/>
      <c r="F3" s="455"/>
      <c r="G3" s="455"/>
      <c r="H3" s="455"/>
      <c r="I3" s="455"/>
      <c r="J3" s="455"/>
      <c r="K3" s="455"/>
      <c r="L3" s="455"/>
      <c r="M3" s="455"/>
      <c r="N3" s="455"/>
      <c r="O3" s="455"/>
      <c r="P3" s="455"/>
      <c r="Q3" s="455"/>
      <c r="R3" s="455"/>
      <c r="S3" s="455"/>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51" t="s">
        <v>88</v>
      </c>
      <c r="B9" s="351"/>
      <c r="C9" s="351"/>
      <c r="D9" s="351"/>
      <c r="E9" s="351"/>
      <c r="F9" s="351"/>
      <c r="G9" s="351"/>
      <c r="H9" s="351"/>
      <c r="I9" s="351"/>
      <c r="J9" s="351"/>
      <c r="K9" s="351"/>
      <c r="L9" s="351"/>
      <c r="M9" s="351"/>
      <c r="N9" s="351"/>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5"/>
      <c r="B13" s="495"/>
      <c r="C13" s="495"/>
      <c r="D13" s="495"/>
      <c r="E13" s="495"/>
      <c r="F13" s="495"/>
      <c r="G13" s="495"/>
      <c r="H13" s="495"/>
      <c r="I13" s="495"/>
      <c r="J13" s="495"/>
      <c r="K13" s="495"/>
      <c r="L13" s="495"/>
      <c r="M13" s="495"/>
      <c r="N13" s="495"/>
      <c r="O13" s="495"/>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94</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2" t="e">
        <f ca="1">ABS(MAX(C16:N16)-MIN(C17:N17))</f>
        <v>#REF!</v>
      </c>
      <c r="D20" s="493"/>
      <c r="E20" s="493"/>
      <c r="F20" s="493"/>
      <c r="G20" s="493"/>
      <c r="H20" s="493"/>
      <c r="I20" s="493"/>
      <c r="J20" s="493"/>
      <c r="K20" s="493"/>
      <c r="L20" s="493"/>
      <c r="M20" s="493"/>
      <c r="N20" s="493"/>
      <c r="O20" s="493"/>
      <c r="P20" s="494"/>
    </row>
    <row r="21" spans="1:19" s="27" customFormat="1" x14ac:dyDescent="0.25">
      <c r="B21" s="42" t="s">
        <v>98</v>
      </c>
      <c r="C21" s="492" t="e">
        <f ca="1">AVERAGE(C18:N18)</f>
        <v>#REF!</v>
      </c>
      <c r="D21" s="493"/>
      <c r="E21" s="493"/>
      <c r="F21" s="493"/>
      <c r="G21" s="493"/>
      <c r="H21" s="493"/>
      <c r="I21" s="493"/>
      <c r="J21" s="493"/>
      <c r="K21" s="493"/>
      <c r="L21" s="493"/>
      <c r="M21" s="493"/>
      <c r="N21" s="493"/>
      <c r="O21" s="493"/>
      <c r="P21" s="494"/>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WwKhRYllYWNR4SGFgiJLjUbGoHwwlbTv+kUW14JMSZrhh7MuQhfZyuShECRYOspS4Qa1TPo0U4jPsEWzuUwg6g==" saltValue="vL7EZ8IcGtGUDAgox0Cezg=="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6"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6" t="s">
        <v>246</v>
      </c>
      <c r="C4" s="497"/>
      <c r="D4" s="497"/>
      <c r="E4" s="497"/>
      <c r="F4" s="497"/>
    </row>
    <row r="5" spans="2:9" ht="26.25" x14ac:dyDescent="0.25">
      <c r="B5" s="497"/>
      <c r="C5" s="497"/>
      <c r="D5" s="497"/>
      <c r="E5" s="497"/>
      <c r="F5" s="497"/>
      <c r="G5" s="87"/>
      <c r="H5" s="87"/>
      <c r="I5" s="88"/>
    </row>
    <row r="6" spans="2:9" ht="58.5" customHeight="1" x14ac:dyDescent="0.25">
      <c r="B6" s="497"/>
      <c r="C6" s="497"/>
      <c r="D6" s="497"/>
      <c r="E6" s="497"/>
      <c r="F6" s="497"/>
    </row>
    <row r="10" spans="2:9" ht="21" x14ac:dyDescent="0.25">
      <c r="C10" s="437" t="s">
        <v>138</v>
      </c>
      <c r="D10" s="437"/>
      <c r="E10" s="458">
        <f>Mesures_Omia!D6</f>
        <v>0</v>
      </c>
      <c r="F10" s="458"/>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59" t="s">
        <v>146</v>
      </c>
      <c r="B28" s="459"/>
    </row>
    <row r="30" spans="1:9" x14ac:dyDescent="0.25">
      <c r="A30" s="435" t="s">
        <v>222</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8" ht="36" x14ac:dyDescent="0.25">
      <c r="C51" s="460" t="s">
        <v>148</v>
      </c>
      <c r="D51" s="460"/>
      <c r="E51" s="460"/>
      <c r="F51" s="460"/>
    </row>
    <row r="52" spans="2:8" ht="17.25" x14ac:dyDescent="0.25">
      <c r="B52" s="104"/>
    </row>
    <row r="53" spans="2:8" ht="23.25" x14ac:dyDescent="0.25">
      <c r="B53" s="105" t="s">
        <v>149</v>
      </c>
    </row>
    <row r="55" spans="2:8" ht="21" x14ac:dyDescent="0.25">
      <c r="B55" s="106" t="s">
        <v>223</v>
      </c>
      <c r="E55" s="457" t="s">
        <v>224</v>
      </c>
      <c r="F55" s="457"/>
      <c r="G55" s="106"/>
      <c r="H55" s="107"/>
    </row>
    <row r="56" spans="2:8" ht="21" x14ac:dyDescent="0.25">
      <c r="B56" s="106" t="s">
        <v>225</v>
      </c>
      <c r="E56" s="457" t="s">
        <v>226</v>
      </c>
      <c r="F56" s="457"/>
      <c r="G56" s="457"/>
      <c r="H56" s="106"/>
    </row>
    <row r="57" spans="2:8" ht="21" x14ac:dyDescent="0.25">
      <c r="B57" s="457" t="s">
        <v>227</v>
      </c>
      <c r="C57" s="457"/>
      <c r="E57" s="457" t="s">
        <v>155</v>
      </c>
      <c r="F57" s="457"/>
      <c r="G57" s="107"/>
      <c r="H57" s="107"/>
    </row>
    <row r="59" spans="2:8" ht="23.25" x14ac:dyDescent="0.25">
      <c r="B59" s="105" t="s">
        <v>156</v>
      </c>
    </row>
    <row r="61" spans="2:8" ht="21" x14ac:dyDescent="0.25">
      <c r="B61" s="457" t="s">
        <v>228</v>
      </c>
      <c r="C61" s="457"/>
      <c r="D61" s="106"/>
      <c r="E61" s="457"/>
      <c r="F61" s="457"/>
      <c r="G61" s="457"/>
    </row>
    <row r="62" spans="2:8" ht="21" x14ac:dyDescent="0.25">
      <c r="B62" s="457" t="s">
        <v>229</v>
      </c>
      <c r="C62" s="457"/>
      <c r="D62" s="106"/>
    </row>
    <row r="64" spans="2:8" ht="21" x14ac:dyDescent="0.25">
      <c r="B64" s="106" t="s">
        <v>160</v>
      </c>
    </row>
    <row r="66" spans="2:9" ht="21" x14ac:dyDescent="0.25">
      <c r="B66" s="106" t="s">
        <v>230</v>
      </c>
      <c r="C66" s="106"/>
      <c r="D66" s="106"/>
      <c r="E66" s="498" t="s">
        <v>231</v>
      </c>
      <c r="F66" s="498"/>
      <c r="G66" s="106"/>
      <c r="H66" s="106"/>
      <c r="I66" s="106"/>
    </row>
    <row r="67" spans="2:9" ht="21" x14ac:dyDescent="0.25">
      <c r="B67" s="149" t="s">
        <v>231</v>
      </c>
      <c r="C67" s="106"/>
      <c r="D67" s="106"/>
      <c r="E67" s="457" t="s">
        <v>232</v>
      </c>
      <c r="F67" s="457"/>
      <c r="G67" s="457"/>
      <c r="H67" s="457"/>
      <c r="I67" s="106"/>
    </row>
    <row r="68" spans="2:9" ht="21" x14ac:dyDescent="0.25">
      <c r="B68" s="457"/>
      <c r="C68" s="457"/>
      <c r="D68" s="457"/>
      <c r="E68" s="457"/>
      <c r="F68" s="457"/>
      <c r="G68" s="457"/>
      <c r="H68" s="457"/>
      <c r="I68" s="457"/>
    </row>
    <row r="69" spans="2:9" ht="21" x14ac:dyDescent="0.25">
      <c r="B69" s="457"/>
      <c r="C69" s="457"/>
      <c r="D69" s="457"/>
      <c r="E69" s="457"/>
      <c r="F69" s="457"/>
      <c r="G69" s="457"/>
      <c r="H69" s="457"/>
      <c r="I69" s="107"/>
    </row>
    <row r="85" spans="1:9" ht="36" x14ac:dyDescent="0.25">
      <c r="C85" s="460" t="s">
        <v>170</v>
      </c>
      <c r="D85" s="460"/>
      <c r="E85" s="460"/>
      <c r="F85" s="460"/>
      <c r="G85" s="460"/>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2" t="s">
        <v>10</v>
      </c>
      <c r="D94" s="453"/>
      <c r="E94" s="453"/>
      <c r="F94" s="453"/>
      <c r="G94" s="453"/>
      <c r="H94" s="443"/>
      <c r="I94" s="110"/>
    </row>
    <row r="95" spans="1:9" ht="30" x14ac:dyDescent="0.25">
      <c r="A95" s="110"/>
      <c r="B95" s="110"/>
      <c r="C95" s="446"/>
      <c r="D95" s="446"/>
      <c r="E95" s="3" t="s">
        <v>15</v>
      </c>
      <c r="F95" s="20" t="s">
        <v>17</v>
      </c>
      <c r="G95" s="20" t="s">
        <v>24</v>
      </c>
      <c r="H95" s="20" t="s">
        <v>25</v>
      </c>
      <c r="I95" s="113"/>
    </row>
    <row r="96" spans="1:9" ht="17.25" x14ac:dyDescent="0.25">
      <c r="A96" s="110"/>
      <c r="B96" s="110"/>
      <c r="C96" s="442" t="str">
        <f>Mesures_Omia!A45</f>
        <v xml:space="preserve">Sonde </v>
      </c>
      <c r="D96" s="443"/>
      <c r="E96" s="10" cm="1">
        <f t="array" ref="E96:H108">Mesures_Omia!C45:F57</f>
        <v>0</v>
      </c>
      <c r="F96" s="10">
        <v>0</v>
      </c>
      <c r="G96" s="10">
        <v>0</v>
      </c>
      <c r="H96" s="10">
        <v>0</v>
      </c>
      <c r="I96" s="110"/>
    </row>
    <row r="97" spans="1:9" ht="17.25" x14ac:dyDescent="0.25">
      <c r="A97" s="110"/>
      <c r="B97" s="110"/>
      <c r="C97" s="442" t="str">
        <f>Mesures_Omia!A46</f>
        <v xml:space="preserve">Sonde </v>
      </c>
      <c r="D97" s="443"/>
      <c r="E97" s="10">
        <v>0</v>
      </c>
      <c r="F97" s="10">
        <v>0</v>
      </c>
      <c r="G97" s="10">
        <v>0</v>
      </c>
      <c r="H97" s="10">
        <v>0</v>
      </c>
      <c r="I97" s="110"/>
    </row>
    <row r="98" spans="1:9" ht="17.25" x14ac:dyDescent="0.25">
      <c r="A98" s="110"/>
      <c r="B98" s="110"/>
      <c r="C98" s="442" t="str">
        <f>Mesures_Omia!A47</f>
        <v xml:space="preserve">Sonde </v>
      </c>
      <c r="D98" s="443"/>
      <c r="E98" s="10">
        <v>0</v>
      </c>
      <c r="F98" s="10">
        <v>0</v>
      </c>
      <c r="G98" s="10">
        <v>0</v>
      </c>
      <c r="H98" s="10">
        <v>0</v>
      </c>
      <c r="I98" s="110"/>
    </row>
    <row r="99" spans="1:9" ht="17.25" x14ac:dyDescent="0.25">
      <c r="A99" s="110"/>
      <c r="B99" s="110"/>
      <c r="C99" s="442" t="str">
        <f>Mesures_Omia!A48</f>
        <v xml:space="preserve">Sonde </v>
      </c>
      <c r="D99" s="443"/>
      <c r="E99" s="10">
        <v>0</v>
      </c>
      <c r="F99" s="10">
        <v>0</v>
      </c>
      <c r="G99" s="10">
        <v>0</v>
      </c>
      <c r="H99" s="10">
        <v>0</v>
      </c>
      <c r="I99" s="110"/>
    </row>
    <row r="100" spans="1:9" ht="17.25" x14ac:dyDescent="0.25">
      <c r="A100" s="110"/>
      <c r="B100" s="110"/>
      <c r="C100" s="442" t="str">
        <f>Mesures_Omia!A49</f>
        <v xml:space="preserve">Sonde </v>
      </c>
      <c r="D100" s="443"/>
      <c r="E100" s="10">
        <v>0</v>
      </c>
      <c r="F100" s="10">
        <v>0</v>
      </c>
      <c r="G100" s="10">
        <v>0</v>
      </c>
      <c r="H100" s="10">
        <v>0</v>
      </c>
      <c r="I100" s="110"/>
    </row>
    <row r="101" spans="1:9" ht="17.25" x14ac:dyDescent="0.25">
      <c r="A101" s="110"/>
      <c r="B101" s="110"/>
      <c r="C101" s="442" t="str">
        <f>Mesures_Omia!A50</f>
        <v xml:space="preserve">Sonde </v>
      </c>
      <c r="D101" s="443"/>
      <c r="E101" s="10">
        <v>0</v>
      </c>
      <c r="F101" s="10">
        <v>0</v>
      </c>
      <c r="G101" s="10">
        <v>0</v>
      </c>
      <c r="H101" s="10">
        <v>0</v>
      </c>
      <c r="I101" s="110"/>
    </row>
    <row r="102" spans="1:9" ht="17.25" x14ac:dyDescent="0.25">
      <c r="A102" s="110"/>
      <c r="B102" s="110"/>
      <c r="C102" s="442" t="str">
        <f>Mesures_Omia!A51</f>
        <v xml:space="preserve">Sonde </v>
      </c>
      <c r="D102" s="443"/>
      <c r="E102" s="10">
        <v>0</v>
      </c>
      <c r="F102" s="10">
        <v>0</v>
      </c>
      <c r="G102" s="10">
        <v>0</v>
      </c>
      <c r="H102" s="10">
        <v>0</v>
      </c>
      <c r="I102" s="110"/>
    </row>
    <row r="103" spans="1:9" ht="17.25" x14ac:dyDescent="0.25">
      <c r="A103" s="110"/>
      <c r="B103" s="110"/>
      <c r="C103" s="442" t="str">
        <f>Mesures_Omia!A52</f>
        <v xml:space="preserve">Sonde </v>
      </c>
      <c r="D103" s="443"/>
      <c r="E103" s="10">
        <v>0</v>
      </c>
      <c r="F103" s="10">
        <v>0</v>
      </c>
      <c r="G103" s="10">
        <v>0</v>
      </c>
      <c r="H103" s="10">
        <v>0</v>
      </c>
      <c r="I103" s="110"/>
    </row>
    <row r="104" spans="1:9" ht="17.25" x14ac:dyDescent="0.25">
      <c r="A104" s="110"/>
      <c r="B104" s="110"/>
      <c r="C104" s="442" t="str">
        <f>Mesures_Omia!A53</f>
        <v xml:space="preserve">Sonde </v>
      </c>
      <c r="D104" s="443"/>
      <c r="E104" s="10">
        <v>0</v>
      </c>
      <c r="F104" s="10">
        <v>0</v>
      </c>
      <c r="G104" s="10">
        <v>0</v>
      </c>
      <c r="H104" s="10">
        <v>0</v>
      </c>
      <c r="I104" s="110"/>
    </row>
    <row r="105" spans="1:9" ht="17.25" x14ac:dyDescent="0.25">
      <c r="A105" s="110"/>
      <c r="B105" s="110"/>
      <c r="C105" s="442" t="str">
        <f>Mesures_Omia!A54</f>
        <v xml:space="preserve">Sonde </v>
      </c>
      <c r="D105" s="443"/>
      <c r="E105" s="10">
        <v>0</v>
      </c>
      <c r="F105" s="10">
        <v>0</v>
      </c>
      <c r="G105" s="10">
        <v>0</v>
      </c>
      <c r="H105" s="10">
        <v>0</v>
      </c>
      <c r="I105" s="110"/>
    </row>
    <row r="106" spans="1:9" ht="17.25" x14ac:dyDescent="0.25">
      <c r="A106" s="110"/>
      <c r="B106" s="110"/>
      <c r="C106" s="442" t="str">
        <f>Mesures_Omia!A55</f>
        <v xml:space="preserve">Sonde </v>
      </c>
      <c r="D106" s="443"/>
      <c r="E106" s="10">
        <v>0</v>
      </c>
      <c r="F106" s="10">
        <v>0</v>
      </c>
      <c r="G106" s="10">
        <v>0</v>
      </c>
      <c r="H106" s="10">
        <v>0</v>
      </c>
      <c r="I106" s="110"/>
    </row>
    <row r="107" spans="1:9" ht="17.25" x14ac:dyDescent="0.25">
      <c r="A107" s="110"/>
      <c r="B107" s="110"/>
      <c r="C107" s="442" t="str">
        <f>Mesures_Omia!A56</f>
        <v xml:space="preserve">Sonde </v>
      </c>
      <c r="D107" s="443"/>
      <c r="E107" s="10">
        <v>0</v>
      </c>
      <c r="F107" s="10">
        <v>0</v>
      </c>
      <c r="G107" s="10">
        <v>0</v>
      </c>
      <c r="H107" s="10">
        <v>0</v>
      </c>
      <c r="I107" s="110"/>
    </row>
    <row r="108" spans="1:9" ht="17.25" x14ac:dyDescent="0.25">
      <c r="A108" s="110"/>
      <c r="B108" s="110"/>
      <c r="C108" s="442" t="str">
        <f>Mesures_Omia!A57</f>
        <v xml:space="preserve">Sonde </v>
      </c>
      <c r="D108" s="443"/>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3" t="s">
        <v>176</v>
      </c>
      <c r="C116" s="463"/>
      <c r="D116" s="463"/>
      <c r="E116" s="463"/>
      <c r="F116" s="463"/>
    </row>
    <row r="118" spans="1:9" ht="26.25" x14ac:dyDescent="0.25">
      <c r="B118" s="108" t="s">
        <v>177</v>
      </c>
    </row>
    <row r="119" spans="1:9" ht="21" x14ac:dyDescent="0.3">
      <c r="E119" s="106" t="s">
        <v>178</v>
      </c>
      <c r="F119" s="106"/>
      <c r="G119" s="115">
        <f>Mesures_Omia!K45</f>
        <v>0</v>
      </c>
    </row>
    <row r="120" spans="1:9" ht="21" x14ac:dyDescent="0.3">
      <c r="B120" s="116" t="s">
        <v>179</v>
      </c>
      <c r="C120" s="106" t="s">
        <v>180</v>
      </c>
      <c r="E120" s="106" t="s">
        <v>181</v>
      </c>
      <c r="F120" s="106"/>
      <c r="G120" s="115">
        <f>Mesures_Omia!L45</f>
        <v>0</v>
      </c>
    </row>
    <row r="121" spans="1:9" ht="21" x14ac:dyDescent="0.25">
      <c r="B121" s="116" t="s">
        <v>182</v>
      </c>
      <c r="C121" s="109" t="s">
        <v>183</v>
      </c>
      <c r="E121" s="106" t="s">
        <v>184</v>
      </c>
      <c r="F121" s="106"/>
      <c r="G121" s="117">
        <f>Mesures_Omia!M45</f>
        <v>0</v>
      </c>
    </row>
    <row r="122" spans="1:9" ht="21" x14ac:dyDescent="0.35">
      <c r="B122" s="118" t="s">
        <v>185</v>
      </c>
      <c r="C122" s="119" t="s">
        <v>186</v>
      </c>
      <c r="E122" s="106" t="s">
        <v>187</v>
      </c>
      <c r="F122" s="106"/>
      <c r="G122" s="120" t="e">
        <f>"±" &amp;  SUBSTITUTE(ROUND(AVERAGE(Mesures_Omia!D24:F36),2),"-"," ") &amp; "°C"</f>
        <v>#DIV/0!</v>
      </c>
    </row>
    <row r="127" spans="1:9" ht="36" x14ac:dyDescent="0.25">
      <c r="C127" s="460" t="s">
        <v>188</v>
      </c>
      <c r="D127" s="460"/>
      <c r="E127" s="460"/>
      <c r="F127" s="460"/>
    </row>
    <row r="128" spans="1:9" ht="36" x14ac:dyDescent="0.25">
      <c r="B128" s="103"/>
      <c r="C128" s="103"/>
      <c r="D128" s="103"/>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63" spans="1:8" ht="36" x14ac:dyDescent="0.25">
      <c r="C163" s="460" t="s">
        <v>236</v>
      </c>
      <c r="D163" s="460"/>
      <c r="E163" s="460"/>
      <c r="F163" s="460"/>
      <c r="G163" s="460"/>
      <c r="H163" s="460"/>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0" t="str">
        <f>"6. Résultats et exploitation des résultats à " &amp; Mesures_Omia!B20 &amp; "°C"</f>
        <v>6. Résultats et exploitation des résultats à °C</v>
      </c>
      <c r="D196" s="460"/>
      <c r="E196" s="460"/>
      <c r="F196" s="460"/>
      <c r="G196" s="460"/>
      <c r="H196" s="460"/>
    </row>
    <row r="200" spans="1:9" x14ac:dyDescent="0.25">
      <c r="A200" s="121" t="s">
        <v>237</v>
      </c>
      <c r="B200" s="123">
        <f>Mesures_Omia!B20</f>
        <v>0</v>
      </c>
      <c r="G200" s="464" t="s">
        <v>190</v>
      </c>
      <c r="H200" s="465"/>
      <c r="I200" s="466"/>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7" t="s">
        <v>194</v>
      </c>
      <c r="C205" s="467"/>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8"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8"/>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8"/>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8"/>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0" t="str">
        <f>"7. Résultats et exploitation des résultats à " &amp; Mesures_Omia!B20 &amp; "°C"</f>
        <v>7. Résultats et exploitation des résultats à °C</v>
      </c>
      <c r="C226" s="460"/>
      <c r="D226" s="460"/>
      <c r="E226" s="460"/>
      <c r="F226" s="460"/>
    </row>
    <row r="229" spans="1:14" x14ac:dyDescent="0.25">
      <c r="B229" s="351" t="s">
        <v>207</v>
      </c>
      <c r="C229" s="351"/>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499" t="e">
        <f ca="1">Omia_1!C20</f>
        <v>#REF!</v>
      </c>
      <c r="C238" s="500"/>
      <c r="D238" s="500"/>
      <c r="E238" s="500"/>
      <c r="F238" s="500"/>
      <c r="G238" s="500"/>
      <c r="H238" s="500"/>
      <c r="I238" s="500"/>
      <c r="J238" s="500"/>
      <c r="K238" s="500"/>
      <c r="L238" s="500"/>
      <c r="M238" s="500"/>
      <c r="N238" s="501"/>
    </row>
    <row r="239" spans="1:14" x14ac:dyDescent="0.25">
      <c r="A239" s="42" t="s">
        <v>98</v>
      </c>
      <c r="B239" s="499" t="e">
        <f ca="1">Omia_1!C21</f>
        <v>#REF!</v>
      </c>
      <c r="C239" s="500"/>
      <c r="D239" s="500"/>
      <c r="E239" s="500"/>
      <c r="F239" s="500"/>
      <c r="G239" s="500"/>
      <c r="H239" s="500"/>
      <c r="I239" s="500"/>
      <c r="J239" s="500"/>
      <c r="K239" s="500"/>
      <c r="L239" s="500"/>
      <c r="M239" s="500"/>
      <c r="N239" s="501"/>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4" t="s">
        <v>190</v>
      </c>
      <c r="H299" s="465"/>
      <c r="I299" s="466"/>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7" t="s">
        <v>194</v>
      </c>
      <c r="C304" s="467"/>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8"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8"/>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8"/>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8"/>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0" t="str">
        <f>"10. Résultats et exploitation des résultats à " &amp; Mesures_Omia!C20 &amp; "°C"</f>
        <v>10. Résultats et exploitation des résultats à °C</v>
      </c>
      <c r="C324" s="460"/>
      <c r="D324" s="460"/>
      <c r="E324" s="460"/>
      <c r="F324" s="460"/>
    </row>
    <row r="327" spans="1:14" x14ac:dyDescent="0.25">
      <c r="B327" s="351" t="s">
        <v>207</v>
      </c>
      <c r="C327" s="351"/>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499" t="e">
        <f ca="1">Omia_2!C20</f>
        <v>#REF!</v>
      </c>
      <c r="C336" s="500"/>
      <c r="D336" s="500"/>
      <c r="E336" s="500"/>
      <c r="F336" s="500"/>
      <c r="G336" s="500"/>
      <c r="H336" s="500"/>
      <c r="I336" s="500"/>
      <c r="J336" s="500"/>
      <c r="K336" s="500"/>
      <c r="L336" s="500"/>
      <c r="M336" s="500"/>
      <c r="N336" s="501"/>
    </row>
    <row r="337" spans="1:14" x14ac:dyDescent="0.25">
      <c r="A337" s="42" t="s">
        <v>98</v>
      </c>
      <c r="B337" s="499" t="e">
        <f ca="1">Omia_2!C21</f>
        <v>#REF!</v>
      </c>
      <c r="C337" s="500"/>
      <c r="D337" s="500"/>
      <c r="E337" s="500"/>
      <c r="F337" s="500"/>
      <c r="G337" s="500"/>
      <c r="H337" s="500"/>
      <c r="I337" s="500"/>
      <c r="J337" s="500"/>
      <c r="K337" s="500"/>
      <c r="L337" s="500"/>
      <c r="M337" s="500"/>
      <c r="N337" s="501"/>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4" t="s">
        <v>190</v>
      </c>
      <c r="H409" s="465"/>
      <c r="I409" s="466"/>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7" t="s">
        <v>194</v>
      </c>
      <c r="C414" s="467"/>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8"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8"/>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8"/>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8"/>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0" t="str">
        <f>"13. Résultats et exploitation des résultats à " &amp; Mesures_Omia!D20 &amp; "°C"</f>
        <v>13. Résultats et exploitation des résultats à °C</v>
      </c>
      <c r="C433" s="460"/>
      <c r="D433" s="460"/>
      <c r="E433" s="460"/>
      <c r="F433" s="460"/>
    </row>
    <row r="436" spans="1:14" x14ac:dyDescent="0.25">
      <c r="B436" s="351" t="s">
        <v>207</v>
      </c>
      <c r="C436" s="351"/>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499" t="e">
        <f ca="1">Omia_3!C20</f>
        <v>#REF!</v>
      </c>
      <c r="C445" s="500"/>
      <c r="D445" s="500"/>
      <c r="E445" s="500"/>
      <c r="F445" s="500"/>
      <c r="G445" s="500"/>
      <c r="H445" s="500"/>
      <c r="I445" s="500"/>
      <c r="J445" s="500"/>
      <c r="K445" s="500"/>
      <c r="L445" s="500"/>
      <c r="M445" s="500"/>
      <c r="N445" s="501"/>
    </row>
    <row r="446" spans="1:14" x14ac:dyDescent="0.25">
      <c r="A446" s="42" t="s">
        <v>98</v>
      </c>
      <c r="B446" s="499" t="e">
        <f ca="1">Omia_3!C21</f>
        <v>#REF!</v>
      </c>
      <c r="C446" s="500"/>
      <c r="D446" s="500"/>
      <c r="E446" s="500"/>
      <c r="F446" s="500"/>
      <c r="G446" s="500"/>
      <c r="H446" s="500"/>
      <c r="I446" s="500"/>
      <c r="J446" s="500"/>
      <c r="K446" s="500"/>
      <c r="L446" s="500"/>
      <c r="M446" s="500"/>
      <c r="N446" s="501"/>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70" t="s">
        <v>216</v>
      </c>
      <c r="D506" s="471"/>
      <c r="E506" s="129">
        <f>Mesures_Omia!B20</f>
        <v>0</v>
      </c>
      <c r="F506" s="129">
        <f>Mesures_Omia!C20</f>
        <v>0</v>
      </c>
      <c r="G506" s="129">
        <f>Mesures_Omia!D20</f>
        <v>0</v>
      </c>
    </row>
    <row r="507" spans="3:7" x14ac:dyDescent="0.25">
      <c r="C507" s="470" t="s">
        <v>217</v>
      </c>
      <c r="D507" s="471"/>
      <c r="E507" s="131" t="e">
        <f ca="1">Omia_1!C20</f>
        <v>#REF!</v>
      </c>
      <c r="F507" s="131" t="e">
        <f ca="1">Omia_2!C20</f>
        <v>#REF!</v>
      </c>
      <c r="G507" s="131" t="e">
        <f ca="1">Omia_3!C20</f>
        <v>#REF!</v>
      </c>
    </row>
    <row r="508" spans="3:7" x14ac:dyDescent="0.25">
      <c r="C508" s="470" t="s">
        <v>218</v>
      </c>
      <c r="D508" s="471"/>
      <c r="E508" s="154">
        <f>Mesures_Omia!B21</f>
        <v>0</v>
      </c>
      <c r="F508" s="154">
        <f>Mesures_Omia!B21</f>
        <v>0</v>
      </c>
      <c r="G508" s="154">
        <f>Mesures_Omia!B21</f>
        <v>0</v>
      </c>
    </row>
    <row r="509" spans="3:7" x14ac:dyDescent="0.25">
      <c r="C509" s="470" t="s">
        <v>239</v>
      </c>
      <c r="D509" s="471"/>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70" t="s">
        <v>240</v>
      </c>
      <c r="D510" s="471"/>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70" t="s">
        <v>241</v>
      </c>
      <c r="D511" s="471"/>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W2cdV6L2wxfJlmSSO7LTE//nAr7EJjQoBxoLBzGKeLHzmd0S0vvBh9mNw0+9805hPqWzmewDGyCBGGB5ewNIyg==" saltValue="YdAWmjYkkcYRqdV6uVDJCw=="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topLeftCell="A13" zoomScale="115" zoomScaleNormal="115"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5"/>
    </row>
    <row r="2" spans="1:13" x14ac:dyDescent="0.25">
      <c r="B2" s="444" t="s">
        <v>558</v>
      </c>
      <c r="C2" s="445"/>
      <c r="D2" s="445"/>
      <c r="E2" s="445"/>
      <c r="F2" s="445"/>
      <c r="G2" s="445"/>
      <c r="H2" s="445"/>
      <c r="I2" s="445"/>
      <c r="J2" s="445"/>
      <c r="K2" s="445"/>
    </row>
    <row r="3" spans="1:13" ht="75" customHeight="1" x14ac:dyDescent="0.25">
      <c r="B3" s="445"/>
      <c r="C3" s="445"/>
      <c r="D3" s="445"/>
      <c r="E3" s="445"/>
      <c r="F3" s="445"/>
      <c r="G3" s="445"/>
      <c r="H3" s="445"/>
      <c r="I3" s="445"/>
      <c r="J3" s="445"/>
      <c r="K3" s="445"/>
    </row>
    <row r="4" spans="1:13" ht="47.25" customHeight="1" x14ac:dyDescent="0.25">
      <c r="A4" s="1"/>
      <c r="B4" s="2"/>
      <c r="C4" s="2"/>
      <c r="D4" s="2"/>
      <c r="E4" s="2"/>
      <c r="F4" s="2"/>
      <c r="G4" s="2"/>
    </row>
    <row r="5" spans="1:13" ht="16.5" customHeight="1" x14ac:dyDescent="0.25">
      <c r="A5" s="446" t="s">
        <v>537</v>
      </c>
      <c r="B5" s="446"/>
      <c r="C5" s="446"/>
      <c r="D5" s="161" t="str">
        <f>Choose_TUS!L2 &amp; "( TUS de l'étuve de polymération ENATT)"</f>
        <v>IMP 472 ind O du 07-02-2024 ( TUS de l'étuve de polymération ENATT)</v>
      </c>
      <c r="E5" s="2"/>
      <c r="F5" s="2"/>
      <c r="G5" s="2"/>
    </row>
    <row r="6" spans="1:13" x14ac:dyDescent="0.25">
      <c r="A6" s="446" t="s">
        <v>0</v>
      </c>
      <c r="B6" s="446"/>
      <c r="C6" s="446"/>
      <c r="D6" s="161"/>
      <c r="E6" s="1"/>
      <c r="F6" s="1"/>
    </row>
    <row r="7" spans="1:13" x14ac:dyDescent="0.25">
      <c r="A7" s="1"/>
      <c r="B7" s="1"/>
      <c r="C7" s="1"/>
      <c r="D7" s="1"/>
      <c r="E7" s="1"/>
      <c r="F7" s="1"/>
      <c r="G7" s="1"/>
    </row>
    <row r="8" spans="1:13" x14ac:dyDescent="0.25">
      <c r="A8" s="446" t="s">
        <v>1</v>
      </c>
      <c r="B8" s="446"/>
      <c r="C8" s="4"/>
      <c r="D8" s="1"/>
      <c r="E8" s="446" t="s">
        <v>18</v>
      </c>
      <c r="F8" s="446"/>
      <c r="G8" s="4"/>
      <c r="H8" s="156"/>
      <c r="M8" s="5"/>
    </row>
    <row r="9" spans="1:13" x14ac:dyDescent="0.25">
      <c r="A9" s="446" t="s">
        <v>2</v>
      </c>
      <c r="B9" s="446"/>
      <c r="C9" s="6"/>
      <c r="D9" s="1"/>
      <c r="E9" s="446" t="s">
        <v>19</v>
      </c>
      <c r="F9" s="446"/>
      <c r="G9" s="6"/>
      <c r="M9" s="5"/>
    </row>
    <row r="10" spans="1:13" x14ac:dyDescent="0.25">
      <c r="A10" s="1"/>
      <c r="B10" s="1"/>
      <c r="C10" s="1"/>
      <c r="D10" s="1"/>
      <c r="E10" s="1"/>
      <c r="F10" s="1"/>
      <c r="G10" s="1"/>
      <c r="M10" s="5"/>
    </row>
    <row r="11" spans="1:13" x14ac:dyDescent="0.25">
      <c r="A11" s="442" t="s">
        <v>3</v>
      </c>
      <c r="B11" s="443"/>
      <c r="C11" s="7"/>
      <c r="D11" s="1"/>
      <c r="E11" s="442" t="s">
        <v>20</v>
      </c>
      <c r="F11" s="443"/>
      <c r="G11" s="8"/>
    </row>
    <row r="12" spans="1:13" x14ac:dyDescent="0.25">
      <c r="A12" s="442" t="s">
        <v>4</v>
      </c>
      <c r="B12" s="443"/>
      <c r="C12" s="8"/>
      <c r="D12" s="1"/>
      <c r="E12" s="446" t="s">
        <v>21</v>
      </c>
      <c r="F12" s="446"/>
      <c r="G12" s="159">
        <v>15</v>
      </c>
    </row>
    <row r="13" spans="1:13" x14ac:dyDescent="0.25">
      <c r="A13" s="1"/>
      <c r="B13" s="1"/>
      <c r="C13" s="1"/>
      <c r="D13" s="1"/>
      <c r="E13" s="446" t="s">
        <v>22</v>
      </c>
      <c r="F13" s="446"/>
      <c r="G13" s="10"/>
    </row>
    <row r="14" spans="1:13" x14ac:dyDescent="0.25">
      <c r="A14" s="1"/>
      <c r="B14" s="1"/>
      <c r="C14" s="1"/>
      <c r="D14" s="1"/>
      <c r="E14" s="1"/>
      <c r="F14" s="1"/>
      <c r="G14" s="1"/>
    </row>
    <row r="15" spans="1:13" x14ac:dyDescent="0.25">
      <c r="A15" s="442" t="s">
        <v>5</v>
      </c>
      <c r="B15" s="443"/>
      <c r="C15" s="4"/>
      <c r="D15" s="1"/>
      <c r="E15" s="1"/>
      <c r="F15" s="1"/>
      <c r="G15" s="1"/>
    </row>
    <row r="16" spans="1:13" x14ac:dyDescent="0.25">
      <c r="A16" s="442" t="s">
        <v>6</v>
      </c>
      <c r="B16" s="443"/>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559</v>
      </c>
      <c r="B20" s="11"/>
      <c r="C20" s="11"/>
      <c r="D20" s="11"/>
      <c r="E20" s="1"/>
    </row>
    <row r="21" spans="1:9" x14ac:dyDescent="0.25">
      <c r="A21" s="3" t="s">
        <v>549</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7" t="s">
        <v>13</v>
      </c>
      <c r="C37" s="447"/>
      <c r="D37" s="1"/>
      <c r="E37" s="1"/>
      <c r="F37" s="1"/>
      <c r="G37" s="1"/>
      <c r="H37" s="1"/>
      <c r="I37" s="1"/>
      <c r="J37" s="447" t="s">
        <v>30</v>
      </c>
      <c r="K37" s="447"/>
      <c r="L37" s="1"/>
      <c r="M37" s="1"/>
    </row>
    <row r="38" spans="1:15" x14ac:dyDescent="0.25">
      <c r="A38" s="1"/>
      <c r="B38" s="1"/>
      <c r="C38" s="1"/>
      <c r="D38" s="1"/>
      <c r="E38" s="1"/>
      <c r="F38" s="1"/>
      <c r="G38" s="1"/>
      <c r="H38" s="1"/>
      <c r="I38" s="1"/>
      <c r="J38" s="1"/>
      <c r="K38" s="1"/>
      <c r="L38" s="1"/>
      <c r="M38" s="1"/>
      <c r="N38" s="1"/>
      <c r="O38" s="1"/>
    </row>
    <row r="39" spans="1:15" x14ac:dyDescent="0.25">
      <c r="A39" s="442" t="s">
        <v>10</v>
      </c>
      <c r="B39" s="453"/>
      <c r="C39" s="453"/>
      <c r="D39" s="453"/>
      <c r="E39" s="453"/>
      <c r="F39" s="443"/>
      <c r="G39" s="1"/>
      <c r="H39" s="1"/>
      <c r="I39" s="446" t="s">
        <v>26</v>
      </c>
      <c r="J39" s="446"/>
      <c r="K39" s="446"/>
      <c r="L39" s="446"/>
      <c r="M39" s="446"/>
    </row>
    <row r="40" spans="1:15" ht="30" x14ac:dyDescent="0.25">
      <c r="A40" s="446"/>
      <c r="B40" s="446"/>
      <c r="C40" s="3" t="s">
        <v>15</v>
      </c>
      <c r="D40" s="20" t="s">
        <v>17</v>
      </c>
      <c r="E40" s="20" t="s">
        <v>24</v>
      </c>
      <c r="F40" s="20" t="s">
        <v>25</v>
      </c>
      <c r="G40" s="1"/>
      <c r="H40" s="1"/>
      <c r="I40" s="450"/>
      <c r="J40" s="450"/>
      <c r="K40" s="3" t="s">
        <v>32</v>
      </c>
      <c r="L40" s="3" t="s">
        <v>34</v>
      </c>
      <c r="M40" s="3" t="s">
        <v>35</v>
      </c>
    </row>
    <row r="41" spans="1:15" x14ac:dyDescent="0.25">
      <c r="A41" s="442" t="str">
        <f t="shared" ref="A41:A49" si="0">CONCATENATE("Sonde ", B24)</f>
        <v xml:space="preserve">Sonde </v>
      </c>
      <c r="B41" s="443"/>
      <c r="C41" s="10"/>
      <c r="D41" s="10"/>
      <c r="E41" s="10"/>
      <c r="F41" s="10"/>
      <c r="G41" s="1"/>
      <c r="H41" s="1"/>
      <c r="I41" s="451" t="s">
        <v>27</v>
      </c>
      <c r="J41" s="452"/>
      <c r="K41" s="10"/>
      <c r="L41" s="10"/>
      <c r="M41" s="10"/>
    </row>
    <row r="42" spans="1:15" x14ac:dyDescent="0.25">
      <c r="A42" s="442" t="str">
        <f t="shared" si="0"/>
        <v xml:space="preserve">Sonde </v>
      </c>
      <c r="B42" s="443"/>
      <c r="C42" s="10"/>
      <c r="D42" s="10"/>
      <c r="E42" s="10"/>
      <c r="F42" s="10"/>
      <c r="G42" s="1"/>
      <c r="H42" s="1"/>
      <c r="I42" s="1"/>
      <c r="J42" s="1"/>
      <c r="K42" s="1"/>
      <c r="L42" s="1"/>
      <c r="M42" s="1"/>
    </row>
    <row r="43" spans="1:15" x14ac:dyDescent="0.25">
      <c r="A43" s="442" t="str">
        <f t="shared" si="0"/>
        <v xml:space="preserve">Sonde </v>
      </c>
      <c r="B43" s="443"/>
      <c r="C43" s="10"/>
      <c r="D43" s="10"/>
      <c r="E43" s="10"/>
      <c r="F43" s="10"/>
      <c r="G43" s="1"/>
      <c r="H43" s="1"/>
      <c r="I43" s="1"/>
      <c r="J43" s="1"/>
      <c r="K43" s="1"/>
      <c r="L43" s="1"/>
      <c r="M43" s="1"/>
    </row>
    <row r="44" spans="1:15" x14ac:dyDescent="0.25">
      <c r="A44" s="442" t="str">
        <f t="shared" si="0"/>
        <v xml:space="preserve">Sonde </v>
      </c>
      <c r="B44" s="443"/>
      <c r="C44" s="10"/>
      <c r="D44" s="10"/>
      <c r="E44" s="10"/>
      <c r="F44" s="10"/>
      <c r="G44" s="1"/>
      <c r="H44" s="1"/>
      <c r="I44" s="1"/>
      <c r="J44" s="1"/>
      <c r="K44" s="1"/>
      <c r="L44" s="1"/>
      <c r="M44" s="1"/>
    </row>
    <row r="45" spans="1:15" x14ac:dyDescent="0.25">
      <c r="A45" s="442" t="str">
        <f t="shared" si="0"/>
        <v xml:space="preserve">Sonde </v>
      </c>
      <c r="B45" s="443"/>
      <c r="C45" s="10"/>
      <c r="D45" s="10"/>
      <c r="E45" s="10"/>
      <c r="F45" s="10"/>
      <c r="G45" s="1"/>
      <c r="H45" s="1"/>
      <c r="I45" s="1"/>
      <c r="J45" s="1"/>
    </row>
    <row r="46" spans="1:15" x14ac:dyDescent="0.25">
      <c r="A46" s="442" t="str">
        <f t="shared" si="0"/>
        <v xml:space="preserve">Sonde </v>
      </c>
      <c r="B46" s="443"/>
      <c r="C46" s="10"/>
      <c r="D46" s="10"/>
      <c r="E46" s="10"/>
      <c r="F46" s="10"/>
      <c r="G46" s="1"/>
      <c r="H46" s="1"/>
      <c r="I46" s="1"/>
      <c r="J46" s="1"/>
    </row>
    <row r="47" spans="1:15" x14ac:dyDescent="0.25">
      <c r="A47" s="442" t="str">
        <f t="shared" si="0"/>
        <v xml:space="preserve">Sonde </v>
      </c>
      <c r="B47" s="443"/>
      <c r="C47" s="10"/>
      <c r="D47" s="10"/>
      <c r="E47" s="10"/>
      <c r="F47" s="10"/>
      <c r="G47" s="1"/>
      <c r="H47" s="1"/>
      <c r="I47" s="1"/>
      <c r="J47" s="1"/>
    </row>
    <row r="48" spans="1:15" x14ac:dyDescent="0.25">
      <c r="A48" s="442" t="str">
        <f t="shared" si="0"/>
        <v xml:space="preserve">Sonde </v>
      </c>
      <c r="B48" s="443"/>
      <c r="C48" s="10"/>
      <c r="D48" s="10"/>
      <c r="E48" s="10"/>
      <c r="F48" s="10"/>
      <c r="G48" s="1"/>
      <c r="H48" s="1"/>
      <c r="I48" s="1"/>
      <c r="J48" s="1"/>
    </row>
    <row r="49" spans="1:10" x14ac:dyDescent="0.25">
      <c r="A49" s="442" t="str">
        <f t="shared" si="0"/>
        <v xml:space="preserve">Sonde </v>
      </c>
      <c r="B49" s="443"/>
      <c r="C49" s="10"/>
      <c r="D49" s="10"/>
      <c r="E49" s="10"/>
      <c r="F49" s="10"/>
      <c r="G49" s="1"/>
      <c r="H49" s="1"/>
      <c r="I49" s="1"/>
      <c r="J49" s="1"/>
    </row>
  </sheetData>
  <sheetProtection algorithmName="SHA-512" hashValue="Uoq3CEMOO6SqTttbM3OrmALFAbbK1DAx4lQZH9AUDu7rbhG38nEaCB7vykJRHCCxTxcCWKmEfQhmUs5y0INtFA==" saltValue="Eadg+pCWvmizsnbUrk+fQg=="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QTdIG+M5YoUKPxqw4Mty+xH3Tq5+09oKxRrmVf0IfbCGb1Mk9KamjXSkBJjIANZKMQBXMFJnQp5gve6fRhsQXQ==" saltValue="UcoSaMW3is7fP3rpFHkO8Q=="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V4qmGBDUSUaLJC7K6XCgBBcwJRLARbDboo70KNSMy/dccXR7X9IZ3DP7qafvIEtxg44pOrCnIo1cKSbvvA5IUw==" saltValue="si2H9+k0W2oa6IuA+bV2bw=="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RWXP3kAlulT4oSQR4IikNAavUyxMPsBGjnfNaWUpKSp/eunoG1QO63PurPySOCSbql4vscHU5vId/TCF2SPgWg==" saltValue="Y2Hq5if+460zAIKrpl/7aw=="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5" t="str">
        <f>Mesures_Dover!B20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4" t="s">
        <v>88</v>
      </c>
      <c r="B9" s="374"/>
      <c r="C9" s="374"/>
      <c r="D9" s="374"/>
      <c r="E9" s="374"/>
      <c r="F9" s="374"/>
      <c r="G9" s="374"/>
      <c r="H9" s="374"/>
      <c r="I9" s="374"/>
      <c r="J9" s="374"/>
      <c r="K9" s="374"/>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6"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548</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556</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557</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2" t="e">
        <f ca="1">ABS(MAX(C16:K16)-MIN(C17:K17))</f>
        <v>#REF!</v>
      </c>
      <c r="D20" s="493"/>
      <c r="E20" s="493"/>
      <c r="F20" s="493"/>
      <c r="G20" s="493"/>
      <c r="H20" s="493"/>
      <c r="I20" s="493"/>
      <c r="J20" s="493"/>
      <c r="K20" s="494"/>
    </row>
    <row r="21" spans="1:15" x14ac:dyDescent="0.25">
      <c r="A21" s="27"/>
      <c r="B21" s="42" t="s">
        <v>98</v>
      </c>
      <c r="C21" s="492" t="e">
        <f ca="1">AVERAGE(C18:K18)</f>
        <v>#REF!</v>
      </c>
      <c r="D21" s="493"/>
      <c r="E21" s="493"/>
      <c r="F21" s="493"/>
      <c r="G21" s="493"/>
      <c r="H21" s="493"/>
      <c r="I21" s="493"/>
      <c r="J21" s="493"/>
      <c r="K21" s="494"/>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byWkoclvvtwe+PfNAhHAO5y7B2HupgBeraa0FRPFU8N34Q4gRT7gMMVW6gqEe0skUcLoOg8eW2mciKcebmRzIw==" saltValue="ZkiTnXmy5fQ5DDj2/62bTw=="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5" t="str">
        <f>Mesures_Dover!C20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4" t="s">
        <v>88</v>
      </c>
      <c r="B9" s="374"/>
      <c r="C9" s="374"/>
      <c r="D9" s="374"/>
      <c r="E9" s="374"/>
      <c r="F9" s="374"/>
      <c r="G9" s="374"/>
      <c r="H9" s="374"/>
      <c r="I9" s="374"/>
      <c r="J9" s="374"/>
      <c r="K9" s="374"/>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6"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548</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556</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557</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2" t="e">
        <f ca="1">ABS(MAX(C16:K16)-MIN(C17:K17))</f>
        <v>#REF!</v>
      </c>
      <c r="D20" s="493"/>
      <c r="E20" s="493"/>
      <c r="F20" s="493"/>
      <c r="G20" s="493"/>
      <c r="H20" s="493"/>
      <c r="I20" s="493"/>
      <c r="J20" s="493"/>
      <c r="K20" s="494"/>
    </row>
    <row r="21" spans="1:18" x14ac:dyDescent="0.25">
      <c r="A21" s="27"/>
      <c r="B21" s="42" t="s">
        <v>98</v>
      </c>
      <c r="C21" s="492" t="e">
        <f ca="1">AVERAGE(C18:K18)</f>
        <v>#REF!</v>
      </c>
      <c r="D21" s="493"/>
      <c r="E21" s="493"/>
      <c r="F21" s="493"/>
      <c r="G21" s="493"/>
      <c r="H21" s="493"/>
      <c r="I21" s="493"/>
      <c r="J21" s="493"/>
      <c r="K21" s="494"/>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Qb0jlggs8G8SGrMC2z2jI97SuDpQN+X/6msGz1s3vuy+GyJzcz8iLD9cLKwcZxljpoIU2TvmjwQgoeuoxT1C3Q==" saltValue="NWH+CX/EOdJBfbqYYzaXPg=="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46" workbookViewId="0">
      <selection activeCell="N74" sqref="N74"/>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5" t="str">
        <f>Mesures_Dover!D20 &amp; "°C"</f>
        <v>°C</v>
      </c>
      <c r="B1" s="455"/>
      <c r="C1" s="455"/>
      <c r="D1" s="455"/>
      <c r="E1" s="455"/>
      <c r="F1" s="455"/>
      <c r="G1" s="455"/>
      <c r="H1" s="455"/>
      <c r="I1" s="455"/>
      <c r="J1" s="455"/>
      <c r="K1" s="455"/>
      <c r="L1" s="455"/>
      <c r="M1" s="455"/>
      <c r="N1" s="455"/>
      <c r="O1" s="455"/>
    </row>
    <row r="2" spans="1:15" s="27" customFormat="1" x14ac:dyDescent="0.25">
      <c r="A2" s="455"/>
      <c r="B2" s="455"/>
      <c r="C2" s="455"/>
      <c r="D2" s="455"/>
      <c r="E2" s="455"/>
      <c r="F2" s="455"/>
      <c r="G2" s="455"/>
      <c r="H2" s="455"/>
      <c r="I2" s="455"/>
      <c r="J2" s="455"/>
      <c r="K2" s="455"/>
      <c r="L2" s="455"/>
      <c r="M2" s="455"/>
      <c r="N2" s="455"/>
      <c r="O2" s="455"/>
    </row>
    <row r="3" spans="1:15" s="27" customFormat="1" x14ac:dyDescent="0.25">
      <c r="A3" s="455"/>
      <c r="B3" s="455"/>
      <c r="C3" s="455"/>
      <c r="D3" s="455"/>
      <c r="E3" s="455"/>
      <c r="F3" s="455"/>
      <c r="G3" s="455"/>
      <c r="H3" s="455"/>
      <c r="I3" s="455"/>
      <c r="J3" s="455"/>
      <c r="K3" s="455"/>
      <c r="L3" s="455"/>
      <c r="M3" s="455"/>
      <c r="N3" s="455"/>
      <c r="O3" s="455"/>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6"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548</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556</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557</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2" t="e">
        <f ca="1">ABS(MAX(C16:K16)-MIN(C17:K17))</f>
        <v>#REF!</v>
      </c>
      <c r="D20" s="493"/>
      <c r="E20" s="493"/>
      <c r="F20" s="493"/>
      <c r="G20" s="493"/>
      <c r="H20" s="493"/>
      <c r="I20" s="493"/>
      <c r="J20" s="493"/>
      <c r="K20" s="494"/>
      <c r="L20" s="33"/>
    </row>
    <row r="21" spans="2:15" s="27" customFormat="1" x14ac:dyDescent="0.25">
      <c r="B21" s="42" t="s">
        <v>98</v>
      </c>
      <c r="C21" s="492" t="e">
        <f ca="1">AVERAGE(C18:K18)</f>
        <v>#REF!</v>
      </c>
      <c r="D21" s="493"/>
      <c r="E21" s="493"/>
      <c r="F21" s="493"/>
      <c r="G21" s="493"/>
      <c r="H21" s="493"/>
      <c r="I21" s="493"/>
      <c r="J21" s="493"/>
      <c r="K21" s="494"/>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Lib9LFxhoc53yjiG4HxYubvvhYA+1i3JweMXzK83Vevj+diTWYtIJRhGH0TtMVfXh4GfD39/PTgAjUUDjQ5VkA==" saltValue="YoUPcEBi5xHwGqzAYzyatw=="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355" zoomScale="70" zoomScaleNormal="100" zoomScaleSheetLayoutView="70" zoomScalePageLayoutView="50" workbookViewId="0">
      <selection activeCell="A521" sqref="A521"/>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6" t="s">
        <v>247</v>
      </c>
      <c r="C4" s="497"/>
      <c r="D4" s="497"/>
      <c r="E4" s="497"/>
      <c r="F4" s="497"/>
    </row>
    <row r="5" spans="2:9" ht="26.25" x14ac:dyDescent="0.25">
      <c r="B5" s="497"/>
      <c r="C5" s="497"/>
      <c r="D5" s="497"/>
      <c r="E5" s="497"/>
      <c r="F5" s="497"/>
      <c r="G5" s="87"/>
      <c r="H5" s="87"/>
      <c r="I5" s="88"/>
    </row>
    <row r="6" spans="2:9" ht="58.5" customHeight="1" x14ac:dyDescent="0.25">
      <c r="B6" s="497"/>
      <c r="C6" s="497"/>
      <c r="D6" s="497"/>
      <c r="E6" s="497"/>
      <c r="F6" s="497"/>
    </row>
    <row r="10" spans="2:9" ht="21" x14ac:dyDescent="0.25">
      <c r="C10" s="437" t="s">
        <v>138</v>
      </c>
      <c r="D10" s="437"/>
      <c r="E10" s="458">
        <f>Mesures_Dover!D6</f>
        <v>0</v>
      </c>
      <c r="F10" s="458"/>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59" t="s">
        <v>146</v>
      </c>
      <c r="B28" s="459"/>
    </row>
    <row r="30" spans="1:9" x14ac:dyDescent="0.25">
      <c r="A30" s="435" t="s">
        <v>248</v>
      </c>
      <c r="B30" s="435"/>
      <c r="C30" s="435"/>
      <c r="D30" s="435"/>
      <c r="E30" s="435"/>
      <c r="F30" s="435"/>
      <c r="G30" s="435"/>
      <c r="H30" s="435"/>
      <c r="I30" s="435"/>
    </row>
    <row r="31" spans="1:9" x14ac:dyDescent="0.25">
      <c r="A31" s="435"/>
      <c r="B31" s="435"/>
      <c r="C31" s="435"/>
      <c r="D31" s="435"/>
      <c r="E31" s="435"/>
      <c r="F31" s="435"/>
      <c r="G31" s="435"/>
      <c r="H31" s="435"/>
      <c r="I31" s="435"/>
    </row>
    <row r="32" spans="1:9" x14ac:dyDescent="0.25">
      <c r="A32" s="435"/>
      <c r="B32" s="435"/>
      <c r="C32" s="435"/>
      <c r="D32" s="435"/>
      <c r="E32" s="435"/>
      <c r="F32" s="435"/>
      <c r="G32" s="435"/>
      <c r="H32" s="435"/>
      <c r="I32" s="435"/>
    </row>
    <row r="33" spans="1:9" x14ac:dyDescent="0.25">
      <c r="A33" s="435"/>
      <c r="B33" s="435"/>
      <c r="C33" s="435"/>
      <c r="D33" s="435"/>
      <c r="E33" s="435"/>
      <c r="F33" s="435"/>
      <c r="G33" s="435"/>
      <c r="H33" s="435"/>
      <c r="I33" s="435"/>
    </row>
    <row r="34" spans="1:9" x14ac:dyDescent="0.25">
      <c r="A34" s="435"/>
      <c r="B34" s="435"/>
      <c r="C34" s="435"/>
      <c r="D34" s="435"/>
      <c r="E34" s="435"/>
      <c r="F34" s="435"/>
      <c r="G34" s="435"/>
      <c r="H34" s="435"/>
      <c r="I34" s="435"/>
    </row>
    <row r="35" spans="1:9" x14ac:dyDescent="0.25">
      <c r="A35" s="435"/>
      <c r="B35" s="435"/>
      <c r="C35" s="435"/>
      <c r="D35" s="435"/>
      <c r="E35" s="435"/>
      <c r="F35" s="435"/>
      <c r="G35" s="435"/>
      <c r="H35" s="435"/>
      <c r="I35" s="435"/>
    </row>
    <row r="36" spans="1:9" x14ac:dyDescent="0.25">
      <c r="A36" s="435"/>
      <c r="B36" s="435"/>
      <c r="C36" s="435"/>
      <c r="D36" s="435"/>
      <c r="E36" s="435"/>
      <c r="F36" s="435"/>
      <c r="G36" s="435"/>
      <c r="H36" s="435"/>
      <c r="I36" s="435"/>
    </row>
    <row r="37" spans="1:9" x14ac:dyDescent="0.25">
      <c r="A37" s="435"/>
      <c r="B37" s="435"/>
      <c r="C37" s="435"/>
      <c r="D37" s="435"/>
      <c r="E37" s="435"/>
      <c r="F37" s="435"/>
      <c r="G37" s="435"/>
      <c r="H37" s="435"/>
      <c r="I37" s="435"/>
    </row>
    <row r="38" spans="1:9" x14ac:dyDescent="0.25">
      <c r="A38" s="435"/>
      <c r="B38" s="435"/>
      <c r="C38" s="435"/>
      <c r="D38" s="435"/>
      <c r="E38" s="435"/>
      <c r="F38" s="435"/>
      <c r="G38" s="435"/>
      <c r="H38" s="435"/>
      <c r="I38" s="435"/>
    </row>
    <row r="39" spans="1:9" x14ac:dyDescent="0.25">
      <c r="A39" s="435"/>
      <c r="B39" s="435"/>
      <c r="C39" s="435"/>
      <c r="D39" s="435"/>
      <c r="E39" s="435"/>
      <c r="F39" s="435"/>
      <c r="G39" s="435"/>
      <c r="H39" s="435"/>
      <c r="I39" s="435"/>
    </row>
    <row r="40" spans="1:9" x14ac:dyDescent="0.25">
      <c r="A40" s="435"/>
      <c r="B40" s="435"/>
      <c r="C40" s="435"/>
      <c r="D40" s="435"/>
      <c r="E40" s="435"/>
      <c r="F40" s="435"/>
      <c r="G40" s="435"/>
      <c r="H40" s="435"/>
      <c r="I40" s="435"/>
    </row>
    <row r="41" spans="1:9" x14ac:dyDescent="0.25">
      <c r="A41" s="435"/>
      <c r="B41" s="435"/>
      <c r="C41" s="435"/>
      <c r="D41" s="435"/>
      <c r="E41" s="435"/>
      <c r="F41" s="435"/>
      <c r="G41" s="435"/>
      <c r="H41" s="435"/>
      <c r="I41" s="435"/>
    </row>
    <row r="42" spans="1:9" x14ac:dyDescent="0.25">
      <c r="A42" s="435"/>
      <c r="B42" s="435"/>
      <c r="C42" s="435"/>
      <c r="D42" s="435"/>
      <c r="E42" s="435"/>
      <c r="F42" s="435"/>
      <c r="G42" s="435"/>
      <c r="H42" s="435"/>
      <c r="I42" s="435"/>
    </row>
    <row r="43" spans="1:9" x14ac:dyDescent="0.25">
      <c r="A43" s="435"/>
      <c r="B43" s="435"/>
      <c r="C43" s="435"/>
      <c r="D43" s="435"/>
      <c r="E43" s="435"/>
      <c r="F43" s="435"/>
      <c r="G43" s="435"/>
      <c r="H43" s="435"/>
      <c r="I43" s="435"/>
    </row>
    <row r="44" spans="1:9" x14ac:dyDescent="0.25">
      <c r="A44" s="435"/>
      <c r="B44" s="435"/>
      <c r="C44" s="435"/>
      <c r="D44" s="435"/>
      <c r="E44" s="435"/>
      <c r="F44" s="435"/>
      <c r="G44" s="435"/>
      <c r="H44" s="435"/>
      <c r="I44" s="435"/>
    </row>
    <row r="45" spans="1:9" x14ac:dyDescent="0.25">
      <c r="A45" s="435"/>
      <c r="B45" s="435"/>
      <c r="C45" s="435"/>
      <c r="D45" s="435"/>
      <c r="E45" s="435"/>
      <c r="F45" s="435"/>
      <c r="G45" s="435"/>
      <c r="H45" s="435"/>
      <c r="I45" s="435"/>
    </row>
    <row r="46" spans="1:9" x14ac:dyDescent="0.25">
      <c r="A46" s="435"/>
      <c r="B46" s="435"/>
      <c r="C46" s="435"/>
      <c r="D46" s="435"/>
      <c r="E46" s="435"/>
      <c r="F46" s="435"/>
      <c r="G46" s="435"/>
      <c r="H46" s="435"/>
      <c r="I46" s="435"/>
    </row>
    <row r="47" spans="1:9" x14ac:dyDescent="0.25">
      <c r="A47" s="435"/>
      <c r="B47" s="435"/>
      <c r="C47" s="435"/>
      <c r="D47" s="435"/>
      <c r="E47" s="435"/>
      <c r="F47" s="435"/>
      <c r="G47" s="435"/>
      <c r="H47" s="435"/>
      <c r="I47" s="435"/>
    </row>
    <row r="51" spans="2:6" ht="36" x14ac:dyDescent="0.25">
      <c r="C51" s="460" t="s">
        <v>148</v>
      </c>
      <c r="D51" s="460"/>
      <c r="E51" s="460"/>
      <c r="F51" s="460"/>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39" t="s">
        <v>250</v>
      </c>
      <c r="C55" s="439"/>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0" t="s">
        <v>170</v>
      </c>
      <c r="D85" s="460"/>
      <c r="E85" s="460"/>
      <c r="F85" s="460"/>
      <c r="G85" s="460"/>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2" t="s">
        <v>10</v>
      </c>
      <c r="D94" s="453"/>
      <c r="E94" s="453"/>
      <c r="F94" s="453"/>
      <c r="G94" s="453"/>
      <c r="H94" s="443"/>
      <c r="I94" s="110"/>
    </row>
    <row r="95" spans="1:9" ht="30" x14ac:dyDescent="0.25">
      <c r="A95" s="110"/>
      <c r="B95" s="110"/>
      <c r="C95" s="446"/>
      <c r="D95" s="446"/>
      <c r="E95" s="3" t="s">
        <v>15</v>
      </c>
      <c r="F95" s="20" t="s">
        <v>17</v>
      </c>
      <c r="G95" s="20" t="s">
        <v>24</v>
      </c>
      <c r="H95" s="20" t="s">
        <v>25</v>
      </c>
      <c r="I95" s="113"/>
    </row>
    <row r="96" spans="1:9" ht="17.25" x14ac:dyDescent="0.25">
      <c r="A96" s="110"/>
      <c r="B96" s="110"/>
      <c r="C96" s="442" t="str">
        <f>Mesures_Dover!A41</f>
        <v xml:space="preserve">Sonde </v>
      </c>
      <c r="D96" s="443"/>
      <c r="E96" s="10" cm="1">
        <f t="array" ref="E96:H104">Mesures_Dover!C41:F49</f>
        <v>0</v>
      </c>
      <c r="F96" s="10">
        <v>0</v>
      </c>
      <c r="G96" s="10">
        <v>0</v>
      </c>
      <c r="H96" s="10">
        <v>0</v>
      </c>
      <c r="I96" s="110"/>
    </row>
    <row r="97" spans="1:9" ht="17.25" x14ac:dyDescent="0.25">
      <c r="A97" s="110"/>
      <c r="B97" s="110"/>
      <c r="C97" s="442" t="str">
        <f>Mesures_Dover!A42</f>
        <v xml:space="preserve">Sonde </v>
      </c>
      <c r="D97" s="443"/>
      <c r="E97" s="10">
        <v>0</v>
      </c>
      <c r="F97" s="10">
        <v>0</v>
      </c>
      <c r="G97" s="10">
        <v>0</v>
      </c>
      <c r="H97" s="10">
        <v>0</v>
      </c>
      <c r="I97" s="110"/>
    </row>
    <row r="98" spans="1:9" ht="17.25" x14ac:dyDescent="0.25">
      <c r="A98" s="110"/>
      <c r="B98" s="110"/>
      <c r="C98" s="442" t="str">
        <f>Mesures_Dover!A43</f>
        <v xml:space="preserve">Sonde </v>
      </c>
      <c r="D98" s="443"/>
      <c r="E98" s="10">
        <v>0</v>
      </c>
      <c r="F98" s="10">
        <v>0</v>
      </c>
      <c r="G98" s="10">
        <v>0</v>
      </c>
      <c r="H98" s="10">
        <v>0</v>
      </c>
      <c r="I98" s="110"/>
    </row>
    <row r="99" spans="1:9" ht="17.25" x14ac:dyDescent="0.25">
      <c r="A99" s="110"/>
      <c r="B99" s="110"/>
      <c r="C99" s="442" t="str">
        <f>Mesures_Dover!A44</f>
        <v xml:space="preserve">Sonde </v>
      </c>
      <c r="D99" s="443"/>
      <c r="E99" s="10">
        <v>0</v>
      </c>
      <c r="F99" s="10">
        <v>0</v>
      </c>
      <c r="G99" s="10">
        <v>0</v>
      </c>
      <c r="H99" s="10">
        <v>0</v>
      </c>
      <c r="I99" s="110"/>
    </row>
    <row r="100" spans="1:9" ht="17.25" x14ac:dyDescent="0.25">
      <c r="A100" s="110"/>
      <c r="B100" s="110"/>
      <c r="C100" s="442" t="str">
        <f>Mesures_Dover!A45</f>
        <v xml:space="preserve">Sonde </v>
      </c>
      <c r="D100" s="443"/>
      <c r="E100" s="10">
        <v>0</v>
      </c>
      <c r="F100" s="10">
        <v>0</v>
      </c>
      <c r="G100" s="10">
        <v>0</v>
      </c>
      <c r="H100" s="10">
        <v>0</v>
      </c>
      <c r="I100" s="110"/>
    </row>
    <row r="101" spans="1:9" ht="17.25" x14ac:dyDescent="0.25">
      <c r="A101" s="110"/>
      <c r="B101" s="110"/>
      <c r="C101" s="442" t="str">
        <f>Mesures_Dover!A46</f>
        <v xml:space="preserve">Sonde </v>
      </c>
      <c r="D101" s="443"/>
      <c r="E101" s="10">
        <v>0</v>
      </c>
      <c r="F101" s="10">
        <v>0</v>
      </c>
      <c r="G101" s="10">
        <v>0</v>
      </c>
      <c r="H101" s="10">
        <v>0</v>
      </c>
      <c r="I101" s="110"/>
    </row>
    <row r="102" spans="1:9" ht="17.25" x14ac:dyDescent="0.25">
      <c r="A102" s="110"/>
      <c r="B102" s="110"/>
      <c r="C102" s="442" t="str">
        <f>Mesures_Dover!A47</f>
        <v xml:space="preserve">Sonde </v>
      </c>
      <c r="D102" s="443"/>
      <c r="E102" s="10">
        <v>0</v>
      </c>
      <c r="F102" s="10">
        <v>0</v>
      </c>
      <c r="G102" s="10">
        <v>0</v>
      </c>
      <c r="H102" s="10">
        <v>0</v>
      </c>
      <c r="I102" s="110"/>
    </row>
    <row r="103" spans="1:9" ht="17.25" x14ac:dyDescent="0.25">
      <c r="A103" s="110"/>
      <c r="B103" s="110"/>
      <c r="C103" s="442" t="str">
        <f>Mesures_Dover!A48</f>
        <v xml:space="preserve">Sonde </v>
      </c>
      <c r="D103" s="443"/>
      <c r="E103" s="10">
        <v>0</v>
      </c>
      <c r="F103" s="10">
        <v>0</v>
      </c>
      <c r="G103" s="10">
        <v>0</v>
      </c>
      <c r="H103" s="10">
        <v>0</v>
      </c>
      <c r="I103" s="110"/>
    </row>
    <row r="104" spans="1:9" ht="17.25" x14ac:dyDescent="0.25">
      <c r="A104" s="110"/>
      <c r="B104" s="110"/>
      <c r="C104" s="442" t="str">
        <f>Mesures_Dover!A49</f>
        <v xml:space="preserve">Sonde </v>
      </c>
      <c r="D104" s="443"/>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3" t="s">
        <v>176</v>
      </c>
      <c r="C112" s="463"/>
      <c r="D112" s="463"/>
      <c r="E112" s="463"/>
      <c r="F112" s="463"/>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0" t="s">
        <v>188</v>
      </c>
      <c r="D123" s="460"/>
      <c r="E123" s="460"/>
      <c r="F123" s="460"/>
    </row>
    <row r="124" spans="2:9" ht="36" x14ac:dyDescent="0.25">
      <c r="B124" s="103"/>
      <c r="C124" s="103"/>
      <c r="D124" s="103"/>
    </row>
    <row r="125" spans="2:9" x14ac:dyDescent="0.25">
      <c r="B125" s="351"/>
      <c r="C125" s="351"/>
      <c r="D125" s="351"/>
      <c r="E125" s="351"/>
      <c r="F125" s="351"/>
      <c r="G125" s="351"/>
      <c r="H125" s="351"/>
      <c r="I125" s="351"/>
    </row>
    <row r="126" spans="2:9" x14ac:dyDescent="0.25">
      <c r="B126" s="351"/>
      <c r="C126" s="351"/>
      <c r="D126" s="351"/>
      <c r="E126" s="351"/>
      <c r="F126" s="351"/>
      <c r="G126" s="351"/>
      <c r="H126" s="351"/>
      <c r="I126" s="351"/>
    </row>
    <row r="127" spans="2:9" x14ac:dyDescent="0.25">
      <c r="B127" s="351"/>
      <c r="C127" s="351"/>
      <c r="D127" s="351"/>
      <c r="E127" s="351"/>
      <c r="F127" s="351"/>
      <c r="G127" s="351"/>
      <c r="H127" s="351"/>
      <c r="I127" s="351"/>
    </row>
    <row r="128" spans="2:9" x14ac:dyDescent="0.25">
      <c r="B128" s="351"/>
      <c r="C128" s="351"/>
      <c r="D128" s="351"/>
      <c r="E128" s="351"/>
      <c r="F128" s="351"/>
      <c r="G128" s="351"/>
      <c r="H128" s="351"/>
      <c r="I128" s="351"/>
    </row>
    <row r="129" spans="2:9" x14ac:dyDescent="0.25">
      <c r="B129" s="351"/>
      <c r="C129" s="351"/>
      <c r="D129" s="351"/>
      <c r="E129" s="351"/>
      <c r="F129" s="351"/>
      <c r="G129" s="351"/>
      <c r="H129" s="351"/>
      <c r="I129" s="351"/>
    </row>
    <row r="130" spans="2:9" x14ac:dyDescent="0.25">
      <c r="B130" s="351"/>
      <c r="C130" s="351"/>
      <c r="D130" s="351"/>
      <c r="E130" s="351"/>
      <c r="F130" s="351"/>
      <c r="G130" s="351"/>
      <c r="H130" s="351"/>
      <c r="I130" s="351"/>
    </row>
    <row r="131" spans="2:9" x14ac:dyDescent="0.25">
      <c r="B131" s="351"/>
      <c r="C131" s="351"/>
      <c r="D131" s="351"/>
      <c r="E131" s="351"/>
      <c r="F131" s="351"/>
      <c r="G131" s="351"/>
      <c r="H131" s="351"/>
      <c r="I131" s="351"/>
    </row>
    <row r="132" spans="2:9" x14ac:dyDescent="0.25">
      <c r="B132" s="351"/>
      <c r="C132" s="351"/>
      <c r="D132" s="351"/>
      <c r="E132" s="351"/>
      <c r="F132" s="351"/>
      <c r="G132" s="351"/>
      <c r="H132" s="351"/>
      <c r="I132" s="351"/>
    </row>
    <row r="133" spans="2:9" x14ac:dyDescent="0.25">
      <c r="B133" s="351"/>
      <c r="C133" s="351"/>
      <c r="D133" s="351"/>
      <c r="E133" s="351"/>
      <c r="F133" s="351"/>
      <c r="G133" s="351"/>
      <c r="H133" s="351"/>
      <c r="I133" s="351"/>
    </row>
    <row r="134" spans="2:9" x14ac:dyDescent="0.25">
      <c r="B134" s="351"/>
      <c r="C134" s="351"/>
      <c r="D134" s="351"/>
      <c r="E134" s="351"/>
      <c r="F134" s="351"/>
      <c r="G134" s="351"/>
      <c r="H134" s="351"/>
      <c r="I134" s="351"/>
    </row>
    <row r="135" spans="2:9" x14ac:dyDescent="0.25">
      <c r="B135" s="351"/>
      <c r="C135" s="351"/>
      <c r="D135" s="351"/>
      <c r="E135" s="351"/>
      <c r="F135" s="351"/>
      <c r="G135" s="351"/>
      <c r="H135" s="351"/>
      <c r="I135" s="351"/>
    </row>
    <row r="136" spans="2:9" x14ac:dyDescent="0.25">
      <c r="B136" s="351"/>
      <c r="C136" s="351"/>
      <c r="D136" s="351"/>
      <c r="E136" s="351"/>
      <c r="F136" s="351"/>
      <c r="G136" s="351"/>
      <c r="H136" s="351"/>
      <c r="I136" s="351"/>
    </row>
    <row r="137" spans="2:9" x14ac:dyDescent="0.25">
      <c r="B137" s="351"/>
      <c r="C137" s="351"/>
      <c r="D137" s="351"/>
      <c r="E137" s="351"/>
      <c r="F137" s="351"/>
      <c r="G137" s="351"/>
      <c r="H137" s="351"/>
      <c r="I137" s="351"/>
    </row>
    <row r="138" spans="2:9" x14ac:dyDescent="0.25">
      <c r="B138" s="351"/>
      <c r="C138" s="351"/>
      <c r="D138" s="351"/>
      <c r="E138" s="351"/>
      <c r="F138" s="351"/>
      <c r="G138" s="351"/>
      <c r="H138" s="351"/>
      <c r="I138" s="351"/>
    </row>
    <row r="139" spans="2:9" x14ac:dyDescent="0.25">
      <c r="B139" s="351"/>
      <c r="C139" s="351"/>
      <c r="D139" s="351"/>
      <c r="E139" s="351"/>
      <c r="F139" s="351"/>
      <c r="G139" s="351"/>
      <c r="H139" s="351"/>
      <c r="I139" s="351"/>
    </row>
    <row r="140" spans="2:9" x14ac:dyDescent="0.25">
      <c r="B140" s="351"/>
      <c r="C140" s="351"/>
      <c r="D140" s="351"/>
      <c r="E140" s="351"/>
      <c r="F140" s="351"/>
      <c r="G140" s="351"/>
      <c r="H140" s="351"/>
      <c r="I140" s="351"/>
    </row>
    <row r="141" spans="2:9" x14ac:dyDescent="0.25">
      <c r="B141" s="351"/>
      <c r="C141" s="351"/>
      <c r="D141" s="351"/>
      <c r="E141" s="351"/>
      <c r="F141" s="351"/>
      <c r="G141" s="351"/>
      <c r="H141" s="351"/>
      <c r="I141" s="351"/>
    </row>
    <row r="142" spans="2:9" x14ac:dyDescent="0.25">
      <c r="B142" s="351"/>
      <c r="C142" s="351"/>
      <c r="D142" s="351"/>
      <c r="E142" s="351"/>
      <c r="F142" s="351"/>
      <c r="G142" s="351"/>
      <c r="H142" s="351"/>
      <c r="I142" s="351"/>
    </row>
    <row r="143" spans="2:9" x14ac:dyDescent="0.25">
      <c r="B143" s="351"/>
      <c r="C143" s="351"/>
      <c r="D143" s="351"/>
      <c r="E143" s="351"/>
      <c r="F143" s="351"/>
      <c r="G143" s="351"/>
      <c r="H143" s="351"/>
      <c r="I143" s="351"/>
    </row>
    <row r="144" spans="2:9" x14ac:dyDescent="0.25">
      <c r="B144" s="351"/>
      <c r="C144" s="351"/>
      <c r="D144" s="351"/>
      <c r="E144" s="351"/>
      <c r="F144" s="351"/>
      <c r="G144" s="351"/>
      <c r="H144" s="351"/>
      <c r="I144" s="351"/>
    </row>
    <row r="145" spans="2:9" x14ac:dyDescent="0.25">
      <c r="B145" s="351"/>
      <c r="C145" s="351"/>
      <c r="D145" s="351"/>
      <c r="E145" s="351"/>
      <c r="F145" s="351"/>
      <c r="G145" s="351"/>
      <c r="H145" s="351"/>
      <c r="I145" s="351"/>
    </row>
    <row r="146" spans="2:9" x14ac:dyDescent="0.25">
      <c r="B146" s="351"/>
      <c r="C146" s="351"/>
      <c r="D146" s="351"/>
      <c r="E146" s="351"/>
      <c r="F146" s="351"/>
      <c r="G146" s="351"/>
      <c r="H146" s="351"/>
      <c r="I146" s="351"/>
    </row>
    <row r="147" spans="2:9" x14ac:dyDescent="0.25">
      <c r="B147" s="351"/>
      <c r="C147" s="351"/>
      <c r="D147" s="351"/>
      <c r="E147" s="351"/>
      <c r="F147" s="351"/>
      <c r="G147" s="351"/>
      <c r="H147" s="351"/>
      <c r="I147" s="351"/>
    </row>
    <row r="148" spans="2:9" x14ac:dyDescent="0.25">
      <c r="B148" s="351"/>
      <c r="C148" s="351"/>
      <c r="D148" s="351"/>
      <c r="E148" s="351"/>
      <c r="F148" s="351"/>
      <c r="G148" s="351"/>
      <c r="H148" s="351"/>
      <c r="I148" s="351"/>
    </row>
    <row r="149" spans="2:9" x14ac:dyDescent="0.25">
      <c r="B149" s="351"/>
      <c r="C149" s="351"/>
      <c r="D149" s="351"/>
      <c r="E149" s="351"/>
      <c r="F149" s="351"/>
      <c r="G149" s="351"/>
      <c r="H149" s="351"/>
      <c r="I149" s="351"/>
    </row>
    <row r="150" spans="2:9" x14ac:dyDescent="0.25">
      <c r="B150" s="351"/>
      <c r="C150" s="351"/>
      <c r="D150" s="351"/>
      <c r="E150" s="351"/>
      <c r="F150" s="351"/>
      <c r="G150" s="351"/>
      <c r="H150" s="351"/>
      <c r="I150" s="351"/>
    </row>
    <row r="151" spans="2:9" x14ac:dyDescent="0.25">
      <c r="B151" s="351"/>
      <c r="C151" s="351"/>
      <c r="D151" s="351"/>
      <c r="E151" s="351"/>
      <c r="F151" s="351"/>
      <c r="G151" s="351"/>
      <c r="H151" s="351"/>
      <c r="I151" s="351"/>
    </row>
    <row r="152" spans="2:9" x14ac:dyDescent="0.25">
      <c r="B152" s="351"/>
      <c r="C152" s="351"/>
      <c r="D152" s="351"/>
      <c r="E152" s="351"/>
      <c r="F152" s="351"/>
      <c r="G152" s="351"/>
      <c r="H152" s="351"/>
      <c r="I152" s="351"/>
    </row>
    <row r="153" spans="2:9" x14ac:dyDescent="0.25">
      <c r="B153" s="351"/>
      <c r="C153" s="351"/>
      <c r="D153" s="351"/>
      <c r="E153" s="351"/>
      <c r="F153" s="351"/>
      <c r="G153" s="351"/>
      <c r="H153" s="351"/>
      <c r="I153" s="351"/>
    </row>
    <row r="154" spans="2:9" x14ac:dyDescent="0.25">
      <c r="B154" s="351"/>
      <c r="C154" s="351"/>
      <c r="D154" s="351"/>
      <c r="E154" s="351"/>
      <c r="F154" s="351"/>
      <c r="G154" s="351"/>
      <c r="H154" s="351"/>
      <c r="I154" s="351"/>
    </row>
    <row r="155" spans="2:9" x14ac:dyDescent="0.25">
      <c r="B155" s="351"/>
      <c r="C155" s="351"/>
      <c r="D155" s="351"/>
      <c r="E155" s="351"/>
      <c r="F155" s="351"/>
      <c r="G155" s="351"/>
      <c r="H155" s="351"/>
      <c r="I155" s="351"/>
    </row>
    <row r="156" spans="2:9" x14ac:dyDescent="0.25">
      <c r="B156" s="351"/>
      <c r="C156" s="351"/>
      <c r="D156" s="351"/>
      <c r="E156" s="351"/>
      <c r="F156" s="351"/>
      <c r="G156" s="351"/>
      <c r="H156" s="351"/>
      <c r="I156" s="351"/>
    </row>
    <row r="159" spans="2:9" ht="36" x14ac:dyDescent="0.25">
      <c r="C159" s="460" t="s">
        <v>236</v>
      </c>
      <c r="D159" s="460"/>
      <c r="E159" s="460"/>
      <c r="F159" s="460"/>
      <c r="G159" s="460"/>
      <c r="H159" s="460"/>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0" t="str">
        <f>"6. Résultats et exploitation des résultats à " &amp; Mesures_Dover!B20 &amp; "°C"</f>
        <v>6. Résultats et exploitation des résultats à °C</v>
      </c>
      <c r="D188" s="460"/>
      <c r="E188" s="460"/>
      <c r="F188" s="460"/>
      <c r="G188" s="460"/>
      <c r="H188" s="460"/>
    </row>
    <row r="192" spans="1:9" x14ac:dyDescent="0.25">
      <c r="A192" s="121" t="str" cm="1">
        <f t="array" ref="A192:A193">Mesures_Dover!A20:A21</f>
        <v>Consigne °C</v>
      </c>
      <c r="B192" s="150" cm="1">
        <f t="array" ref="B192:B193">Mesures_Dover!B20:B21</f>
        <v>0</v>
      </c>
      <c r="G192" s="464" t="s">
        <v>190</v>
      </c>
      <c r="H192" s="465"/>
      <c r="I192" s="466"/>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7" t="s">
        <v>194</v>
      </c>
      <c r="C197" s="467"/>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8"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8"/>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8"/>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8"/>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0" t="str">
        <f>"7. Résultats et exploitation des résultats à " &amp; Mesures_Dover!B20 &amp; "°C"</f>
        <v>7. Résultats et exploitation des résultats à °C</v>
      </c>
      <c r="C218" s="460"/>
      <c r="D218" s="460"/>
      <c r="E218" s="460"/>
      <c r="F218" s="460"/>
    </row>
    <row r="221" spans="2:6" x14ac:dyDescent="0.25">
      <c r="B221" s="351" t="s">
        <v>207</v>
      </c>
      <c r="C221" s="351"/>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9" t="e">
        <f ca="1">Dover_1!C20</f>
        <v>#REF!</v>
      </c>
      <c r="C230" s="502"/>
      <c r="D230" s="502"/>
      <c r="E230" s="502"/>
      <c r="F230" s="502"/>
      <c r="G230" s="502"/>
      <c r="H230" s="502"/>
      <c r="I230" s="502"/>
      <c r="J230" s="502"/>
    </row>
    <row r="231" spans="1:10" x14ac:dyDescent="0.25">
      <c r="A231" s="42" t="s">
        <v>98</v>
      </c>
      <c r="B231" s="499" t="e">
        <f ca="1">Dover_1!C21</f>
        <v>#REF!</v>
      </c>
      <c r="C231" s="502"/>
      <c r="D231" s="502"/>
      <c r="E231" s="502"/>
      <c r="F231" s="502"/>
      <c r="G231" s="502"/>
      <c r="H231" s="502"/>
      <c r="I231" s="502"/>
      <c r="J231" s="502"/>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0" t="str">
        <f>"9. Résultats et exploitation des résultats à " &amp; Mesures_Dover!C20 &amp; "°C"</f>
        <v>9. Résultats et exploitation des résultats à °C</v>
      </c>
      <c r="C284" s="460"/>
      <c r="D284" s="460"/>
      <c r="E284" s="460"/>
      <c r="F284" s="460"/>
    </row>
    <row r="291" spans="1:9" x14ac:dyDescent="0.25">
      <c r="A291" s="121" t="s">
        <v>237</v>
      </c>
      <c r="B291" s="150">
        <f>Mesures_Dover!C20</f>
        <v>0</v>
      </c>
      <c r="G291" s="464" t="s">
        <v>190</v>
      </c>
      <c r="H291" s="465"/>
      <c r="I291" s="466"/>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7" t="s">
        <v>194</v>
      </c>
      <c r="C296" s="467"/>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8"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8"/>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8"/>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8"/>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0" t="str">
        <f>"10. Résultats et exploitation des résultats à " &amp; Mesures_Dover!C20 &amp; "°C"</f>
        <v>10. Résultats et exploitation des résultats à °C</v>
      </c>
      <c r="C316" s="460"/>
      <c r="D316" s="460"/>
      <c r="E316" s="460"/>
      <c r="F316" s="460"/>
    </row>
    <row r="319" spans="1:6" x14ac:dyDescent="0.25">
      <c r="B319" s="351" t="s">
        <v>207</v>
      </c>
      <c r="C319" s="351"/>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9" t="e">
        <f ca="1">Dover_2!C20</f>
        <v>#REF!</v>
      </c>
      <c r="C328" s="502"/>
      <c r="D328" s="502"/>
      <c r="E328" s="502"/>
      <c r="F328" s="502"/>
      <c r="G328" s="502"/>
      <c r="H328" s="502"/>
      <c r="I328" s="502"/>
      <c r="J328" s="502"/>
    </row>
    <row r="329" spans="1:10" x14ac:dyDescent="0.25">
      <c r="A329" s="42" t="s">
        <v>98</v>
      </c>
      <c r="B329" s="499" t="e">
        <f ca="1">Dover_2!C21</f>
        <v>#REF!</v>
      </c>
      <c r="C329" s="502"/>
      <c r="D329" s="502"/>
      <c r="E329" s="502"/>
      <c r="F329" s="502"/>
      <c r="G329" s="502"/>
      <c r="H329" s="502"/>
      <c r="I329" s="502"/>
      <c r="J329" s="502"/>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4" t="s">
        <v>190</v>
      </c>
      <c r="H401" s="465"/>
      <c r="I401" s="466"/>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7" t="s">
        <v>194</v>
      </c>
      <c r="C406" s="467"/>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8"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8"/>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8"/>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8"/>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0" t="str">
        <f>"13. Résultats et exploitation des résultats à " &amp; Mesures_Dover!D20 &amp; "°C"</f>
        <v>13. Résultats et exploitation des résultats à °C</v>
      </c>
      <c r="C425" s="460"/>
      <c r="D425" s="460"/>
      <c r="E425" s="460"/>
      <c r="F425" s="460"/>
    </row>
    <row r="428" spans="1:10" x14ac:dyDescent="0.25">
      <c r="B428" s="351" t="s">
        <v>207</v>
      </c>
      <c r="C428" s="351"/>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9" t="e">
        <f ca="1">Dover_3!C20</f>
        <v>#REF!</v>
      </c>
      <c r="C437" s="502"/>
      <c r="D437" s="502"/>
      <c r="E437" s="502"/>
      <c r="F437" s="502"/>
      <c r="G437" s="502"/>
      <c r="H437" s="502"/>
      <c r="I437" s="502"/>
      <c r="J437" s="502"/>
    </row>
    <row r="438" spans="1:10" x14ac:dyDescent="0.25">
      <c r="A438" s="42" t="s">
        <v>98</v>
      </c>
      <c r="B438" s="499" t="e">
        <f ca="1">Dover_3!C21</f>
        <v>#REF!</v>
      </c>
      <c r="C438" s="502"/>
      <c r="D438" s="502"/>
      <c r="E438" s="502"/>
      <c r="F438" s="502"/>
      <c r="G438" s="502"/>
      <c r="H438" s="502"/>
      <c r="I438" s="502"/>
      <c r="J438" s="502"/>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321</v>
      </c>
    </row>
    <row r="497" spans="3:7" x14ac:dyDescent="0.25">
      <c r="C497" s="128" t="s">
        <v>215</v>
      </c>
      <c r="D497" s="128"/>
      <c r="E497" s="189" t="str">
        <f>Dover_1!O16 &amp; "°C"</f>
        <v>0°C</v>
      </c>
      <c r="F497" s="22" t="str">
        <f>Dover_2!O16 &amp; "°C"</f>
        <v>0°C</v>
      </c>
      <c r="G497" s="22" t="str">
        <f>Dover_3!O16 &amp; "°C"</f>
        <v>0°C</v>
      </c>
    </row>
    <row r="498" spans="3:7" x14ac:dyDescent="0.25">
      <c r="C498" s="470" t="s">
        <v>216</v>
      </c>
      <c r="D498" s="471"/>
      <c r="E498" s="154">
        <f>Dover_1!O16</f>
        <v>0</v>
      </c>
      <c r="F498" s="154">
        <f>Dover_2!O16</f>
        <v>0</v>
      </c>
      <c r="G498" s="154">
        <f>Dover_3!O16</f>
        <v>0</v>
      </c>
    </row>
    <row r="499" spans="3:7" x14ac:dyDescent="0.25">
      <c r="C499" s="470" t="s">
        <v>217</v>
      </c>
      <c r="D499" s="471"/>
      <c r="E499" s="131" t="e">
        <f ca="1">Dover_1!C20</f>
        <v>#REF!</v>
      </c>
      <c r="F499" s="131" t="e">
        <f ca="1">Dover_2!C20</f>
        <v>#REF!</v>
      </c>
      <c r="G499" s="131" t="e">
        <f ca="1">Dover_3!C20</f>
        <v>#REF!</v>
      </c>
    </row>
    <row r="500" spans="3:7" x14ac:dyDescent="0.25">
      <c r="C500" s="470" t="s">
        <v>218</v>
      </c>
      <c r="D500" s="471"/>
      <c r="E500" s="154">
        <f>Mesures_Dover!B21</f>
        <v>0</v>
      </c>
      <c r="F500" s="154">
        <f>Mesures_Dover!B21</f>
        <v>0</v>
      </c>
      <c r="G500" s="154">
        <f>Mesures_Dover!B21</f>
        <v>0</v>
      </c>
    </row>
    <row r="501" spans="3:7" x14ac:dyDescent="0.25">
      <c r="C501" s="470" t="s">
        <v>239</v>
      </c>
      <c r="D501" s="471"/>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70" t="s">
        <v>240</v>
      </c>
      <c r="D502" s="471"/>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70" t="s">
        <v>241</v>
      </c>
      <c r="D503" s="471"/>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70" t="s">
        <v>220</v>
      </c>
      <c r="D504" s="471"/>
      <c r="E504" s="129" t="e">
        <f ca="1">(MAX(Dover_1!C16:K16)- MIN(Dover_1!C17:K17))/2</f>
        <v>#REF!</v>
      </c>
      <c r="F504" s="129" t="e">
        <f ca="1">(MAX(Dover_2!C16:K16)- MIN(Dover_2!C17:K17))/2</f>
        <v>#REF!</v>
      </c>
      <c r="G504" s="129" t="e">
        <f ca="1">(MAX(Dover_3!C16:K16)- MIN(Dover_3!C17:K17))/2</f>
        <v>#REF!</v>
      </c>
    </row>
  </sheetData>
  <sheetProtection algorithmName="SHA-512" hashValue="PY23J7bQ46zEkHlPOuafsXwIbb1DAsCNVAXtjuZqtBG4FbLN8KlPvL+hvVpdX5J7YKl1MIF3aavsccn0IPbZ3Q==" saltValue="aikdV+thjCN1wQipXjdFpA=="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Emilie LAGASSY</dc:creator>
  <cp:lastModifiedBy>Sebastien GONZALEZ</cp:lastModifiedBy>
  <cp:lastPrinted>2024-02-19T07:49:15Z</cp:lastPrinted>
  <dcterms:created xsi:type="dcterms:W3CDTF">2015-06-05T18:19:34Z</dcterms:created>
  <dcterms:modified xsi:type="dcterms:W3CDTF">2024-02-21T07:55:09Z</dcterms:modified>
</cp:coreProperties>
</file>