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tables/table9.xml" ContentType="application/vnd.openxmlformats-officedocument.spreadsheetml.table+xml"/>
  <Override PartName="/xl/drawings/drawing9.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2.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drawings/drawing13.xml" ContentType="application/vnd.openxmlformats-officedocument.drawing+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drawings/drawing17.xml" ContentType="application/vnd.openxmlformats-officedocument.drawing+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8.xml" ContentType="application/vnd.openxmlformats-officedocument.drawing+xml"/>
  <Override PartName="/xl/ctrlProps/ctrlProp5.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9.xml" ContentType="application/vnd.openxmlformats-officedocument.drawing+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0.xml" ContentType="application/vnd.openxmlformats-officedocument.drawing+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1.xml" ContentType="application/vnd.openxmlformats-officedocument.drawing+xml"/>
  <Override PartName="/xl/charts/chart1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2.xml" ContentType="application/vnd.openxmlformats-officedocument.drawing+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charts/chart2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3.xml" ContentType="application/vnd.openxmlformats-officedocument.drawing+xml"/>
  <Override PartName="/xl/ctrlProps/ctrlProp6.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4.xml" ContentType="application/vnd.openxmlformats-officedocument.drawing+xml"/>
  <Override PartName="/xl/charts/chart2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5.xml" ContentType="application/vnd.openxmlformats-officedocument.drawing+xml"/>
  <Override PartName="/xl/charts/chart2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6.xml" ContentType="application/vnd.openxmlformats-officedocument.drawing+xml"/>
  <Override PartName="/xl/charts/chart2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7.xml" ContentType="application/vnd.openxmlformats-officedocument.drawing+xml"/>
  <Override PartName="/xl/charts/chart24.xml" ContentType="application/vnd.openxmlformats-officedocument.drawingml.chart+xml"/>
  <Override PartName="/xl/charts/style16.xml" ContentType="application/vnd.ms-office.chartstyle+xml"/>
  <Override PartName="/xl/charts/colors16.xml" ContentType="application/vnd.ms-office.chartcolorstyle+xml"/>
  <Override PartName="/xl/charts/chart25.xml" ContentType="application/vnd.openxmlformats-officedocument.drawingml.chart+xml"/>
  <Override PartName="/xl/charts/style17.xml" ContentType="application/vnd.ms-office.chartstyle+xml"/>
  <Override PartName="/xl/charts/colors17.xml" ContentType="application/vnd.ms-office.chartcolorstyle+xml"/>
  <Override PartName="/xl/charts/chart26.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N:\QUALITE\SMQ EN 9100\Certificats étalonnage\Certificats d'étalonnage 2024\Four\tus du 13022024\"/>
    </mc:Choice>
  </mc:AlternateContent>
  <xr:revisionPtr revIDLastSave="0" documentId="13_ncr:1_{FDA12FB0-153B-4BB5-89EF-F30FEFD00250}" xr6:coauthVersionLast="47" xr6:coauthVersionMax="47" xr10:uidLastSave="{00000000-0000-0000-0000-000000000000}"/>
  <workbookProtection workbookAlgorithmName="SHA-512" workbookHashValue="FW+Mx912iiorWFGCFsLxSabl7/69dbM3oo7cIT5wzPEIA34HfQ2jDkDEgl077qUugn+rQi0Sli6pViH6A77Vzw==" workbookSaltValue="s7UeA6sxlx5oj2bPVs6afQ==" workbookSpinCount="100000" lockStructure="1"/>
  <bookViews>
    <workbookView xWindow="-120" yWindow="-120" windowWidth="29040" windowHeight="15840" tabRatio="887" firstSheet="2" activeTab="16" xr2:uid="{00000000-000D-0000-FFFF-FFFF00000000}"/>
  </bookViews>
  <sheets>
    <sheet name="Group-1" sheetId="17" state="hidden" r:id="rId1"/>
    <sheet name="Entete" sheetId="18" state="hidden" r:id="rId2"/>
    <sheet name="Choose_TUS" sheetId="1" r:id="rId3"/>
    <sheet name="Mesures_Four" sheetId="45" r:id="rId4"/>
    <sheet name="transfert 80" sheetId="46" r:id="rId5"/>
    <sheet name="transfert 200" sheetId="50" r:id="rId6"/>
    <sheet name="transfert 385" sheetId="47" r:id="rId7"/>
    <sheet name="transfert 535" sheetId="48" r:id="rId8"/>
    <sheet name="Four 80" sheetId="49" r:id="rId9"/>
    <sheet name="Four 200" sheetId="51" r:id="rId10"/>
    <sheet name="Four 385" sheetId="52" r:id="rId11"/>
    <sheet name="Four 535" sheetId="53" r:id="rId12"/>
    <sheet name="80°C" sheetId="41" r:id="rId13"/>
    <sheet name="200°C" sheetId="42" r:id="rId14"/>
    <sheet name="385°C" sheetId="40" r:id="rId15"/>
    <sheet name="535°C" sheetId="43" r:id="rId16"/>
    <sheet name="Four_PV" sheetId="44" r:id="rId17"/>
    <sheet name="Mesures_Ressuage_BCH" sheetId="35" state="hidden" r:id="rId18"/>
    <sheet name="Donnee_Ressuage_BCH" sheetId="36" state="hidden" r:id="rId19"/>
    <sheet name="Ressuage_BCH" sheetId="37" state="hidden" r:id="rId20"/>
    <sheet name="Ressuage_PV_BCH" sheetId="38" state="hidden" r:id="rId21"/>
    <sheet name="Verif_periodique_Ressuage_BCH" sheetId="39" state="hidden" r:id="rId22"/>
    <sheet name="Mesures_Congel" sheetId="2" state="hidden" r:id="rId23"/>
    <sheet name="Donnee_Congel" sheetId="16" state="hidden" r:id="rId24"/>
    <sheet name="Congel" sheetId="5" state="hidden" r:id="rId25"/>
    <sheet name="Congel_PV" sheetId="20" state="hidden" r:id="rId26"/>
    <sheet name="Verif_periodique_Congel" sheetId="19" state="hidden" r:id="rId27"/>
    <sheet name="Mesures_Sechoir" sheetId="29" state="hidden" r:id="rId28"/>
    <sheet name="Donnee_Sechoir" sheetId="30" state="hidden" r:id="rId29"/>
    <sheet name="Sechoir" sheetId="31" state="hidden" r:id="rId30"/>
    <sheet name="Sechoir_PV" sheetId="32" state="hidden" r:id="rId31"/>
    <sheet name="Mesures_Omia" sheetId="4" state="hidden" r:id="rId32"/>
    <sheet name="Donnee_Omia_1" sheetId="21" state="hidden" r:id="rId33"/>
    <sheet name="Donnee_Omia_2" sheetId="22" state="hidden" r:id="rId34"/>
    <sheet name="Donnee_Omia_3" sheetId="23" state="hidden" r:id="rId35"/>
    <sheet name="Omia_1" sheetId="6" state="hidden" r:id="rId36"/>
    <sheet name="Omia_2" sheetId="7" state="hidden" r:id="rId37"/>
    <sheet name="Omia_3" sheetId="8" state="hidden" r:id="rId38"/>
    <sheet name="Omia_PV" sheetId="24" state="hidden" r:id="rId39"/>
    <sheet name="Mesures_Dover" sheetId="3" state="hidden" r:id="rId40"/>
    <sheet name="Donnee_Dover_1" sheetId="25" state="hidden" r:id="rId41"/>
    <sheet name="Donnee_Dover_2" sheetId="26" state="hidden" r:id="rId42"/>
    <sheet name="Donnee_Dover_3" sheetId="27" state="hidden" r:id="rId43"/>
    <sheet name="Dover_1" sheetId="9" state="hidden" r:id="rId44"/>
    <sheet name="Dover_2" sheetId="10" state="hidden" r:id="rId45"/>
    <sheet name="Dover_3" sheetId="11" state="hidden" r:id="rId46"/>
    <sheet name="Dover_PV" sheetId="28" state="hidden" r:id="rId47"/>
  </sheets>
  <functionGroups builtInGroupCount="19"/>
  <definedNames>
    <definedName name="DerniereLigne200">'200°C'!$A$195</definedName>
    <definedName name="DerniereLigne385">'385°C'!$A$121:$AC$121</definedName>
    <definedName name="DerniereLigne535">'535°C'!$A$109</definedName>
    <definedName name="DerniereLigne80">'80°C'!$A$359</definedName>
    <definedName name="Entete_Congel">Entete!$A$2:$N$21</definedName>
    <definedName name="Entete_DOVER">Entete!$A$46:$K$59</definedName>
    <definedName name="Entete_Etuve_Sechoir">Entete!$A$64:$J$75</definedName>
    <definedName name="Entete_OMIA">Entete!$A$25:$O$42</definedName>
    <definedName name="Entete_Ressuage_BCH">Entete!$A$80:$Q$99</definedName>
    <definedName name="Entêtes_Four">Entete!$A$121:$L$130</definedName>
    <definedName name="Entêtes_Transfert">Entete!$A$104:$L$117</definedName>
    <definedName name="MT1_200">'200°C'!$M$7</definedName>
    <definedName name="MT1_30" localSheetId="24">Congel!$A$11</definedName>
    <definedName name="MT1_30" localSheetId="43">Dover_1!$A$11</definedName>
    <definedName name="MT1_30" localSheetId="44">Dover_2!$A$11</definedName>
    <definedName name="MT1_30" localSheetId="45">Dover_3!$A$11</definedName>
    <definedName name="MT1_30" localSheetId="35">Omia_1!$A$11</definedName>
    <definedName name="MT1_30" localSheetId="36">Omia_2!$A$11</definedName>
    <definedName name="MT1_30" localSheetId="37">Omia_3!$A$11</definedName>
    <definedName name="MT1_30" localSheetId="19">Ressuage_BCH!$A$11</definedName>
    <definedName name="MT1_30" localSheetId="29">Sechoir!$A$11</definedName>
    <definedName name="MT1_385">'385°C'!$M$7</definedName>
    <definedName name="MT1_535">'535°C'!$M$7</definedName>
    <definedName name="MT1_80">'80°C'!$M$7</definedName>
    <definedName name="MT2_200">'200°C'!$M$74</definedName>
    <definedName name="MT2_30" localSheetId="24">Congel!$A$12</definedName>
    <definedName name="MT2_30" localSheetId="43">Dover_1!$A$12</definedName>
    <definedName name="MT2_30" localSheetId="44">Dover_2!$A$12</definedName>
    <definedName name="MT2_30" localSheetId="45">Dover_3!$A$12</definedName>
    <definedName name="MT2_30" localSheetId="35">Omia_1!$A$15</definedName>
    <definedName name="MT2_30" localSheetId="36">Omia_2!$A$31</definedName>
    <definedName name="MT2_30" localSheetId="37">Omia_3!$A$26</definedName>
    <definedName name="MT2_30" localSheetId="19">Ressuage_BCH!$A$12</definedName>
    <definedName name="MT2_30" localSheetId="29">Sechoir!$A$12</definedName>
    <definedName name="MT2_385">'385°C'!$M$37</definedName>
    <definedName name="MT2_535">'535°C'!$M$22</definedName>
    <definedName name="MT2_80">'80°C'!$M$157</definedName>
    <definedName name="NomDoc">Mesures_Four!$B$4</definedName>
    <definedName name="PremiereLigne200">'200°C'!$A$6:$AC$6</definedName>
    <definedName name="PremiereLigne385">'385°C'!$A$6:$AC$6</definedName>
    <definedName name="PremiereLigne535">'535°C'!$A$6:$AC$6</definedName>
    <definedName name="PremiereLigne80">'80°C'!$A$6:$AC$6</definedName>
    <definedName name="test_propagation" localSheetId="24">Congel!$B$11</definedName>
    <definedName name="test_propagation" localSheetId="43">Dover_1!$B$11</definedName>
    <definedName name="test_propagation" localSheetId="44">Dover_2!$B$11</definedName>
    <definedName name="test_propagation" localSheetId="45">Dover_3!$B$11</definedName>
    <definedName name="test_propagation" localSheetId="35">Omia_1!$B$11</definedName>
    <definedName name="test_propagation" localSheetId="36">Omia_2!$B$11</definedName>
    <definedName name="test_propagation" localSheetId="19">Ressuage_BCH!$B$11</definedName>
    <definedName name="test_propagation" localSheetId="29">Sechoir!$B$11</definedName>
    <definedName name="test_propagation">Omia_3!$B$11</definedName>
    <definedName name="VerifPropagation200">'200°C'!$A$6</definedName>
    <definedName name="VerifPropagation385">'385°C'!$A$6</definedName>
    <definedName name="VerifPropagation535">'535°C'!$A$6</definedName>
    <definedName name="VerifPropagation80">'80°C'!$A$6</definedName>
    <definedName name="_xlnm.Print_Area" localSheetId="25">Congel_PV!$A$1:$J$318</definedName>
    <definedName name="_xlnm.Print_Area" localSheetId="46">Dover_PV!$A$1:$O$511</definedName>
    <definedName name="_xlnm.Print_Area" localSheetId="16">Four_PV!$A$1:$I$616</definedName>
    <definedName name="_xlnm.Print_Area" localSheetId="38">Omia_PV!$A$1:$O$519</definedName>
    <definedName name="_xlnm.Print_Area" localSheetId="20">Ressuage_PV_BCH!$A$1:$J$318</definedName>
    <definedName name="_xlnm.Print_Area" localSheetId="30">Sechoir_PV!$A$1:$J$318</definedName>
    <definedName name="_xlnm.Print_Area" localSheetId="21">Verif_periodique_Ressuage_BCH!$A$1:$I$67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 i="43" l="1"/>
  <c r="U3" i="43"/>
  <c r="T3" i="43"/>
  <c r="S3" i="43"/>
  <c r="R3" i="43"/>
  <c r="Q3" i="43"/>
  <c r="P3" i="43"/>
  <c r="O3" i="43"/>
  <c r="N3" i="43"/>
  <c r="V2" i="43"/>
  <c r="U2" i="43"/>
  <c r="T2" i="43"/>
  <c r="S2" i="43"/>
  <c r="R2" i="43"/>
  <c r="Q2" i="43"/>
  <c r="P2" i="43"/>
  <c r="O2" i="43"/>
  <c r="N2" i="43"/>
  <c r="A1" i="43"/>
  <c r="V3" i="40"/>
  <c r="U3" i="40"/>
  <c r="T3" i="40"/>
  <c r="S3" i="40"/>
  <c r="R3" i="40"/>
  <c r="Q3" i="40"/>
  <c r="P3" i="40"/>
  <c r="O3" i="40"/>
  <c r="N3" i="40"/>
  <c r="V2" i="40"/>
  <c r="U2" i="40"/>
  <c r="T2" i="40"/>
  <c r="S2" i="40"/>
  <c r="R2" i="40"/>
  <c r="Q2" i="40"/>
  <c r="P2" i="40"/>
  <c r="O2" i="40"/>
  <c r="N2" i="40"/>
  <c r="A1" i="40"/>
  <c r="V3" i="42"/>
  <c r="U3" i="42"/>
  <c r="T3" i="42"/>
  <c r="S3" i="42"/>
  <c r="R3" i="42"/>
  <c r="Q3" i="42"/>
  <c r="P3" i="42"/>
  <c r="O3" i="42"/>
  <c r="N3" i="42"/>
  <c r="V2" i="42"/>
  <c r="U2" i="42"/>
  <c r="T2" i="42"/>
  <c r="S2" i="42"/>
  <c r="R2" i="42"/>
  <c r="Q2" i="42"/>
  <c r="P2" i="42"/>
  <c r="O2" i="42"/>
  <c r="N2" i="42"/>
  <c r="A1" i="42"/>
  <c r="V3" i="41"/>
  <c r="U3" i="41"/>
  <c r="T3" i="41"/>
  <c r="S3" i="41"/>
  <c r="R3" i="41"/>
  <c r="Q3" i="41"/>
  <c r="P3" i="41"/>
  <c r="O3" i="41"/>
  <c r="N3" i="41"/>
  <c r="V2" i="41"/>
  <c r="U2" i="41"/>
  <c r="T2" i="41"/>
  <c r="S2" i="41"/>
  <c r="R2" i="41"/>
  <c r="Q2" i="41"/>
  <c r="P2" i="41"/>
  <c r="O2" i="41"/>
  <c r="N2" i="41"/>
  <c r="A1" i="41"/>
  <c r="H403" i="28" a="1"/>
  <c r="H403" i="28" s="1"/>
  <c r="G293" i="28"/>
  <c r="G194" i="28"/>
  <c r="G202" i="24"/>
  <c r="H202" i="24" a="1"/>
  <c r="H202" i="24" s="1"/>
  <c r="G301" i="24"/>
  <c r="H301" i="24" a="1"/>
  <c r="H301" i="24" s="1"/>
  <c r="G411" i="24"/>
  <c r="H411" i="24" a="1"/>
  <c r="H411" i="24" s="1"/>
  <c r="B11" i="7" a="1"/>
  <c r="B11" i="7" s="1"/>
  <c r="B11" i="6" a="1"/>
  <c r="B11" i="6" s="1"/>
  <c r="A1" i="8"/>
  <c r="A1" i="7"/>
  <c r="A1" i="6"/>
  <c r="C11" i="5" a="1"/>
  <c r="C11" i="5" s="1"/>
  <c r="G587" i="44"/>
  <c r="F587" i="44"/>
  <c r="E587" i="44"/>
  <c r="D587" i="44"/>
  <c r="F575" i="44"/>
  <c r="E566" i="44"/>
  <c r="F487" i="44"/>
  <c r="F486" i="44"/>
  <c r="F485" i="44"/>
  <c r="C485" i="44"/>
  <c r="B485" i="44"/>
  <c r="F474" i="44"/>
  <c r="E465" i="44"/>
  <c r="F385" i="44"/>
  <c r="F384" i="44"/>
  <c r="F383" i="44"/>
  <c r="C383" i="44"/>
  <c r="B383" i="44"/>
  <c r="B380" i="44" s="1"/>
  <c r="F372" i="44"/>
  <c r="E363" i="44"/>
  <c r="F283" i="44"/>
  <c r="F282" i="44"/>
  <c r="F281" i="44"/>
  <c r="C281" i="44"/>
  <c r="B281" i="44"/>
  <c r="F270" i="44"/>
  <c r="E261" i="44"/>
  <c r="F183" i="44"/>
  <c r="F182" i="44"/>
  <c r="F181" i="44"/>
  <c r="C181" i="44"/>
  <c r="C255" i="44" s="1"/>
  <c r="B181" i="44"/>
  <c r="D155" i="44"/>
  <c r="C155" i="44"/>
  <c r="B155" i="44"/>
  <c r="D154" i="44"/>
  <c r="C154" i="44"/>
  <c r="B154" i="44"/>
  <c r="D153" i="44"/>
  <c r="C153" i="44"/>
  <c r="B153" i="44"/>
  <c r="D152" i="44"/>
  <c r="C152" i="44"/>
  <c r="B152" i="44"/>
  <c r="D151" i="44"/>
  <c r="C151" i="44"/>
  <c r="B151" i="44"/>
  <c r="D150" i="44"/>
  <c r="C150" i="44"/>
  <c r="B150" i="44"/>
  <c r="D149" i="44"/>
  <c r="C149" i="44"/>
  <c r="B149" i="44"/>
  <c r="D148" i="44"/>
  <c r="C148" i="44"/>
  <c r="B148" i="44"/>
  <c r="D147" i="44"/>
  <c r="C147" i="44"/>
  <c r="B147" i="44"/>
  <c r="B116" i="44"/>
  <c r="E111" i="44"/>
  <c r="E110" i="44"/>
  <c r="D110" i="44"/>
  <c r="D112" i="44" s="1"/>
  <c r="E109" i="44"/>
  <c r="D109" i="44"/>
  <c r="E108" i="44"/>
  <c r="D108" i="44"/>
  <c r="E107" i="44"/>
  <c r="D107" i="44"/>
  <c r="G106" i="44"/>
  <c r="E106" i="44"/>
  <c r="G105" i="44"/>
  <c r="G104" i="44"/>
  <c r="E75" i="44"/>
  <c r="D75" i="44"/>
  <c r="E74" i="44"/>
  <c r="D74" i="44"/>
  <c r="E73" i="44"/>
  <c r="D73" i="44"/>
  <c r="D18" i="44"/>
  <c r="D17" i="44"/>
  <c r="G15" i="44"/>
  <c r="D14" i="44"/>
  <c r="D13" i="44"/>
  <c r="G12" i="44"/>
  <c r="D12" i="44"/>
  <c r="D11" i="44"/>
  <c r="E8" i="44" s="1"/>
  <c r="A120" i="18"/>
  <c r="A103" i="18"/>
  <c r="G585" i="44"/>
  <c r="F585" i="44"/>
  <c r="E585" i="44"/>
  <c r="D585" i="44"/>
  <c r="C488" i="44"/>
  <c r="B488" i="44"/>
  <c r="C386" i="44"/>
  <c r="B386" i="44"/>
  <c r="C284" i="44"/>
  <c r="B284" i="44"/>
  <c r="C184" i="44"/>
  <c r="B184" i="44"/>
  <c r="V62" i="43"/>
  <c r="U62" i="43"/>
  <c r="T62" i="43"/>
  <c r="S62" i="43"/>
  <c r="R62" i="43"/>
  <c r="Q62" i="43"/>
  <c r="P62" i="43"/>
  <c r="O62" i="43"/>
  <c r="N62" i="43"/>
  <c r="N61" i="43" a="1"/>
  <c r="N61" i="43" s="1"/>
  <c r="AC114" i="43"/>
  <c r="F494" i="44" s="1"/>
  <c r="AB114" i="43"/>
  <c r="F493" i="44" s="1"/>
  <c r="AA114" i="43"/>
  <c r="F495" i="44" s="1"/>
  <c r="AC113" i="43"/>
  <c r="E494" i="44" s="1"/>
  <c r="AB113" i="43"/>
  <c r="E493" i="44" s="1"/>
  <c r="AA113" i="43"/>
  <c r="E495" i="44" s="1"/>
  <c r="AC112" i="43"/>
  <c r="AB112" i="43"/>
  <c r="D493" i="44" s="1"/>
  <c r="AA112" i="43"/>
  <c r="D495" i="44" s="1"/>
  <c r="AC111" i="43"/>
  <c r="AB111" i="43"/>
  <c r="AA111" i="43"/>
  <c r="Z6" i="43" a="1"/>
  <c r="W6" i="43" a="1"/>
  <c r="W6" i="43" s="1"/>
  <c r="N6" i="43" a="1"/>
  <c r="N6" i="43" s="1"/>
  <c r="A6" i="43" a="1"/>
  <c r="A6" i="43" s="1"/>
  <c r="V77" i="40"/>
  <c r="U77" i="40"/>
  <c r="T77" i="40"/>
  <c r="S77" i="40"/>
  <c r="R77" i="40"/>
  <c r="Q77" i="40"/>
  <c r="P77" i="40"/>
  <c r="O77" i="40"/>
  <c r="N77" i="40"/>
  <c r="N76" i="40" a="1"/>
  <c r="N76" i="40" s="1"/>
  <c r="AC126" i="40"/>
  <c r="F392" i="44" s="1"/>
  <c r="AB126" i="40"/>
  <c r="F391" i="44" s="1"/>
  <c r="AA126" i="40"/>
  <c r="F393" i="44" s="1"/>
  <c r="AC125" i="40"/>
  <c r="E392" i="44" s="1"/>
  <c r="AB125" i="40"/>
  <c r="E391" i="44" s="1"/>
  <c r="AA125" i="40"/>
  <c r="AC124" i="40"/>
  <c r="D392" i="44" s="1"/>
  <c r="AB124" i="40"/>
  <c r="D391" i="44" s="1"/>
  <c r="AA124" i="40"/>
  <c r="D393" i="44" s="1"/>
  <c r="AC123" i="40"/>
  <c r="AB123" i="40"/>
  <c r="AA123" i="40"/>
  <c r="Z6" i="40" a="1"/>
  <c r="Z6" i="40" s="1"/>
  <c r="W6" i="40" a="1"/>
  <c r="W6" i="40" s="1"/>
  <c r="N6" i="40" a="1"/>
  <c r="N6" i="40" s="1"/>
  <c r="A6" i="40" a="1"/>
  <c r="A6" i="40" s="1"/>
  <c r="V114" i="42"/>
  <c r="U114" i="42"/>
  <c r="T114" i="42"/>
  <c r="S114" i="42"/>
  <c r="R114" i="42"/>
  <c r="Q114" i="42"/>
  <c r="P114" i="42"/>
  <c r="O114" i="42"/>
  <c r="N114" i="42"/>
  <c r="N113" i="42" a="1"/>
  <c r="N113" i="42" s="1"/>
  <c r="AC200" i="42"/>
  <c r="F290" i="44" s="1"/>
  <c r="AB200" i="42"/>
  <c r="F289" i="44" s="1"/>
  <c r="AA200" i="42"/>
  <c r="F291" i="44" s="1"/>
  <c r="AC199" i="42"/>
  <c r="E290" i="44" s="1"/>
  <c r="AB199" i="42"/>
  <c r="E289" i="44" s="1"/>
  <c r="AA199" i="42"/>
  <c r="E291" i="44" s="1"/>
  <c r="AC198" i="42"/>
  <c r="D290" i="44" s="1"/>
  <c r="AB198" i="42"/>
  <c r="D289" i="44" s="1"/>
  <c r="AA198" i="42"/>
  <c r="D291" i="44" s="1"/>
  <c r="AC197" i="42"/>
  <c r="AB197" i="42"/>
  <c r="AA197" i="42"/>
  <c r="Z6" i="42" a="1"/>
  <c r="W6" i="42" a="1"/>
  <c r="W6" i="42" s="1"/>
  <c r="N6" i="42" a="1"/>
  <c r="N6" i="42" s="1"/>
  <c r="A6" i="42" a="1"/>
  <c r="A6" i="42" s="1"/>
  <c r="V197" i="41"/>
  <c r="U197" i="41"/>
  <c r="T197" i="41"/>
  <c r="S197" i="41"/>
  <c r="R197" i="41"/>
  <c r="Q197" i="41"/>
  <c r="P197" i="41"/>
  <c r="O197" i="41"/>
  <c r="N197" i="41"/>
  <c r="N196" i="41" a="1"/>
  <c r="N196" i="41" s="1"/>
  <c r="AC364" i="41"/>
  <c r="F190" i="44" s="1"/>
  <c r="AB364" i="41"/>
  <c r="F189" i="44" s="1"/>
  <c r="AA364" i="41"/>
  <c r="F191" i="44" s="1"/>
  <c r="AC363" i="41"/>
  <c r="E190" i="44" s="1"/>
  <c r="AB363" i="41"/>
  <c r="E189" i="44" s="1"/>
  <c r="AA363" i="41"/>
  <c r="E191" i="44" s="1"/>
  <c r="AC362" i="41"/>
  <c r="AB362" i="41"/>
  <c r="D189" i="44" s="1"/>
  <c r="AA362" i="41"/>
  <c r="D191" i="44" s="1"/>
  <c r="AC361" i="41"/>
  <c r="AB361" i="41"/>
  <c r="AA361" i="41"/>
  <c r="Z6" i="41" a="1"/>
  <c r="W6" i="41" a="1"/>
  <c r="W6" i="41" s="1"/>
  <c r="N6" i="41" a="1"/>
  <c r="N6" i="41" s="1"/>
  <c r="A6" i="41" a="1"/>
  <c r="A6" i="41" s="1"/>
  <c r="G39" i="45"/>
  <c r="F39" i="45"/>
  <c r="E39" i="45"/>
  <c r="D39" i="45"/>
  <c r="G38" i="45"/>
  <c r="G27" i="45"/>
  <c r="F27" i="45"/>
  <c r="E27" i="45"/>
  <c r="D27" i="45"/>
  <c r="B602" i="44"/>
  <c r="C560" i="44"/>
  <c r="B482" i="44"/>
  <c r="C459" i="44"/>
  <c r="C357" i="44"/>
  <c r="D197" i="44"/>
  <c r="E112" i="44"/>
  <c r="G108" i="44"/>
  <c r="C90" i="44"/>
  <c r="C84" i="44"/>
  <c r="S56" i="43" l="1"/>
  <c r="E521" i="44" s="1"/>
  <c r="C419" i="44"/>
  <c r="C521" i="44"/>
  <c r="B270" i="44"/>
  <c r="C312" i="44"/>
  <c r="C422" i="44"/>
  <c r="C215" i="44"/>
  <c r="C315" i="44"/>
  <c r="C254" i="44"/>
  <c r="B178" i="44"/>
  <c r="C316" i="44"/>
  <c r="C415" i="44"/>
  <c r="P54" i="43"/>
  <c r="H518" i="44" s="1"/>
  <c r="T56" i="43"/>
  <c r="E522" i="44" s="1"/>
  <c r="V57" i="43"/>
  <c r="F524" i="44" s="1"/>
  <c r="Q57" i="43"/>
  <c r="F519" i="44" s="1"/>
  <c r="U55" i="43"/>
  <c r="O57" i="43"/>
  <c r="F517" i="44" s="1"/>
  <c r="N7" i="43" a="1"/>
  <c r="N7" i="43" s="1"/>
  <c r="R56" i="43"/>
  <c r="E520" i="44" s="1"/>
  <c r="T55" i="43"/>
  <c r="T57" i="43"/>
  <c r="F522" i="44" s="1"/>
  <c r="U56" i="43"/>
  <c r="E523" i="44" s="1"/>
  <c r="U57" i="43"/>
  <c r="F523" i="44" s="1"/>
  <c r="P57" i="43"/>
  <c r="F518" i="44" s="1"/>
  <c r="P56" i="43"/>
  <c r="N54" i="43"/>
  <c r="V54" i="43"/>
  <c r="H524" i="44" s="1"/>
  <c r="R55" i="43"/>
  <c r="D520" i="44" s="1"/>
  <c r="N56" i="43"/>
  <c r="V56" i="43"/>
  <c r="E524" i="44" s="1"/>
  <c r="R57" i="43"/>
  <c r="F520" i="44" s="1"/>
  <c r="O54" i="43"/>
  <c r="H517" i="44" s="1"/>
  <c r="S55" i="43"/>
  <c r="O56" i="43"/>
  <c r="E517" i="44" s="1"/>
  <c r="S57" i="43"/>
  <c r="F521" i="44" s="1"/>
  <c r="R54" i="43"/>
  <c r="H520" i="44" s="1"/>
  <c r="N55" i="43"/>
  <c r="V55" i="43"/>
  <c r="D524" i="44" s="1"/>
  <c r="N57" i="43"/>
  <c r="S54" i="43"/>
  <c r="H521" i="44" s="1"/>
  <c r="O55" i="43"/>
  <c r="D517" i="44" s="1"/>
  <c r="Q54" i="43"/>
  <c r="H519" i="44" s="1"/>
  <c r="Q56" i="43"/>
  <c r="E519" i="44" s="1"/>
  <c r="T54" i="43"/>
  <c r="H522" i="44" s="1"/>
  <c r="P55" i="43"/>
  <c r="D518" i="44" s="1"/>
  <c r="U54" i="43"/>
  <c r="H523" i="44" s="1"/>
  <c r="Q55" i="43"/>
  <c r="D519" i="44" s="1"/>
  <c r="U72" i="40"/>
  <c r="F421" i="44" s="1"/>
  <c r="P72" i="40"/>
  <c r="F416" i="44" s="1"/>
  <c r="R71" i="40"/>
  <c r="E418" i="44" s="1"/>
  <c r="P70" i="40"/>
  <c r="D416" i="44" s="1"/>
  <c r="T71" i="40"/>
  <c r="E420" i="44" s="1"/>
  <c r="O72" i="40"/>
  <c r="F415" i="44" s="1"/>
  <c r="V72" i="40"/>
  <c r="F422" i="44" s="1"/>
  <c r="N72" i="40"/>
  <c r="F414" i="44" s="1"/>
  <c r="O69" i="40"/>
  <c r="H415" i="44" s="1"/>
  <c r="O71" i="40"/>
  <c r="E415" i="44" s="1"/>
  <c r="T72" i="40"/>
  <c r="F420" i="44" s="1"/>
  <c r="S71" i="40"/>
  <c r="S70" i="40"/>
  <c r="D419" i="44" s="1"/>
  <c r="S72" i="40"/>
  <c r="F419" i="44" s="1"/>
  <c r="Q71" i="40"/>
  <c r="E417" i="44" s="1"/>
  <c r="N7" i="40" a="1"/>
  <c r="N7" i="40" s="1"/>
  <c r="U69" i="40"/>
  <c r="H421" i="44" s="1"/>
  <c r="Q70" i="40"/>
  <c r="D417" i="44" s="1"/>
  <c r="U71" i="40"/>
  <c r="Q72" i="40"/>
  <c r="F417" i="44" s="1"/>
  <c r="N69" i="40"/>
  <c r="H414" i="44" s="1"/>
  <c r="V69" i="40"/>
  <c r="H422" i="44" s="1"/>
  <c r="R70" i="40"/>
  <c r="D418" i="44" s="1"/>
  <c r="N71" i="40"/>
  <c r="E414" i="44" s="1"/>
  <c r="V71" i="40"/>
  <c r="E422" i="44" s="1"/>
  <c r="R72" i="40"/>
  <c r="F418" i="44" s="1"/>
  <c r="P69" i="40"/>
  <c r="H416" i="44" s="1"/>
  <c r="T70" i="40"/>
  <c r="D420" i="44" s="1"/>
  <c r="P71" i="40"/>
  <c r="E416" i="44" s="1"/>
  <c r="Q69" i="40"/>
  <c r="H417" i="44" s="1"/>
  <c r="U70" i="40"/>
  <c r="D421" i="44" s="1"/>
  <c r="R69" i="40"/>
  <c r="H418" i="44" s="1"/>
  <c r="N70" i="40"/>
  <c r="D414" i="44" s="1"/>
  <c r="V70" i="40"/>
  <c r="D422" i="44" s="1"/>
  <c r="S69" i="40"/>
  <c r="H419" i="44" s="1"/>
  <c r="O70" i="40"/>
  <c r="D415" i="44" s="1"/>
  <c r="T69" i="40"/>
  <c r="H420" i="44" s="1"/>
  <c r="Q106" i="42"/>
  <c r="H315" i="44" s="1"/>
  <c r="T109" i="42"/>
  <c r="F318" i="44" s="1"/>
  <c r="U109" i="42"/>
  <c r="F319" i="44" s="1"/>
  <c r="S108" i="42"/>
  <c r="E317" i="44" s="1"/>
  <c r="R106" i="42"/>
  <c r="H316" i="44" s="1"/>
  <c r="O109" i="42"/>
  <c r="F313" i="44" s="1"/>
  <c r="U107" i="42"/>
  <c r="D319" i="44" s="1"/>
  <c r="P108" i="42"/>
  <c r="E314" i="44" s="1"/>
  <c r="Q109" i="42"/>
  <c r="F315" i="44" s="1"/>
  <c r="R108" i="42"/>
  <c r="Q108" i="42"/>
  <c r="S106" i="42"/>
  <c r="H317" i="44" s="1"/>
  <c r="P107" i="42"/>
  <c r="D314" i="44" s="1"/>
  <c r="Q107" i="42"/>
  <c r="D315" i="44" s="1"/>
  <c r="N109" i="42"/>
  <c r="V109" i="42"/>
  <c r="F320" i="44" s="1"/>
  <c r="T108" i="42"/>
  <c r="E318" i="44" s="1"/>
  <c r="P109" i="42"/>
  <c r="F314" i="44" s="1"/>
  <c r="N7" i="42" a="1"/>
  <c r="N7" i="42" s="1"/>
  <c r="U106" i="42"/>
  <c r="H319" i="44" s="1"/>
  <c r="N106" i="42"/>
  <c r="H312" i="44" s="1"/>
  <c r="V106" i="42"/>
  <c r="H320" i="44" s="1"/>
  <c r="R107" i="42"/>
  <c r="D316" i="44" s="1"/>
  <c r="N108" i="42"/>
  <c r="V108" i="42"/>
  <c r="E320" i="44" s="1"/>
  <c r="R109" i="42"/>
  <c r="F316" i="44" s="1"/>
  <c r="U108" i="42"/>
  <c r="O106" i="42"/>
  <c r="H313" i="44" s="1"/>
  <c r="S107" i="42"/>
  <c r="O108" i="42"/>
  <c r="E313" i="44" s="1"/>
  <c r="S109" i="42"/>
  <c r="F317" i="44" s="1"/>
  <c r="T106" i="42"/>
  <c r="H318" i="44" s="1"/>
  <c r="P106" i="42"/>
  <c r="H314" i="44" s="1"/>
  <c r="T107" i="42"/>
  <c r="D318" i="44" s="1"/>
  <c r="N107" i="42"/>
  <c r="V107" i="42"/>
  <c r="O107" i="42"/>
  <c r="S192" i="41"/>
  <c r="F218" i="44" s="1"/>
  <c r="R191" i="41"/>
  <c r="E217" i="44" s="1"/>
  <c r="T189" i="41"/>
  <c r="H219" i="44" s="1"/>
  <c r="Q192" i="41"/>
  <c r="F216" i="44" s="1"/>
  <c r="S189" i="41"/>
  <c r="H218" i="44" s="1"/>
  <c r="U192" i="41"/>
  <c r="F220" i="44" s="1"/>
  <c r="P191" i="41"/>
  <c r="E215" i="44" s="1"/>
  <c r="Q189" i="41"/>
  <c r="H216" i="44" s="1"/>
  <c r="R192" i="41"/>
  <c r="F217" i="44" s="1"/>
  <c r="R189" i="41"/>
  <c r="H217" i="44" s="1"/>
  <c r="Q191" i="41"/>
  <c r="E216" i="44" s="1"/>
  <c r="T192" i="41"/>
  <c r="F219" i="44" s="1"/>
  <c r="S191" i="41"/>
  <c r="E218" i="44" s="1"/>
  <c r="N192" i="41"/>
  <c r="F213" i="44" s="1"/>
  <c r="V192" i="41"/>
  <c r="F221" i="44" s="1"/>
  <c r="O191" i="41"/>
  <c r="E214" i="44" s="1"/>
  <c r="O190" i="41"/>
  <c r="O192" i="41"/>
  <c r="F214" i="44" s="1"/>
  <c r="N7" i="41" a="1"/>
  <c r="N7" i="41" s="1"/>
  <c r="U189" i="41"/>
  <c r="H220" i="44" s="1"/>
  <c r="Q190" i="41"/>
  <c r="U191" i="41"/>
  <c r="E220" i="44" s="1"/>
  <c r="P192" i="41"/>
  <c r="F215" i="44" s="1"/>
  <c r="N189" i="41"/>
  <c r="H213" i="44" s="1"/>
  <c r="V189" i="41"/>
  <c r="H221" i="44" s="1"/>
  <c r="R190" i="41"/>
  <c r="D217" i="44" s="1"/>
  <c r="N191" i="41"/>
  <c r="V191" i="41"/>
  <c r="E221" i="44" s="1"/>
  <c r="P190" i="41"/>
  <c r="T191" i="41"/>
  <c r="E219" i="44" s="1"/>
  <c r="O189" i="41"/>
  <c r="H214" i="44" s="1"/>
  <c r="S190" i="41"/>
  <c r="D218" i="44" s="1"/>
  <c r="P189" i="41"/>
  <c r="H215" i="44" s="1"/>
  <c r="T190" i="41"/>
  <c r="U190" i="41"/>
  <c r="N190" i="41"/>
  <c r="D213" i="44" s="1"/>
  <c r="V190" i="41"/>
  <c r="D221" i="44" s="1"/>
  <c r="W62" i="43"/>
  <c r="W77" i="40"/>
  <c r="W114" i="42"/>
  <c r="W197" i="41"/>
  <c r="Z6" i="43"/>
  <c r="AA110" i="43" a="1"/>
  <c r="AA110" i="43" s="1"/>
  <c r="AA122" i="40" a="1"/>
  <c r="AA122" i="40" s="1"/>
  <c r="Z6" i="42"/>
  <c r="AA196" i="42" a="1"/>
  <c r="AA196" i="42" s="1"/>
  <c r="Z6" i="41"/>
  <c r="AA360" i="41" a="1"/>
  <c r="AA360" i="41" s="1"/>
  <c r="D190" i="44"/>
  <c r="D399" i="44"/>
  <c r="C219" i="44"/>
  <c r="C356" i="44"/>
  <c r="B278" i="44"/>
  <c r="E584" i="44"/>
  <c r="B372" i="44"/>
  <c r="C320" i="44"/>
  <c r="D501" i="44"/>
  <c r="C559" i="44"/>
  <c r="B575" i="44"/>
  <c r="G584" i="44"/>
  <c r="C517" i="44"/>
  <c r="C220" i="44"/>
  <c r="D500" i="44"/>
  <c r="H614" i="44"/>
  <c r="H612" i="44"/>
  <c r="C216" i="44"/>
  <c r="D296" i="44"/>
  <c r="E393" i="44"/>
  <c r="C414" i="44"/>
  <c r="C418" i="44"/>
  <c r="D494" i="44"/>
  <c r="C523" i="44"/>
  <c r="C519" i="44"/>
  <c r="C420" i="44"/>
  <c r="C416" i="44"/>
  <c r="C317" i="44"/>
  <c r="C313" i="44"/>
  <c r="C221" i="44"/>
  <c r="C217" i="44"/>
  <c r="C213" i="44"/>
  <c r="C218" i="44"/>
  <c r="C524" i="44"/>
  <c r="C520" i="44"/>
  <c r="C516" i="44"/>
  <c r="C421" i="44"/>
  <c r="C417" i="44"/>
  <c r="C318" i="44"/>
  <c r="C314" i="44"/>
  <c r="C214" i="44"/>
  <c r="C522" i="44"/>
  <c r="C518" i="44"/>
  <c r="D297" i="44"/>
  <c r="C319" i="44"/>
  <c r="F584" i="44"/>
  <c r="C458" i="44"/>
  <c r="B474" i="44"/>
  <c r="D398" i="44"/>
  <c r="D584" i="44"/>
  <c r="D196" i="44"/>
  <c r="S58" i="43" l="1"/>
  <c r="P58" i="43"/>
  <c r="E518" i="44"/>
  <c r="G518" i="44" s="1"/>
  <c r="D521" i="44"/>
  <c r="G521" i="44" s="1"/>
  <c r="R58" i="43"/>
  <c r="G520" i="44"/>
  <c r="G517" i="44"/>
  <c r="O58" i="43"/>
  <c r="S73" i="40"/>
  <c r="G519" i="44"/>
  <c r="Q58" i="43"/>
  <c r="E419" i="44"/>
  <c r="G419" i="44" s="1"/>
  <c r="G418" i="44"/>
  <c r="R73" i="40"/>
  <c r="V73" i="40"/>
  <c r="U73" i="40"/>
  <c r="E421" i="44"/>
  <c r="G421" i="44" s="1"/>
  <c r="G420" i="44"/>
  <c r="G422" i="44"/>
  <c r="G417" i="44"/>
  <c r="N73" i="40"/>
  <c r="G414" i="44"/>
  <c r="G416" i="44"/>
  <c r="Q73" i="40"/>
  <c r="G415" i="44"/>
  <c r="W70" i="40"/>
  <c r="N79" i="40" s="1"/>
  <c r="E463" i="44" s="1"/>
  <c r="F469" i="44" s="1"/>
  <c r="P73" i="40"/>
  <c r="N74" i="40"/>
  <c r="E464" i="44" s="1"/>
  <c r="F592" i="44" s="1"/>
  <c r="W69" i="40"/>
  <c r="O73" i="40"/>
  <c r="T73" i="40"/>
  <c r="W71" i="40"/>
  <c r="E470" i="44" s="1"/>
  <c r="N75" i="40"/>
  <c r="W75" i="40" s="1"/>
  <c r="D403" i="44" s="1"/>
  <c r="T110" i="42"/>
  <c r="U110" i="42"/>
  <c r="W107" i="42"/>
  <c r="N116" i="42" s="1"/>
  <c r="E361" i="44" s="1"/>
  <c r="F367" i="44" s="1"/>
  <c r="G318" i="44"/>
  <c r="G314" i="44"/>
  <c r="N110" i="42"/>
  <c r="D312" i="44"/>
  <c r="E319" i="44"/>
  <c r="G319" i="44" s="1"/>
  <c r="G221" i="44"/>
  <c r="U193" i="41"/>
  <c r="V193" i="41"/>
  <c r="G217" i="44"/>
  <c r="R193" i="41"/>
  <c r="W190" i="41"/>
  <c r="D199" i="44" s="1"/>
  <c r="E199" i="44" s="1"/>
  <c r="S193" i="41"/>
  <c r="N195" i="41"/>
  <c r="W195" i="41" s="1"/>
  <c r="D201" i="44" s="1"/>
  <c r="D220" i="44"/>
  <c r="G220" i="44" s="1"/>
  <c r="G218" i="44"/>
  <c r="N111" i="42"/>
  <c r="F516" i="44"/>
  <c r="N60" i="43"/>
  <c r="W60" i="43" s="1"/>
  <c r="D505" i="44" s="1"/>
  <c r="P193" i="41"/>
  <c r="D215" i="44"/>
  <c r="G215" i="44" s="1"/>
  <c r="R110" i="42"/>
  <c r="E316" i="44"/>
  <c r="G316" i="44" s="1"/>
  <c r="F312" i="44"/>
  <c r="N112" i="42"/>
  <c r="W112" i="42" s="1"/>
  <c r="D301" i="44" s="1"/>
  <c r="P110" i="42"/>
  <c r="V110" i="42"/>
  <c r="D320" i="44"/>
  <c r="G320" i="44" s="1"/>
  <c r="E315" i="44"/>
  <c r="G315" i="44" s="1"/>
  <c r="Q110" i="42"/>
  <c r="D313" i="44"/>
  <c r="G313" i="44" s="1"/>
  <c r="O110" i="42"/>
  <c r="G524" i="44"/>
  <c r="T193" i="41"/>
  <c r="D219" i="44"/>
  <c r="G219" i="44" s="1"/>
  <c r="D214" i="44"/>
  <c r="G214" i="44" s="1"/>
  <c r="O193" i="41"/>
  <c r="W189" i="41"/>
  <c r="E254" i="44" s="1"/>
  <c r="E255" i="44" s="1"/>
  <c r="E516" i="44"/>
  <c r="W56" i="43"/>
  <c r="N65" i="43" s="1"/>
  <c r="D317" i="44"/>
  <c r="G317" i="44" s="1"/>
  <c r="S110" i="42"/>
  <c r="V58" i="43"/>
  <c r="W106" i="42"/>
  <c r="E356" i="44" s="1"/>
  <c r="E357" i="44" s="1"/>
  <c r="W54" i="43"/>
  <c r="E559" i="44" s="1"/>
  <c r="E560" i="44" s="1"/>
  <c r="H516" i="44"/>
  <c r="E312" i="44"/>
  <c r="W108" i="42"/>
  <c r="N117" i="42" s="1"/>
  <c r="D523" i="44"/>
  <c r="G523" i="44" s="1"/>
  <c r="U58" i="43"/>
  <c r="T58" i="43"/>
  <c r="D522" i="44"/>
  <c r="G522" i="44" s="1"/>
  <c r="W191" i="41"/>
  <c r="N200" i="41" s="1"/>
  <c r="E213" i="44"/>
  <c r="G213" i="44" s="1"/>
  <c r="N194" i="41"/>
  <c r="Q193" i="41"/>
  <c r="D216" i="44"/>
  <c r="G216" i="44" s="1"/>
  <c r="N193" i="41"/>
  <c r="N58" i="43"/>
  <c r="D516" i="44"/>
  <c r="N59" i="43"/>
  <c r="W55" i="43"/>
  <c r="N64" i="43" s="1"/>
  <c r="D400" i="44" l="1"/>
  <c r="E400" i="44" s="1"/>
  <c r="E458" i="44"/>
  <c r="E459" i="44" s="1"/>
  <c r="W74" i="40"/>
  <c r="F471" i="44"/>
  <c r="D401" i="44"/>
  <c r="E401" i="44" s="1"/>
  <c r="D402" i="44"/>
  <c r="E402" i="44" s="1"/>
  <c r="N80" i="40"/>
  <c r="E462" i="44" s="1"/>
  <c r="D299" i="44"/>
  <c r="E299" i="44" s="1"/>
  <c r="F369" i="44"/>
  <c r="G312" i="44"/>
  <c r="N199" i="41"/>
  <c r="E259" i="44" s="1"/>
  <c r="F265" i="44" s="1"/>
  <c r="F267" i="44"/>
  <c r="E591" i="44"/>
  <c r="D298" i="44"/>
  <c r="E298" i="44" s="1"/>
  <c r="D300" i="44"/>
  <c r="E300" i="44" s="1"/>
  <c r="E360" i="44"/>
  <c r="E367" i="44" s="1"/>
  <c r="E368" i="44"/>
  <c r="E260" i="44"/>
  <c r="D592" i="44" s="1"/>
  <c r="W194" i="41"/>
  <c r="E362" i="44"/>
  <c r="E592" i="44" s="1"/>
  <c r="W111" i="42"/>
  <c r="E564" i="44"/>
  <c r="F570" i="44" s="1"/>
  <c r="D503" i="44"/>
  <c r="E503" i="44" s="1"/>
  <c r="F572" i="44"/>
  <c r="E563" i="44"/>
  <c r="E570" i="44" s="1"/>
  <c r="D504" i="44"/>
  <c r="E504" i="44" s="1"/>
  <c r="E571" i="44"/>
  <c r="W59" i="43"/>
  <c r="E565" i="44"/>
  <c r="G592" i="44" s="1"/>
  <c r="E258" i="44"/>
  <c r="E265" i="44" s="1"/>
  <c r="E266" i="44"/>
  <c r="D200" i="44"/>
  <c r="E200" i="44" s="1"/>
  <c r="D502" i="44"/>
  <c r="E502" i="44" s="1"/>
  <c r="G516" i="44"/>
  <c r="D198" i="44"/>
  <c r="E198" i="44" s="1"/>
  <c r="F591" i="44"/>
  <c r="F586" i="44" l="1"/>
  <c r="F590" i="44"/>
  <c r="E469" i="44"/>
  <c r="E472" i="44" s="1"/>
  <c r="D598" i="44" s="1"/>
  <c r="F588" i="44"/>
  <c r="F472" i="44"/>
  <c r="F598" i="44" s="1"/>
  <c r="E466" i="44"/>
  <c r="F593" i="44" s="1"/>
  <c r="F370" i="44"/>
  <c r="F597" i="44" s="1"/>
  <c r="F268" i="44"/>
  <c r="F596" i="44" s="1"/>
  <c r="D591" i="44"/>
  <c r="D586" i="44"/>
  <c r="E364" i="44"/>
  <c r="E593" i="44" s="1"/>
  <c r="E590" i="44"/>
  <c r="E370" i="44"/>
  <c r="D597" i="44" s="1"/>
  <c r="E586" i="44"/>
  <c r="F573" i="44"/>
  <c r="F599" i="44" s="1"/>
  <c r="G591" i="44"/>
  <c r="G586" i="44"/>
  <c r="E268" i="44"/>
  <c r="E262" i="44"/>
  <c r="D593" i="44" s="1"/>
  <c r="D590" i="44"/>
  <c r="G590" i="44"/>
  <c r="E567" i="44"/>
  <c r="G593" i="44" s="1"/>
  <c r="E573" i="44"/>
  <c r="D599" i="44" s="1"/>
  <c r="E474" i="44" l="1"/>
  <c r="F600" i="44"/>
  <c r="E575" i="44"/>
  <c r="G588" i="44"/>
  <c r="D600" i="44"/>
  <c r="D596" i="44"/>
  <c r="D588" i="44"/>
  <c r="E270" i="44"/>
  <c r="E372" i="44"/>
  <c r="E588" i="44"/>
  <c r="E602" i="44" l="1"/>
  <c r="B612" i="44" s="1"/>
  <c r="K18" i="11" l="1"/>
  <c r="J18" i="11"/>
  <c r="I18" i="11"/>
  <c r="H18" i="11"/>
  <c r="G18" i="11"/>
  <c r="F18" i="11"/>
  <c r="E18" i="11"/>
  <c r="D18" i="11"/>
  <c r="C18" i="11"/>
  <c r="K17" i="11"/>
  <c r="J17" i="11"/>
  <c r="I17" i="11"/>
  <c r="H17" i="11"/>
  <c r="G17" i="11"/>
  <c r="F17" i="11"/>
  <c r="E17" i="11"/>
  <c r="D17" i="11"/>
  <c r="C17" i="11"/>
  <c r="K16" i="11"/>
  <c r="J16" i="11"/>
  <c r="I16" i="11"/>
  <c r="H16" i="11"/>
  <c r="G16" i="11"/>
  <c r="F16" i="11"/>
  <c r="E16" i="11"/>
  <c r="D16" i="11"/>
  <c r="C16" i="11"/>
  <c r="K18" i="10"/>
  <c r="J18" i="10"/>
  <c r="I18" i="10"/>
  <c r="H18" i="10"/>
  <c r="G18" i="10"/>
  <c r="F18" i="10"/>
  <c r="E18" i="10"/>
  <c r="D18" i="10"/>
  <c r="C18" i="10"/>
  <c r="K17" i="10"/>
  <c r="J17" i="10"/>
  <c r="I17" i="10"/>
  <c r="H17" i="10"/>
  <c r="G17" i="10"/>
  <c r="F17" i="10"/>
  <c r="E17" i="10"/>
  <c r="D17" i="10"/>
  <c r="C17" i="10"/>
  <c r="K16" i="10"/>
  <c r="J16" i="10"/>
  <c r="I16" i="10"/>
  <c r="H16" i="10"/>
  <c r="G16" i="10"/>
  <c r="F16" i="10"/>
  <c r="E16" i="10"/>
  <c r="D16" i="10"/>
  <c r="C16" i="10"/>
  <c r="D22" i="9"/>
  <c r="E22" i="9"/>
  <c r="F22" i="9"/>
  <c r="G22" i="9"/>
  <c r="H22" i="9"/>
  <c r="I22" i="9"/>
  <c r="J22" i="9"/>
  <c r="K22" i="9"/>
  <c r="D16" i="9"/>
  <c r="E16" i="9"/>
  <c r="F16" i="9"/>
  <c r="G16" i="9"/>
  <c r="H16" i="9"/>
  <c r="I16" i="9"/>
  <c r="J16" i="9"/>
  <c r="K16" i="9"/>
  <c r="D17" i="9"/>
  <c r="E17" i="9"/>
  <c r="F17" i="9"/>
  <c r="G17" i="9"/>
  <c r="H17" i="9"/>
  <c r="I17" i="9"/>
  <c r="J17" i="9"/>
  <c r="K17" i="9"/>
  <c r="D18" i="9"/>
  <c r="E18" i="9"/>
  <c r="F18" i="9"/>
  <c r="G18" i="9"/>
  <c r="H18" i="9"/>
  <c r="I18" i="9"/>
  <c r="J18" i="9"/>
  <c r="K18" i="9"/>
  <c r="C22" i="9"/>
  <c r="C18" i="9"/>
  <c r="C17" i="9"/>
  <c r="C16" i="9"/>
  <c r="C447" i="28"/>
  <c r="B425" i="28"/>
  <c r="C395" i="28"/>
  <c r="C342" i="28"/>
  <c r="B316" i="28"/>
  <c r="B284" i="28"/>
  <c r="B11" i="9" a="1"/>
  <c r="B11" i="9" s="1"/>
  <c r="C301" i="28"/>
  <c r="C300" i="28"/>
  <c r="H293" i="28" a="1"/>
  <c r="H293" i="28" s="1"/>
  <c r="B291" i="28"/>
  <c r="C246" i="28"/>
  <c r="B218" i="28"/>
  <c r="C188" i="28"/>
  <c r="H194" i="28" a="1"/>
  <c r="H194" i="28" s="1"/>
  <c r="B192" i="28" a="1"/>
  <c r="B192" i="28" s="1"/>
  <c r="A192" i="28" a="1"/>
  <c r="A192" i="28" s="1"/>
  <c r="C202" i="28"/>
  <c r="C201" i="28"/>
  <c r="L17" i="11"/>
  <c r="L16" i="11"/>
  <c r="A1" i="11"/>
  <c r="O16" i="11"/>
  <c r="G498" i="28" s="1"/>
  <c r="L17" i="10"/>
  <c r="L16" i="10"/>
  <c r="O16" i="10"/>
  <c r="F498" i="28" s="1"/>
  <c r="O16" i="9"/>
  <c r="L17" i="9" s="1"/>
  <c r="A1" i="9"/>
  <c r="A1" i="10"/>
  <c r="E56" i="38"/>
  <c r="D96" i="38" a="1"/>
  <c r="D96" i="38" s="1"/>
  <c r="C254" i="38"/>
  <c r="E303" i="38"/>
  <c r="B226" i="38"/>
  <c r="C234" i="38" a="1"/>
  <c r="C234" i="38" s="1"/>
  <c r="G122" i="38"/>
  <c r="H202" i="38" a="1"/>
  <c r="H202" i="38" s="1"/>
  <c r="G202" i="38" a="1"/>
  <c r="G202" i="38" s="1"/>
  <c r="C196" i="38"/>
  <c r="A167" i="38" a="1"/>
  <c r="A167" i="38" s="1"/>
  <c r="F28" i="39"/>
  <c r="C28" i="39"/>
  <c r="B28" i="39"/>
  <c r="B23" i="39"/>
  <c r="A23" i="39"/>
  <c r="H19" i="39"/>
  <c r="G28" i="39" s="1"/>
  <c r="H14" i="39"/>
  <c r="H13" i="39"/>
  <c r="C19" i="39"/>
  <c r="C13" i="39"/>
  <c r="C14" i="39"/>
  <c r="B14" i="39"/>
  <c r="A1" i="37"/>
  <c r="E306" i="38"/>
  <c r="E304" i="38"/>
  <c r="A200" i="38" a="1"/>
  <c r="A200" i="38" s="1"/>
  <c r="G121" i="38"/>
  <c r="G120" i="38"/>
  <c r="G119" i="38"/>
  <c r="D19" i="38"/>
  <c r="G18" i="38"/>
  <c r="D18" i="38"/>
  <c r="G16" i="38"/>
  <c r="D16" i="38"/>
  <c r="G15" i="38"/>
  <c r="D15" i="38"/>
  <c r="G13" i="38"/>
  <c r="D13" i="38"/>
  <c r="G12" i="38"/>
  <c r="D12" i="38"/>
  <c r="E10" i="38"/>
  <c r="P17" i="37"/>
  <c r="P16" i="37"/>
  <c r="P15" i="37"/>
  <c r="M17" i="37" s="1"/>
  <c r="B11" i="37" a="1"/>
  <c r="B11" i="37" s="1"/>
  <c r="A28" i="39" s="1"/>
  <c r="B10" i="37" a="1"/>
  <c r="B10" i="37" s="1"/>
  <c r="G497" i="28" l="1"/>
  <c r="F497" i="28"/>
  <c r="D19" i="9"/>
  <c r="F19" i="11"/>
  <c r="C19" i="11"/>
  <c r="J19" i="11"/>
  <c r="K19" i="11"/>
  <c r="H19" i="11"/>
  <c r="D19" i="11"/>
  <c r="E497" i="28"/>
  <c r="G19" i="10"/>
  <c r="L16" i="9"/>
  <c r="E498" i="28"/>
  <c r="F19" i="10"/>
  <c r="E19" i="9"/>
  <c r="F19" i="9"/>
  <c r="D19" i="10"/>
  <c r="K19" i="9"/>
  <c r="H19" i="10"/>
  <c r="J19" i="10"/>
  <c r="J19" i="9"/>
  <c r="E19" i="11"/>
  <c r="I19" i="9"/>
  <c r="I19" i="11"/>
  <c r="C19" i="10"/>
  <c r="K19" i="10"/>
  <c r="G19" i="11"/>
  <c r="G19" i="9"/>
  <c r="I19" i="10"/>
  <c r="H19" i="9"/>
  <c r="E19" i="10"/>
  <c r="C205" i="28"/>
  <c r="M16" i="37"/>
  <c r="M15" i="37"/>
  <c r="C210" i="38" l="1"/>
  <c r="A51" i="35"/>
  <c r="A50" i="35"/>
  <c r="A49" i="35"/>
  <c r="A48" i="35"/>
  <c r="A47" i="35"/>
  <c r="A46" i="35"/>
  <c r="A45" i="35"/>
  <c r="A44" i="35"/>
  <c r="A43" i="35"/>
  <c r="A42" i="35"/>
  <c r="A167" i="32" a="1"/>
  <c r="A167" i="32" s="1"/>
  <c r="C106" i="32"/>
  <c r="C105" i="32"/>
  <c r="C104" i="32"/>
  <c r="C103" i="32"/>
  <c r="C102" i="32"/>
  <c r="C101" i="32"/>
  <c r="C100" i="32"/>
  <c r="C99" i="32"/>
  <c r="C98" i="32"/>
  <c r="C254" i="32"/>
  <c r="E303" i="32"/>
  <c r="C196" i="32"/>
  <c r="A1" i="31"/>
  <c r="G506" i="24"/>
  <c r="F506" i="24"/>
  <c r="E506" i="24"/>
  <c r="G505" i="24"/>
  <c r="F505" i="24"/>
  <c r="E505" i="24"/>
  <c r="C455" i="24"/>
  <c r="B433" i="24"/>
  <c r="B402" i="24"/>
  <c r="C350" i="24"/>
  <c r="B324" i="24"/>
  <c r="B291" i="24"/>
  <c r="C254" i="24"/>
  <c r="B226" i="24"/>
  <c r="C196" i="24"/>
  <c r="B200" i="24"/>
  <c r="F22" i="4"/>
  <c r="E22" i="4"/>
  <c r="D22" i="4"/>
  <c r="S59" i="8"/>
  <c r="P60" i="8" s="1"/>
  <c r="S64" i="7"/>
  <c r="P64" i="7" s="1"/>
  <c r="S48" i="6"/>
  <c r="P49" i="6" s="1"/>
  <c r="O15" i="31"/>
  <c r="L15" i="31" s="1"/>
  <c r="R15" i="5"/>
  <c r="I22" i="3"/>
  <c r="H22" i="3"/>
  <c r="G22" i="3"/>
  <c r="F22" i="3"/>
  <c r="E22" i="3"/>
  <c r="D22" i="3"/>
  <c r="I22" i="4"/>
  <c r="H22" i="4"/>
  <c r="G22" i="4"/>
  <c r="B11" i="31" a="1"/>
  <c r="B11" i="31" s="1"/>
  <c r="C11" i="31" a="1"/>
  <c r="C11" i="31" s="1"/>
  <c r="E306" i="32"/>
  <c r="E304" i="32"/>
  <c r="C234" i="32" a="1"/>
  <c r="A200" i="32" a="1"/>
  <c r="A200" i="32" s="1"/>
  <c r="G122" i="32"/>
  <c r="G121" i="32"/>
  <c r="G120" i="32"/>
  <c r="G119" i="32"/>
  <c r="D19" i="32"/>
  <c r="G18" i="32"/>
  <c r="D18" i="32"/>
  <c r="G16" i="32"/>
  <c r="D16" i="32"/>
  <c r="G15" i="32"/>
  <c r="D15" i="32"/>
  <c r="G13" i="32"/>
  <c r="D13" i="32"/>
  <c r="G12" i="32"/>
  <c r="D12" i="32"/>
  <c r="E10" i="32"/>
  <c r="O17" i="31"/>
  <c r="O16" i="31"/>
  <c r="C14" i="31" a="1"/>
  <c r="C14" i="31" s="1"/>
  <c r="C6" i="31" s="1"/>
  <c r="B10" i="31" a="1"/>
  <c r="B10" i="31" s="1"/>
  <c r="A50" i="29"/>
  <c r="A49" i="29"/>
  <c r="A48" i="29"/>
  <c r="A47" i="29"/>
  <c r="A46" i="29"/>
  <c r="A45" i="29"/>
  <c r="A44" i="29"/>
  <c r="A43" i="29"/>
  <c r="A42" i="29"/>
  <c r="H202" i="32" a="1"/>
  <c r="H202" i="32" s="1"/>
  <c r="G202" i="32" a="1"/>
  <c r="G202" i="32" s="1"/>
  <c r="B432" i="28" a="1"/>
  <c r="B432" i="28" s="1"/>
  <c r="C411" i="28"/>
  <c r="C410" i="28"/>
  <c r="B323" i="28" a="1"/>
  <c r="B323" i="28" s="1"/>
  <c r="B225" i="28" a="1"/>
  <c r="B225" i="28" s="1"/>
  <c r="A164" i="28" a="1"/>
  <c r="A164" i="28" s="1"/>
  <c r="G118" i="28"/>
  <c r="E96" i="28" a="1"/>
  <c r="E96" i="28" s="1"/>
  <c r="C79" i="28"/>
  <c r="C73" i="28"/>
  <c r="G500" i="28"/>
  <c r="F500" i="28"/>
  <c r="E500" i="28"/>
  <c r="B402" i="28"/>
  <c r="B292" i="28"/>
  <c r="G117" i="28"/>
  <c r="G116" i="28"/>
  <c r="G115" i="28"/>
  <c r="D19" i="28"/>
  <c r="G18" i="28"/>
  <c r="D18" i="28"/>
  <c r="G16" i="28"/>
  <c r="D16" i="28"/>
  <c r="G15" i="28"/>
  <c r="D15" i="28"/>
  <c r="G13" i="28"/>
  <c r="D13" i="28"/>
  <c r="G12" i="28"/>
  <c r="D12" i="28"/>
  <c r="E10" i="28"/>
  <c r="C96" i="38" l="1" a="1"/>
  <c r="C96" i="38" s="1"/>
  <c r="P65" i="7"/>
  <c r="L16" i="31"/>
  <c r="L17" i="31"/>
  <c r="C14" i="37" a="1"/>
  <c r="I202" i="38"/>
  <c r="C209" i="38"/>
  <c r="I202" i="32"/>
  <c r="P59" i="8"/>
  <c r="P48" i="6"/>
  <c r="H238" i="32" a="1"/>
  <c r="H238" i="32" s="1"/>
  <c r="F5" i="31"/>
  <c r="I245" i="32" a="1"/>
  <c r="I245" i="32" s="1"/>
  <c r="H239" i="32" a="1"/>
  <c r="H239" i="32" s="1"/>
  <c r="E6" i="31"/>
  <c r="H240" i="32" a="1"/>
  <c r="H240" i="32" s="1"/>
  <c r="H234" i="32" a="1"/>
  <c r="H234" i="32" s="1"/>
  <c r="H242" i="32" a="1"/>
  <c r="H242" i="32" s="1"/>
  <c r="H235" i="32" a="1"/>
  <c r="H235" i="32" s="1"/>
  <c r="H243" i="32" a="1"/>
  <c r="H243" i="32" s="1"/>
  <c r="H236" i="32" a="1"/>
  <c r="H236" i="32" s="1"/>
  <c r="H244" i="32" a="1"/>
  <c r="H244" i="32" s="1"/>
  <c r="H241" i="32" a="1"/>
  <c r="H241" i="32" s="1"/>
  <c r="H237" i="32" a="1"/>
  <c r="H237" i="32" s="1"/>
  <c r="H245" i="32" a="1"/>
  <c r="H245" i="32" s="1"/>
  <c r="C210" i="32"/>
  <c r="C209" i="32"/>
  <c r="I5" i="31"/>
  <c r="F234" i="32" a="1"/>
  <c r="F234" i="32" s="1"/>
  <c r="F235" i="32" a="1"/>
  <c r="F235" i="32" s="1"/>
  <c r="F236" i="32" a="1"/>
  <c r="F236" i="32" s="1"/>
  <c r="F237" i="32" a="1"/>
  <c r="F237" i="32" s="1"/>
  <c r="F238" i="32" a="1"/>
  <c r="F238" i="32" s="1"/>
  <c r="F239" i="32" a="1"/>
  <c r="F239" i="32" s="1"/>
  <c r="F240" i="32" a="1"/>
  <c r="F240" i="32" s="1"/>
  <c r="F241" i="32" a="1"/>
  <c r="F241" i="32" s="1"/>
  <c r="F242" i="32" a="1"/>
  <c r="F242" i="32" s="1"/>
  <c r="F243" i="32" a="1"/>
  <c r="F243" i="32" s="1"/>
  <c r="F244" i="32" a="1"/>
  <c r="F244" i="32" s="1"/>
  <c r="F245" i="32" a="1"/>
  <c r="F245" i="32" s="1"/>
  <c r="J5" i="31"/>
  <c r="I6" i="31"/>
  <c r="C234" i="32"/>
  <c r="C5" i="31"/>
  <c r="K5" i="31"/>
  <c r="J6" i="31"/>
  <c r="H6" i="31"/>
  <c r="G234" i="32" a="1"/>
  <c r="G234" i="32" s="1"/>
  <c r="G235" i="32" a="1"/>
  <c r="G235" i="32" s="1"/>
  <c r="G236" i="32" a="1"/>
  <c r="G236" i="32" s="1"/>
  <c r="G237" i="32" a="1"/>
  <c r="G237" i="32" s="1"/>
  <c r="G238" i="32" a="1"/>
  <c r="G238" i="32" s="1"/>
  <c r="G239" i="32" a="1"/>
  <c r="G239" i="32" s="1"/>
  <c r="G240" i="32" a="1"/>
  <c r="G240" i="32" s="1"/>
  <c r="G241" i="32" a="1"/>
  <c r="G241" i="32" s="1"/>
  <c r="G242" i="32" a="1"/>
  <c r="G242" i="32" s="1"/>
  <c r="G243" i="32" a="1"/>
  <c r="G243" i="32" s="1"/>
  <c r="G244" i="32" a="1"/>
  <c r="G244" i="32" s="1"/>
  <c r="G245" i="32" a="1"/>
  <c r="G245" i="32" s="1"/>
  <c r="D5" i="31"/>
  <c r="K6" i="31"/>
  <c r="E5" i="31"/>
  <c r="D6" i="31"/>
  <c r="G5" i="31"/>
  <c r="F6" i="31"/>
  <c r="I234" i="32" a="1"/>
  <c r="I234" i="32" s="1"/>
  <c r="I235" i="32" a="1"/>
  <c r="I235" i="32" s="1"/>
  <c r="I236" i="32" a="1"/>
  <c r="I236" i="32" s="1"/>
  <c r="I237" i="32" a="1"/>
  <c r="I237" i="32" s="1"/>
  <c r="I238" i="32" a="1"/>
  <c r="I238" i="32" s="1"/>
  <c r="I239" i="32" a="1"/>
  <c r="I239" i="32" s="1"/>
  <c r="I240" i="32" a="1"/>
  <c r="I240" i="32" s="1"/>
  <c r="I241" i="32" a="1"/>
  <c r="I241" i="32" s="1"/>
  <c r="I242" i="32" a="1"/>
  <c r="I242" i="32" s="1"/>
  <c r="I243" i="32" a="1"/>
  <c r="I243" i="32" s="1"/>
  <c r="I244" i="32" a="1"/>
  <c r="I244" i="32" s="1"/>
  <c r="H5" i="31"/>
  <c r="G6" i="31"/>
  <c r="C14" i="11" a="1"/>
  <c r="C14" i="11" s="1"/>
  <c r="E414" i="28" s="1" a="1"/>
  <c r="E414" i="28" s="1"/>
  <c r="B11" i="11" a="1"/>
  <c r="B10" i="11" a="1"/>
  <c r="B10" i="11" s="1"/>
  <c r="O18" i="11"/>
  <c r="O17" i="11"/>
  <c r="C14" i="10" a="1"/>
  <c r="C14" i="10" s="1"/>
  <c r="B11" i="10" a="1"/>
  <c r="B10" i="10" a="1"/>
  <c r="O18" i="10"/>
  <c r="O17" i="10"/>
  <c r="C14" i="9" a="1"/>
  <c r="C14" i="9" s="1"/>
  <c r="O18" i="9"/>
  <c r="O17" i="9"/>
  <c r="B10" i="9" a="1"/>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58" i="8" a="1"/>
  <c r="C58" i="8" s="1"/>
  <c r="B11" i="8" a="1"/>
  <c r="B11" i="8" s="1"/>
  <c r="C10" i="8" a="1"/>
  <c r="C10" i="8" s="1"/>
  <c r="B10" i="8"/>
  <c r="C63" i="7" a="1"/>
  <c r="C63" i="7" s="1"/>
  <c r="C10" i="7" a="1"/>
  <c r="C10" i="7" s="1"/>
  <c r="B10" i="7"/>
  <c r="C10" i="6" a="1"/>
  <c r="C10" i="6" s="1"/>
  <c r="B10" i="6"/>
  <c r="C47" i="6" a="1"/>
  <c r="C47" i="6" s="1"/>
  <c r="S61" i="8"/>
  <c r="S60" i="8"/>
  <c r="S66" i="7"/>
  <c r="S65" i="7"/>
  <c r="S50" i="6"/>
  <c r="S49" i="6"/>
  <c r="C419" i="24"/>
  <c r="C418" i="24"/>
  <c r="C309" i="24"/>
  <c r="C308" i="24"/>
  <c r="C210" i="24"/>
  <c r="C209" i="24"/>
  <c r="B10" i="10" l="1"/>
  <c r="E304" i="28"/>
  <c r="B10" i="9"/>
  <c r="E205" i="28"/>
  <c r="E6" i="37"/>
  <c r="G5" i="37"/>
  <c r="L6" i="37"/>
  <c r="F5" i="37"/>
  <c r="K6" i="37"/>
  <c r="E5" i="37"/>
  <c r="J6" i="37"/>
  <c r="L5" i="37"/>
  <c r="D5" i="37"/>
  <c r="I6" i="37"/>
  <c r="K5" i="37"/>
  <c r="H6" i="37"/>
  <c r="J5" i="37"/>
  <c r="G6" i="37"/>
  <c r="I5" i="37"/>
  <c r="F6" i="37"/>
  <c r="H5" i="37"/>
  <c r="D6" i="37"/>
  <c r="C14" i="37"/>
  <c r="I15" i="31" a="1"/>
  <c r="I15" i="31" s="1"/>
  <c r="F22" i="31"/>
  <c r="J15" i="31" a="1"/>
  <c r="J15" i="31" s="1"/>
  <c r="E18" i="31"/>
  <c r="G15" i="31" a="1"/>
  <c r="G15" i="31" s="1"/>
  <c r="E15" i="31" a="1"/>
  <c r="E15" i="31" s="1"/>
  <c r="G22" i="31"/>
  <c r="H16" i="31"/>
  <c r="E17" i="31"/>
  <c r="F17" i="31"/>
  <c r="G16" i="31"/>
  <c r="H15" i="31" a="1"/>
  <c r="H15" i="31" s="1"/>
  <c r="G18" i="31"/>
  <c r="H17" i="31"/>
  <c r="J17" i="31"/>
  <c r="J22" i="31"/>
  <c r="J16" i="31"/>
  <c r="J18" i="31"/>
  <c r="F15" i="31" a="1"/>
  <c r="F15" i="31" s="1"/>
  <c r="I16" i="31"/>
  <c r="F16" i="31"/>
  <c r="E16" i="31"/>
  <c r="E22" i="31"/>
  <c r="K22" i="31"/>
  <c r="K16" i="31"/>
  <c r="K18" i="31"/>
  <c r="K15" i="31" a="1"/>
  <c r="K15" i="31" s="1"/>
  <c r="K17" i="31"/>
  <c r="D22" i="31"/>
  <c r="D17" i="31"/>
  <c r="D18" i="31"/>
  <c r="D16" i="31"/>
  <c r="D15" i="31" a="1"/>
  <c r="D15" i="31" s="1"/>
  <c r="I17" i="31"/>
  <c r="I18" i="31"/>
  <c r="I22" i="31"/>
  <c r="H22" i="31"/>
  <c r="H18" i="31"/>
  <c r="F18" i="31"/>
  <c r="G17" i="31"/>
  <c r="C15" i="31" a="1"/>
  <c r="C15" i="31" s="1"/>
  <c r="C16" i="31"/>
  <c r="C22" i="31"/>
  <c r="C17" i="31"/>
  <c r="C18" i="31"/>
  <c r="B11" i="11"/>
  <c r="G403" i="28" s="1"/>
  <c r="B11" i="10"/>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I411" i="24"/>
  <c r="J5" i="8"/>
  <c r="F6" i="8"/>
  <c r="N6" i="8"/>
  <c r="D5" i="8"/>
  <c r="L5" i="8"/>
  <c r="H6" i="8"/>
  <c r="K5" i="8"/>
  <c r="G6" i="8"/>
  <c r="O6" i="8"/>
  <c r="E5" i="8"/>
  <c r="M5" i="8"/>
  <c r="I6" i="8"/>
  <c r="F5" i="8"/>
  <c r="N5" i="8"/>
  <c r="J6" i="8"/>
  <c r="G5" i="8"/>
  <c r="O5" i="8"/>
  <c r="K6" i="8"/>
  <c r="I301" i="24"/>
  <c r="F5" i="7"/>
  <c r="N5" i="7"/>
  <c r="J6" i="7"/>
  <c r="G5" i="7"/>
  <c r="O5" i="7"/>
  <c r="K6" i="7"/>
  <c r="G6" i="7"/>
  <c r="M5" i="7"/>
  <c r="I6" i="7"/>
  <c r="D6" i="7"/>
  <c r="O6" i="7"/>
  <c r="H5" i="7"/>
  <c r="L6" i="7"/>
  <c r="I5" i="7"/>
  <c r="E6" i="7"/>
  <c r="M6" i="7"/>
  <c r="J5" i="7"/>
  <c r="F6" i="7"/>
  <c r="N6" i="7"/>
  <c r="K5" i="7"/>
  <c r="D5" i="7"/>
  <c r="L5" i="7"/>
  <c r="H6" i="7"/>
  <c r="E5" i="7"/>
  <c r="I202" i="24"/>
  <c r="K6" i="6"/>
  <c r="H5" i="6"/>
  <c r="D6" i="6"/>
  <c r="L6" i="6"/>
  <c r="M6" i="6"/>
  <c r="J5" i="6"/>
  <c r="F6" i="6"/>
  <c r="N6" i="6"/>
  <c r="O5" i="6"/>
  <c r="I5" i="6"/>
  <c r="K5" i="6"/>
  <c r="G6" i="6"/>
  <c r="O6" i="6"/>
  <c r="E6" i="6"/>
  <c r="D5" i="6"/>
  <c r="L5" i="6"/>
  <c r="H6" i="6"/>
  <c r="C5" i="8"/>
  <c r="C6" i="8"/>
  <c r="C5" i="7"/>
  <c r="C6" i="7"/>
  <c r="C6" i="6"/>
  <c r="C5" i="6"/>
  <c r="C11" i="7" l="1" a="1"/>
  <c r="C11" i="7" s="1"/>
  <c r="C11" i="6" a="1"/>
  <c r="C11" i="6" s="1"/>
  <c r="C11" i="9" a="1"/>
  <c r="F304" i="28"/>
  <c r="D304" i="28"/>
  <c r="G17" i="37"/>
  <c r="F238" i="38" s="1" a="1"/>
  <c r="F238" i="38" s="1"/>
  <c r="L15" i="37" a="1"/>
  <c r="L15" i="37" s="1"/>
  <c r="L22" i="37"/>
  <c r="L17" i="37"/>
  <c r="F243" i="38" s="1" a="1"/>
  <c r="F243" i="38" s="1"/>
  <c r="L16" i="37"/>
  <c r="L18" i="37"/>
  <c r="H243" i="38" s="1" a="1"/>
  <c r="H243" i="38" s="1"/>
  <c r="I18" i="37"/>
  <c r="H240" i="38" s="1" a="1"/>
  <c r="H240" i="38" s="1"/>
  <c r="I17" i="37"/>
  <c r="F240" i="38" s="1" a="1"/>
  <c r="F240" i="38" s="1"/>
  <c r="I22" i="37"/>
  <c r="I16" i="37"/>
  <c r="I15" i="37" a="1"/>
  <c r="I15" i="37" s="1"/>
  <c r="E16" i="37"/>
  <c r="E15" i="37" a="1"/>
  <c r="E15" i="37" s="1"/>
  <c r="E22" i="37"/>
  <c r="E18" i="37"/>
  <c r="H236" i="38" s="1" a="1"/>
  <c r="H236" i="38" s="1"/>
  <c r="E17" i="37"/>
  <c r="F236" i="38" s="1" a="1"/>
  <c r="F236" i="38" s="1"/>
  <c r="J17" i="37"/>
  <c r="F241" i="38" s="1" a="1"/>
  <c r="F241" i="38" s="1"/>
  <c r="J15" i="37" a="1"/>
  <c r="J15" i="37" s="1"/>
  <c r="J16" i="37"/>
  <c r="J18" i="37"/>
  <c r="H241" i="38" s="1" a="1"/>
  <c r="H241" i="38" s="1"/>
  <c r="J22" i="37"/>
  <c r="F15" i="37" a="1"/>
  <c r="F15" i="37" s="1"/>
  <c r="F22" i="37"/>
  <c r="F18" i="37"/>
  <c r="H237" i="38" s="1" a="1"/>
  <c r="H237" i="38" s="1"/>
  <c r="F16" i="37"/>
  <c r="F17" i="37"/>
  <c r="F237" i="38" s="1" a="1"/>
  <c r="F237" i="38" s="1"/>
  <c r="C6" i="37"/>
  <c r="C5" i="37"/>
  <c r="K16" i="37"/>
  <c r="K15" i="37" a="1"/>
  <c r="K15" i="37" s="1"/>
  <c r="K22" i="37"/>
  <c r="K17" i="37"/>
  <c r="F242" i="38" s="1" a="1"/>
  <c r="F242" i="38" s="1"/>
  <c r="K18" i="37"/>
  <c r="H242" i="38" s="1" a="1"/>
  <c r="H242" i="38" s="1"/>
  <c r="G22" i="37"/>
  <c r="G18" i="37"/>
  <c r="H238" i="38" s="1" a="1"/>
  <c r="H238" i="38" s="1"/>
  <c r="G16" i="37"/>
  <c r="G15" i="37" a="1"/>
  <c r="G15" i="37" s="1"/>
  <c r="H22" i="37"/>
  <c r="H16" i="37"/>
  <c r="H18" i="37"/>
  <c r="H239" i="38" s="1" a="1"/>
  <c r="H239" i="38" s="1"/>
  <c r="H15" i="37" a="1"/>
  <c r="H15" i="37" s="1"/>
  <c r="H17" i="37"/>
  <c r="F239" i="38" s="1" a="1"/>
  <c r="F239" i="38" s="1"/>
  <c r="D16" i="37"/>
  <c r="D22" i="37"/>
  <c r="D15" i="37" a="1"/>
  <c r="D15" i="37" s="1"/>
  <c r="D17" i="37"/>
  <c r="F235" i="38" s="1" a="1"/>
  <c r="F235" i="38" s="1"/>
  <c r="D18" i="37"/>
  <c r="H235" i="38" s="1" a="1"/>
  <c r="H235" i="38" s="1"/>
  <c r="F19" i="31"/>
  <c r="H19" i="31"/>
  <c r="E19" i="31"/>
  <c r="C21" i="31"/>
  <c r="C214" i="32" s="1"/>
  <c r="I19" i="31"/>
  <c r="G19" i="31"/>
  <c r="C213" i="32"/>
  <c r="E213" i="32" s="1" a="1"/>
  <c r="E213" i="32" s="1"/>
  <c r="F213" i="32" s="1"/>
  <c r="C211" i="32"/>
  <c r="E211" i="32" s="1" a="1"/>
  <c r="E211" i="32" s="1"/>
  <c r="F297" i="32"/>
  <c r="C212" i="32"/>
  <c r="E212" i="32" s="1" a="1"/>
  <c r="E212" i="32" s="1"/>
  <c r="K19" i="31"/>
  <c r="D19" i="31"/>
  <c r="J19" i="31"/>
  <c r="C19" i="31"/>
  <c r="C20" i="31"/>
  <c r="E305" i="32" s="1"/>
  <c r="I403" i="28"/>
  <c r="I293" i="28"/>
  <c r="I194" i="28"/>
  <c r="J22" i="10"/>
  <c r="E22" i="10"/>
  <c r="I22" i="10"/>
  <c r="O65" i="8"/>
  <c r="L65" i="8"/>
  <c r="F54" i="6"/>
  <c r="H22" i="10"/>
  <c r="K22" i="10"/>
  <c r="D22" i="10"/>
  <c r="F22" i="11"/>
  <c r="G22" i="10"/>
  <c r="J22" i="11"/>
  <c r="I22" i="11"/>
  <c r="E22" i="11"/>
  <c r="F22" i="10"/>
  <c r="G22" i="11"/>
  <c r="D22" i="11"/>
  <c r="K22" i="11"/>
  <c r="H22" i="11"/>
  <c r="C6" i="11"/>
  <c r="C5" i="11"/>
  <c r="C5" i="10"/>
  <c r="C6" i="10"/>
  <c r="G65" i="8"/>
  <c r="N70" i="7"/>
  <c r="E54" i="6"/>
  <c r="J54" i="6"/>
  <c r="F65" i="8"/>
  <c r="N65" i="8"/>
  <c r="D65" i="8"/>
  <c r="H65" i="8"/>
  <c r="E70" i="7"/>
  <c r="O70" i="7"/>
  <c r="K70" i="7"/>
  <c r="G70" i="7"/>
  <c r="E65" i="8"/>
  <c r="J70" i="7"/>
  <c r="I54" i="6"/>
  <c r="G54" i="6"/>
  <c r="N54" i="6"/>
  <c r="M54" i="6"/>
  <c r="K65" i="8"/>
  <c r="I65" i="8"/>
  <c r="M65" i="8"/>
  <c r="F70" i="7"/>
  <c r="M70" i="7"/>
  <c r="K54" i="6"/>
  <c r="J65" i="8"/>
  <c r="L70" i="7"/>
  <c r="D70" i="7"/>
  <c r="I70" i="7"/>
  <c r="H70" i="7"/>
  <c r="H54" i="6"/>
  <c r="O54" i="6"/>
  <c r="L54" i="6"/>
  <c r="C54" i="6"/>
  <c r="D54" i="6"/>
  <c r="C11" i="8" a="1"/>
  <c r="C65" i="8"/>
  <c r="C70" i="7"/>
  <c r="C11" i="9" l="1"/>
  <c r="C15" i="9" s="1"/>
  <c r="G15" i="9"/>
  <c r="H15" i="9"/>
  <c r="J15" i="9"/>
  <c r="F15" i="9"/>
  <c r="E15" i="9"/>
  <c r="K15" i="9"/>
  <c r="D15" i="9"/>
  <c r="I15" i="9"/>
  <c r="G19" i="37"/>
  <c r="I238" i="38" s="1" a="1"/>
  <c r="I238" i="38" s="1"/>
  <c r="G238" i="38" a="1"/>
  <c r="G238" i="38" s="1"/>
  <c r="G237" i="38" a="1"/>
  <c r="G237" i="38" s="1"/>
  <c r="F19" i="37"/>
  <c r="I237" i="38" s="1" a="1"/>
  <c r="I237" i="38" s="1"/>
  <c r="G239" i="38" a="1"/>
  <c r="G239" i="38" s="1"/>
  <c r="H19" i="37"/>
  <c r="I239" i="38" s="1" a="1"/>
  <c r="I239" i="38" s="1"/>
  <c r="G242" i="38" a="1"/>
  <c r="G242" i="38" s="1"/>
  <c r="K19" i="37"/>
  <c r="I242" i="38" s="1" a="1"/>
  <c r="I242" i="38" s="1"/>
  <c r="G243" i="38" a="1"/>
  <c r="G243" i="38" s="1"/>
  <c r="L19" i="37"/>
  <c r="I243" i="38" s="1" a="1"/>
  <c r="I243" i="38" s="1"/>
  <c r="C15" i="37" a="1"/>
  <c r="C15" i="37" s="1"/>
  <c r="C16" i="37"/>
  <c r="C22" i="37"/>
  <c r="C17" i="37"/>
  <c r="C18" i="37"/>
  <c r="C21" i="37" s="1"/>
  <c r="C214" i="38" s="1"/>
  <c r="G236" i="38" a="1"/>
  <c r="G236" i="38" s="1"/>
  <c r="E19" i="37"/>
  <c r="I236" i="38" s="1" a="1"/>
  <c r="I236" i="38" s="1"/>
  <c r="G235" i="38" a="1"/>
  <c r="G235" i="38" s="1"/>
  <c r="D19" i="37"/>
  <c r="I235" i="38" s="1" a="1"/>
  <c r="I235" i="38" s="1"/>
  <c r="G241" i="38" a="1"/>
  <c r="G241" i="38" s="1"/>
  <c r="J19" i="37"/>
  <c r="I241" i="38" s="1" a="1"/>
  <c r="I241" i="38" s="1"/>
  <c r="G240" i="38" a="1"/>
  <c r="G240" i="38" s="1"/>
  <c r="I19" i="37"/>
  <c r="I240" i="38" s="1" a="1"/>
  <c r="I240" i="38" s="1"/>
  <c r="D213" i="32"/>
  <c r="F212" i="32"/>
  <c r="D212" i="32"/>
  <c r="D211" i="32"/>
  <c r="F211" i="32"/>
  <c r="B232" i="28" a="1"/>
  <c r="B232" i="28" s="1"/>
  <c r="C11" i="11" a="1"/>
  <c r="C22" i="11"/>
  <c r="B439" i="28" s="1" a="1"/>
  <c r="B439" i="28" s="1"/>
  <c r="C11" i="10" a="1"/>
  <c r="C22" i="10"/>
  <c r="B330" i="28" s="1" a="1"/>
  <c r="B330" i="28" s="1"/>
  <c r="C228" i="28"/>
  <c r="J227" i="28"/>
  <c r="I226" i="28"/>
  <c r="J228" i="28"/>
  <c r="I227" i="28"/>
  <c r="H226" i="28"/>
  <c r="I228" i="28"/>
  <c r="H227" i="28"/>
  <c r="G226" i="28"/>
  <c r="H228" i="28"/>
  <c r="G227" i="28"/>
  <c r="F226" i="28"/>
  <c r="G228" i="28"/>
  <c r="F227" i="28"/>
  <c r="E226" i="28"/>
  <c r="F228" i="28"/>
  <c r="E227" i="28"/>
  <c r="D226" i="28"/>
  <c r="E228" i="28"/>
  <c r="D227" i="28"/>
  <c r="C226" i="28"/>
  <c r="D228" i="28"/>
  <c r="C227" i="28"/>
  <c r="J226" i="28"/>
  <c r="B447" i="24" a="1"/>
  <c r="B447" i="24" s="1"/>
  <c r="C11" i="8"/>
  <c r="C61" i="8" s="1"/>
  <c r="I59" i="8"/>
  <c r="O60" i="8"/>
  <c r="M59" i="8"/>
  <c r="D59" i="8"/>
  <c r="K60" i="8"/>
  <c r="J61" i="8"/>
  <c r="E59" i="8"/>
  <c r="M61" i="8"/>
  <c r="J59" i="8"/>
  <c r="I60" i="8"/>
  <c r="N59" i="8"/>
  <c r="H59" i="8"/>
  <c r="E61" i="8"/>
  <c r="N61" i="8"/>
  <c r="G60" i="8"/>
  <c r="L61" i="8"/>
  <c r="E60" i="8"/>
  <c r="N60" i="8"/>
  <c r="G59" i="8"/>
  <c r="K61" i="8"/>
  <c r="I61" i="8"/>
  <c r="L60" i="8"/>
  <c r="F59" i="8"/>
  <c r="D61" i="8"/>
  <c r="L59" i="8"/>
  <c r="F60" i="8"/>
  <c r="H61" i="8"/>
  <c r="J60" i="8"/>
  <c r="K59" i="8"/>
  <c r="M60" i="8"/>
  <c r="G61" i="8"/>
  <c r="O59" i="8"/>
  <c r="D60" i="8"/>
  <c r="F61" i="8"/>
  <c r="O61" i="8"/>
  <c r="H60" i="8"/>
  <c r="B338" i="24" a="1"/>
  <c r="B338" i="24" s="1"/>
  <c r="B240" i="24" a="1"/>
  <c r="B240" i="24" s="1"/>
  <c r="L66" i="7"/>
  <c r="D66" i="7"/>
  <c r="K65" i="7"/>
  <c r="J64" i="7"/>
  <c r="H65" i="7"/>
  <c r="G64" i="7"/>
  <c r="E66" i="7"/>
  <c r="D65" i="7"/>
  <c r="K66" i="7"/>
  <c r="J65" i="7"/>
  <c r="I64" i="7"/>
  <c r="N66" i="7"/>
  <c r="F66" i="7"/>
  <c r="M65" i="7"/>
  <c r="E65" i="7"/>
  <c r="L64" i="7"/>
  <c r="D64" i="7"/>
  <c r="L65" i="7"/>
  <c r="J66" i="7"/>
  <c r="I65" i="7"/>
  <c r="H64" i="7"/>
  <c r="I66" i="7"/>
  <c r="O64" i="7"/>
  <c r="M66" i="7"/>
  <c r="K64" i="7"/>
  <c r="H66" i="7"/>
  <c r="O65" i="7"/>
  <c r="G65" i="7"/>
  <c r="N64" i="7"/>
  <c r="F64" i="7"/>
  <c r="O66" i="7"/>
  <c r="G66" i="7"/>
  <c r="N65" i="7"/>
  <c r="F65" i="7"/>
  <c r="M64" i="7"/>
  <c r="E64" i="7"/>
  <c r="C11" i="11" l="1"/>
  <c r="C15" i="11" s="1"/>
  <c r="I15" i="11"/>
  <c r="H15" i="11"/>
  <c r="J15" i="11"/>
  <c r="K15" i="11"/>
  <c r="D15" i="11"/>
  <c r="E15" i="11"/>
  <c r="F15" i="11"/>
  <c r="G15" i="11"/>
  <c r="C11" i="10"/>
  <c r="C15" i="10" s="1"/>
  <c r="E15" i="10"/>
  <c r="F15" i="10"/>
  <c r="G15" i="10"/>
  <c r="H15" i="10"/>
  <c r="I15" i="10"/>
  <c r="K15" i="10"/>
  <c r="D15" i="10"/>
  <c r="J15" i="10"/>
  <c r="F297" i="38"/>
  <c r="C19" i="37"/>
  <c r="I234" i="38" s="1" a="1"/>
  <c r="I234" i="38" s="1"/>
  <c r="D28" i="39"/>
  <c r="E28" i="39" s="1"/>
  <c r="H28" i="39" s="1"/>
  <c r="I28" i="39" s="1"/>
  <c r="H234" i="38" a="1"/>
  <c r="H234" i="38" s="1"/>
  <c r="E307" i="38"/>
  <c r="C213" i="38"/>
  <c r="F234" i="38" a="1"/>
  <c r="F234" i="38" s="1"/>
  <c r="E308" i="38"/>
  <c r="C212" i="38"/>
  <c r="E212" i="38" s="1" a="1"/>
  <c r="E212" i="38" s="1"/>
  <c r="F212" i="38" s="1"/>
  <c r="C211" i="38"/>
  <c r="E211" i="38" s="1" a="1"/>
  <c r="E211" i="38" s="1"/>
  <c r="F211" i="38" s="1"/>
  <c r="G234" i="38" a="1"/>
  <c r="G234" i="38" s="1"/>
  <c r="C20" i="37"/>
  <c r="E305" i="38" s="1"/>
  <c r="H67" i="7"/>
  <c r="K62" i="8"/>
  <c r="C229" i="28"/>
  <c r="F229" i="28"/>
  <c r="J229" i="28"/>
  <c r="E229" i="28"/>
  <c r="I229" i="28"/>
  <c r="H229" i="28"/>
  <c r="E501" i="28"/>
  <c r="E502" i="28"/>
  <c r="D229" i="28"/>
  <c r="G229" i="28"/>
  <c r="H62" i="8"/>
  <c r="C60" i="8"/>
  <c r="D62" i="8"/>
  <c r="L62" i="8"/>
  <c r="E62" i="8"/>
  <c r="J62" i="8"/>
  <c r="O62" i="8"/>
  <c r="I62" i="8"/>
  <c r="F62" i="8"/>
  <c r="G62" i="8"/>
  <c r="N62" i="8"/>
  <c r="M62" i="8"/>
  <c r="C59" i="8"/>
  <c r="C421" i="24" s="1"/>
  <c r="C64" i="8"/>
  <c r="C423" i="24"/>
  <c r="F67" i="7"/>
  <c r="O67" i="7"/>
  <c r="L67" i="7"/>
  <c r="J67" i="7"/>
  <c r="K67" i="7"/>
  <c r="N67" i="7"/>
  <c r="G67" i="7"/>
  <c r="E67" i="7"/>
  <c r="M67" i="7"/>
  <c r="I67" i="7"/>
  <c r="C65" i="7"/>
  <c r="C64" i="7"/>
  <c r="C66" i="7"/>
  <c r="C69" i="7" s="1"/>
  <c r="D67" i="7"/>
  <c r="K50" i="6"/>
  <c r="J236" i="24" s="1"/>
  <c r="J49" i="6"/>
  <c r="I235" i="24" s="1"/>
  <c r="I48" i="6"/>
  <c r="H234" i="24" s="1"/>
  <c r="J50" i="6"/>
  <c r="I236" i="24" s="1"/>
  <c r="I50" i="6"/>
  <c r="H236" i="24" s="1"/>
  <c r="H49" i="6"/>
  <c r="G235" i="24" s="1"/>
  <c r="O48" i="6"/>
  <c r="N234" i="24" s="1"/>
  <c r="G48" i="6"/>
  <c r="F234" i="24" s="1"/>
  <c r="D50" i="6"/>
  <c r="C236" i="24" s="1"/>
  <c r="I49" i="6"/>
  <c r="H235" i="24" s="1"/>
  <c r="H48" i="6"/>
  <c r="G234" i="24" s="1"/>
  <c r="H50" i="6"/>
  <c r="G236" i="24" s="1"/>
  <c r="O49" i="6"/>
  <c r="N235" i="24" s="1"/>
  <c r="G49" i="6"/>
  <c r="F235" i="24" s="1"/>
  <c r="N48" i="6"/>
  <c r="M234" i="24" s="1"/>
  <c r="F48" i="6"/>
  <c r="E234" i="24" s="1"/>
  <c r="O50" i="6"/>
  <c r="N236" i="24" s="1"/>
  <c r="G50" i="6"/>
  <c r="F236" i="24" s="1"/>
  <c r="N49" i="6"/>
  <c r="M235" i="24" s="1"/>
  <c r="F49" i="6"/>
  <c r="E235" i="24" s="1"/>
  <c r="M48" i="6"/>
  <c r="L234" i="24" s="1"/>
  <c r="E48" i="6"/>
  <c r="D234" i="24" s="1"/>
  <c r="L50" i="6"/>
  <c r="K236" i="24" s="1"/>
  <c r="K49" i="6"/>
  <c r="J235" i="24" s="1"/>
  <c r="J48" i="6"/>
  <c r="I234" i="24" s="1"/>
  <c r="N50" i="6"/>
  <c r="M236" i="24" s="1"/>
  <c r="F50" i="6"/>
  <c r="E236" i="24" s="1"/>
  <c r="M49" i="6"/>
  <c r="L235" i="24" s="1"/>
  <c r="E49" i="6"/>
  <c r="D235" i="24" s="1"/>
  <c r="L48" i="6"/>
  <c r="K234" i="24" s="1"/>
  <c r="D48" i="6"/>
  <c r="C234" i="24" s="1"/>
  <c r="M50" i="6"/>
  <c r="L236" i="24" s="1"/>
  <c r="E50" i="6"/>
  <c r="D236" i="24" s="1"/>
  <c r="L49" i="6"/>
  <c r="K235" i="24" s="1"/>
  <c r="D49" i="6"/>
  <c r="C235" i="24" s="1"/>
  <c r="K48" i="6"/>
  <c r="J234" i="24" s="1"/>
  <c r="E213" i="38" l="1" a="1"/>
  <c r="E213" i="38" s="1"/>
  <c r="F213" i="38" s="1"/>
  <c r="D211" i="38"/>
  <c r="D212" i="38"/>
  <c r="C21" i="9"/>
  <c r="B228" i="28"/>
  <c r="B227" i="28"/>
  <c r="B226" i="28"/>
  <c r="E504" i="28"/>
  <c r="E204" i="28" a="1"/>
  <c r="E204" i="28" s="1"/>
  <c r="C204" i="28"/>
  <c r="E203" i="28" a="1"/>
  <c r="E203" i="28" s="1"/>
  <c r="C203" i="28"/>
  <c r="G502" i="28"/>
  <c r="G501" i="28"/>
  <c r="F501" i="28"/>
  <c r="F502" i="28"/>
  <c r="C21" i="10"/>
  <c r="F503" i="28" s="1"/>
  <c r="C19" i="9"/>
  <c r="B229" i="28" s="1"/>
  <c r="C20" i="9"/>
  <c r="C62" i="8"/>
  <c r="B441" i="24" s="1" a="1"/>
  <c r="B441" i="24" s="1"/>
  <c r="G512" i="24"/>
  <c r="C422" i="24"/>
  <c r="C63" i="8"/>
  <c r="G507" i="24" s="1"/>
  <c r="G510" i="24"/>
  <c r="G509" i="24"/>
  <c r="E422" i="24" a="1"/>
  <c r="E422" i="24" s="1"/>
  <c r="F422" i="24" s="1"/>
  <c r="E421" i="24" a="1"/>
  <c r="E421" i="24" s="1"/>
  <c r="F421" i="24" s="1"/>
  <c r="C420" i="24"/>
  <c r="E420" i="24" a="1"/>
  <c r="E420" i="24" s="1"/>
  <c r="F420" i="24" s="1"/>
  <c r="B446" i="24"/>
  <c r="G511" i="24"/>
  <c r="B337" i="24"/>
  <c r="E310" i="24" a="1"/>
  <c r="E310" i="24" s="1"/>
  <c r="C310" i="24"/>
  <c r="F512" i="24"/>
  <c r="C313" i="24"/>
  <c r="C312" i="24"/>
  <c r="E311" i="24" a="1"/>
  <c r="E311" i="24" s="1"/>
  <c r="C311" i="24"/>
  <c r="E312" i="24" a="1"/>
  <c r="E312" i="24" s="1"/>
  <c r="F509" i="24"/>
  <c r="L51" i="6"/>
  <c r="K237" i="24" s="1"/>
  <c r="N51" i="6"/>
  <c r="M237" i="24" s="1"/>
  <c r="I51" i="6"/>
  <c r="H237" i="24" s="1"/>
  <c r="H51" i="6"/>
  <c r="G237" i="24" s="1"/>
  <c r="J51" i="6"/>
  <c r="I237" i="24" s="1"/>
  <c r="O51" i="6"/>
  <c r="N237" i="24" s="1"/>
  <c r="D51" i="6"/>
  <c r="C237" i="24" s="1"/>
  <c r="F51" i="6"/>
  <c r="E237" i="24" s="1"/>
  <c r="G51" i="6"/>
  <c r="F237" i="24" s="1"/>
  <c r="C67" i="7"/>
  <c r="B332" i="24" s="1" a="1"/>
  <c r="B332" i="24" s="1"/>
  <c r="C68" i="7"/>
  <c r="E51" i="6"/>
  <c r="D237" i="24" s="1"/>
  <c r="K51" i="6"/>
  <c r="J237" i="24" s="1"/>
  <c r="M51" i="6"/>
  <c r="L237" i="24" s="1"/>
  <c r="C50" i="6"/>
  <c r="C49" i="6"/>
  <c r="C48" i="6"/>
  <c r="D213" i="38" l="1"/>
  <c r="E503" i="28"/>
  <c r="C206" i="28"/>
  <c r="C21" i="11"/>
  <c r="G503" i="28" s="1"/>
  <c r="C415" i="28"/>
  <c r="C413" i="28"/>
  <c r="E412" i="28" a="1"/>
  <c r="E412" i="28" s="1"/>
  <c r="C412" i="28"/>
  <c r="G504" i="28"/>
  <c r="E413" i="28" a="1"/>
  <c r="E413" i="28" s="1"/>
  <c r="B329" i="28"/>
  <c r="F504" i="28"/>
  <c r="C304" i="28"/>
  <c r="E303" i="28" a="1"/>
  <c r="E303" i="28" s="1"/>
  <c r="C303" i="28"/>
  <c r="E302" i="28" a="1"/>
  <c r="E302" i="28" s="1"/>
  <c r="C302" i="28"/>
  <c r="C305" i="28"/>
  <c r="B231" i="28"/>
  <c r="E499" i="28"/>
  <c r="B230" i="28"/>
  <c r="D203" i="28"/>
  <c r="F203" i="28"/>
  <c r="D205" i="28"/>
  <c r="F205" i="28"/>
  <c r="C414" i="28"/>
  <c r="D204" i="28"/>
  <c r="F204" i="28"/>
  <c r="C20" i="11"/>
  <c r="B433" i="28" a="1"/>
  <c r="B433" i="28" s="1"/>
  <c r="B324" i="28" a="1"/>
  <c r="B324" i="28" s="1"/>
  <c r="C20" i="10"/>
  <c r="D421" i="24"/>
  <c r="B445" i="24"/>
  <c r="D422" i="24"/>
  <c r="D420" i="24"/>
  <c r="F311" i="24"/>
  <c r="D311" i="24"/>
  <c r="B336" i="24"/>
  <c r="F507" i="24"/>
  <c r="F310" i="24"/>
  <c r="D310" i="24"/>
  <c r="D312" i="24"/>
  <c r="F312" i="24"/>
  <c r="C53" i="6"/>
  <c r="C214" i="24"/>
  <c r="B236" i="24"/>
  <c r="C211" i="24"/>
  <c r="E512" i="24"/>
  <c r="E211" i="24" a="1"/>
  <c r="E211" i="24" s="1"/>
  <c r="E212" i="24" a="1"/>
  <c r="E212" i="24" s="1"/>
  <c r="C212" i="24"/>
  <c r="B234" i="24"/>
  <c r="E510" i="24"/>
  <c r="E509" i="24"/>
  <c r="E213" i="24" a="1"/>
  <c r="E213" i="24" s="1"/>
  <c r="B235" i="24"/>
  <c r="C213" i="24"/>
  <c r="C51" i="6"/>
  <c r="B237" i="24" s="1"/>
  <c r="C52" i="6"/>
  <c r="F413" i="28" l="1"/>
  <c r="D413"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C234" i="20" s="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B10" i="5" a="1"/>
  <c r="B10" i="5" s="1"/>
  <c r="O17" i="5"/>
  <c r="O16" i="5"/>
  <c r="O15" i="5"/>
  <c r="R17" i="5"/>
  <c r="R16" i="5"/>
  <c r="C209" i="20" l="1"/>
  <c r="C210" i="20"/>
  <c r="H10" i="19"/>
  <c r="C15" i="19" a="1"/>
  <c r="C15" i="19" s="1"/>
  <c r="C20" i="19" s="1"/>
  <c r="I15" i="19"/>
  <c r="C14" i="19" a="1"/>
  <c r="C14" i="19" s="1"/>
  <c r="C21" i="19" s="1"/>
  <c r="G13" i="19"/>
  <c r="C31" i="19"/>
  <c r="G10" i="19"/>
  <c r="H14" i="19"/>
  <c r="C34" i="19"/>
  <c r="I10" i="19"/>
  <c r="G11" i="19"/>
  <c r="C28" i="19"/>
  <c r="C14" i="5" a="1"/>
  <c r="C14" i="5" s="1"/>
  <c r="I202" i="20"/>
  <c r="D34" i="19"/>
  <c r="D31" i="19"/>
  <c r="D28" i="19"/>
  <c r="E31" i="19" l="1"/>
  <c r="I31" i="19" s="1"/>
  <c r="E34" i="19"/>
  <c r="I34" i="19" s="1"/>
  <c r="E28" i="19"/>
  <c r="I28" i="19" s="1"/>
  <c r="H31" i="19" l="1"/>
  <c r="H28" i="19"/>
  <c r="H34" i="19"/>
  <c r="B11" i="5" a="1"/>
  <c r="B11" i="5" s="1"/>
  <c r="A28" i="19" s="1"/>
  <c r="A1" i="5"/>
  <c r="A34" i="19" l="1"/>
  <c r="A31" i="19"/>
  <c r="I6" i="5"/>
  <c r="M5" i="5"/>
  <c r="E5" i="5"/>
  <c r="H6" i="5"/>
  <c r="L5" i="5"/>
  <c r="D5" i="5"/>
  <c r="G6" i="5"/>
  <c r="K5" i="5"/>
  <c r="N5" i="5"/>
  <c r="N6" i="5"/>
  <c r="F6" i="5"/>
  <c r="J5" i="5"/>
  <c r="M6" i="5"/>
  <c r="E6" i="5"/>
  <c r="I5" i="5"/>
  <c r="D6" i="5"/>
  <c r="H5" i="5"/>
  <c r="K6" i="5"/>
  <c r="G5" i="5"/>
  <c r="J6" i="5"/>
  <c r="F5" i="5"/>
  <c r="L6" i="5"/>
  <c r="L18" i="5" l="1"/>
  <c r="L16" i="5"/>
  <c r="L17" i="5"/>
  <c r="L22" i="5"/>
  <c r="D18" i="5"/>
  <c r="D22" i="5"/>
  <c r="D16" i="5"/>
  <c r="D17" i="5"/>
  <c r="E22" i="5"/>
  <c r="E18" i="5"/>
  <c r="E16" i="5"/>
  <c r="E17" i="5"/>
  <c r="M22" i="5"/>
  <c r="M18" i="5"/>
  <c r="M16" i="5"/>
  <c r="M17" i="5"/>
  <c r="F22" i="5"/>
  <c r="F18" i="5"/>
  <c r="F17" i="5"/>
  <c r="F16" i="5"/>
  <c r="G17" i="5"/>
  <c r="G22" i="5"/>
  <c r="G18" i="5"/>
  <c r="G16" i="5"/>
  <c r="H17" i="5"/>
  <c r="H22" i="5"/>
  <c r="H18" i="5"/>
  <c r="H16" i="5"/>
  <c r="J16" i="5"/>
  <c r="J17" i="5"/>
  <c r="J22" i="5"/>
  <c r="J18" i="5"/>
  <c r="K18" i="5"/>
  <c r="K16" i="5"/>
  <c r="K17" i="5"/>
  <c r="K22" i="5"/>
  <c r="N22" i="5"/>
  <c r="N18" i="5"/>
  <c r="N15" i="5" a="1"/>
  <c r="N15" i="5" s="1"/>
  <c r="N16" i="5"/>
  <c r="N17" i="5"/>
  <c r="I17" i="5"/>
  <c r="I16" i="5"/>
  <c r="I22" i="5"/>
  <c r="I18" i="5"/>
  <c r="L15" i="5" a="1"/>
  <c r="L15" i="5" s="1"/>
  <c r="F245" i="20" a="1"/>
  <c r="F245" i="20" s="1"/>
  <c r="H235" i="20" a="1"/>
  <c r="H235" i="20" s="1"/>
  <c r="G235" i="20" a="1"/>
  <c r="G235" i="20" s="1"/>
  <c r="D15" i="5" a="1"/>
  <c r="D15" i="5" s="1"/>
  <c r="F235" i="20" a="1"/>
  <c r="F235" i="20" s="1"/>
  <c r="F239" i="20" a="1"/>
  <c r="F239" i="20" s="1"/>
  <c r="G239" i="20" a="1"/>
  <c r="G239" i="20" s="1"/>
  <c r="H15" i="5" a="1"/>
  <c r="H15" i="5" s="1"/>
  <c r="H239" i="20" a="1"/>
  <c r="H239" i="20" s="1"/>
  <c r="F240" i="20" a="1"/>
  <c r="F240" i="20" s="1"/>
  <c r="H240" i="20" a="1"/>
  <c r="H240" i="20" s="1"/>
  <c r="I15" i="5" a="1"/>
  <c r="I15" i="5" s="1"/>
  <c r="G240" i="20" a="1"/>
  <c r="G240" i="20" s="1"/>
  <c r="F15" i="5" a="1"/>
  <c r="F15" i="5" s="1"/>
  <c r="F237" i="20" a="1"/>
  <c r="F237" i="20" s="1"/>
  <c r="G237" i="20" a="1"/>
  <c r="G237" i="20" s="1"/>
  <c r="H237" i="20" a="1"/>
  <c r="H237" i="20" s="1"/>
  <c r="H245" i="20" a="1"/>
  <c r="H245" i="20" s="1"/>
  <c r="K15" i="5" a="1"/>
  <c r="K15" i="5" s="1"/>
  <c r="F242" i="20" a="1"/>
  <c r="F242" i="20" s="1"/>
  <c r="G242" i="20" a="1"/>
  <c r="G242" i="20" s="1"/>
  <c r="H242" i="20" a="1"/>
  <c r="H242" i="20" s="1"/>
  <c r="H243" i="20" a="1"/>
  <c r="H243" i="20" s="1"/>
  <c r="F243" i="20" a="1"/>
  <c r="F243" i="20" s="1"/>
  <c r="G243" i="20" a="1"/>
  <c r="G243" i="20" s="1"/>
  <c r="F241" i="20" a="1"/>
  <c r="F241" i="20" s="1"/>
  <c r="J15" i="5" a="1"/>
  <c r="J15" i="5" s="1"/>
  <c r="G241" i="20" a="1"/>
  <c r="G241" i="20" s="1"/>
  <c r="H241" i="20" a="1"/>
  <c r="H241" i="20" s="1"/>
  <c r="G15" i="5" a="1"/>
  <c r="G15" i="5" s="1"/>
  <c r="G238" i="20" a="1"/>
  <c r="G238" i="20" s="1"/>
  <c r="F238" i="20" a="1"/>
  <c r="F238" i="20" s="1"/>
  <c r="H238" i="20" a="1"/>
  <c r="H238" i="20" s="1"/>
  <c r="H236" i="20" a="1"/>
  <c r="H236" i="20" s="1"/>
  <c r="E15" i="5" a="1"/>
  <c r="E15" i="5" s="1"/>
  <c r="G236" i="20" a="1"/>
  <c r="G236" i="20" s="1"/>
  <c r="F236" i="20" a="1"/>
  <c r="F236" i="20" s="1"/>
  <c r="M15" i="5" a="1"/>
  <c r="M15" i="5" s="1"/>
  <c r="G244" i="20" a="1"/>
  <c r="G244" i="20" s="1"/>
  <c r="H244" i="20" a="1"/>
  <c r="H244" i="20" s="1"/>
  <c r="F244" i="20" a="1"/>
  <c r="F244" i="20" s="1"/>
  <c r="C5" i="5"/>
  <c r="C6" i="5"/>
  <c r="N19" i="5" l="1"/>
  <c r="I245" i="20" s="1" a="1"/>
  <c r="I245" i="20" s="1"/>
  <c r="G245" i="20" a="1"/>
  <c r="G245" i="20" s="1"/>
  <c r="F19" i="5"/>
  <c r="I237" i="20" s="1" a="1"/>
  <c r="I237" i="20" s="1"/>
  <c r="D19" i="5"/>
  <c r="I235" i="20" s="1" a="1"/>
  <c r="I235" i="20" s="1"/>
  <c r="M19" i="5"/>
  <c r="I244" i="20" s="1" a="1"/>
  <c r="I244" i="20" s="1"/>
  <c r="I19" i="5"/>
  <c r="I240" i="20" s="1" a="1"/>
  <c r="I240" i="20" s="1"/>
  <c r="H19" i="5"/>
  <c r="I239" i="20" s="1" a="1"/>
  <c r="I239" i="20" s="1"/>
  <c r="E19" i="5"/>
  <c r="I236" i="20" s="1" a="1"/>
  <c r="I236" i="20" s="1"/>
  <c r="J19" i="5"/>
  <c r="I241" i="20" s="1" a="1"/>
  <c r="I241" i="20" s="1"/>
  <c r="G19" i="5"/>
  <c r="I238" i="20" s="1" a="1"/>
  <c r="I238" i="20" s="1"/>
  <c r="C22" i="5"/>
  <c r="C15" i="5" a="1"/>
  <c r="C15" i="5" s="1"/>
  <c r="C18" i="5"/>
  <c r="C16" i="5"/>
  <c r="C17" i="5"/>
  <c r="K19" i="5"/>
  <c r="I242" i="20" s="1" a="1"/>
  <c r="I242" i="20" s="1"/>
  <c r="L19" i="5"/>
  <c r="I243" i="20" s="1" a="1"/>
  <c r="I243" i="20" s="1"/>
  <c r="E309" i="38" l="1"/>
  <c r="E307" i="32"/>
  <c r="F297" i="20"/>
  <c r="E307" i="20" s="1"/>
  <c r="C21" i="5"/>
  <c r="H234" i="20" a="1"/>
  <c r="H234" i="20" s="1"/>
  <c r="C212" i="20"/>
  <c r="E212" i="20" s="1" a="1"/>
  <c r="E212" i="20" s="1"/>
  <c r="F212" i="20" s="1"/>
  <c r="G234" i="20" a="1"/>
  <c r="G234" i="20" s="1"/>
  <c r="C213" i="20"/>
  <c r="E213" i="20" s="1" a="1"/>
  <c r="E213" i="20" s="1"/>
  <c r="F213" i="20" s="1"/>
  <c r="F234" i="20" a="1"/>
  <c r="F234" i="20" s="1"/>
  <c r="C211" i="20"/>
  <c r="E211" i="20" s="1" a="1"/>
  <c r="E211" i="20" s="1"/>
  <c r="C20" i="5"/>
  <c r="C19" i="5"/>
  <c r="E305" i="20" l="1"/>
  <c r="I234" i="20" a="1"/>
  <c r="I234" i="20" s="1"/>
  <c r="C214" i="20"/>
  <c r="D212" i="20"/>
  <c r="D213" i="20"/>
  <c r="D211" i="20"/>
  <c r="F211" i="20"/>
  <c r="A53" i="2" l="1"/>
  <c r="A52" i="2"/>
  <c r="A51" i="2"/>
  <c r="A50" i="2"/>
  <c r="A49" i="2"/>
  <c r="A48" i="2"/>
  <c r="A47" i="2"/>
  <c r="A46" i="2"/>
  <c r="A45" i="2"/>
  <c r="A44" i="2"/>
  <c r="A43" i="2"/>
  <c r="A42" i="2"/>
  <c r="C96" i="20" l="1" a="1"/>
  <c r="C96" i="20" s="1"/>
  <c r="F511" i="24" l="1"/>
  <c r="F510"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<sst xmlns="http://schemas.openxmlformats.org/spreadsheetml/2006/main" count="3252" uniqueCount="942">
  <si>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</si>
  <si>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</si>
  <si>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</si>
  <si>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</si>
  <si>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</si>
  <si>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</si>
  <si>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</si>
  <si>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</si>
  <si>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</si>
  <si>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</si>
  <si>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</si>
  <si>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</si>
  <si>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</si>
  <si>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</si>
  <si>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</si>
  <si>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</si>
  <si>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</si>
  <si>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</si>
  <si>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</si>
  <si>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</si>
  <si>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</si>
  <si>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</si>
  <si>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</si>
  <si>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</si>
  <si>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</si>
  <si>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</si>
  <si>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</si>
  <si>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</si>
  <si>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</si>
  <si>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</si>
  <si>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</si>
  <si>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</si>
  <si>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</si>
  <si>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</si>
  <si>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</si>
  <si>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</si>
  <si>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</si>
  <si>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</si>
  <si>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</si>
  <si>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</si>
  <si>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</si>
  <si>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</si>
  <si>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</si>
  <si>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</si>
  <si>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</si>
  <si>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</si>
  <si>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</si>
  <si>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</si>
  <si>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</si>
  <si>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</si>
  <si>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</si>
  <si>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</si>
  <si>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</si>
  <si>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</si>
  <si>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</si>
  <si>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</si>
  <si>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</si>
  <si>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</si>
  <si>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</si>
  <si>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</si>
  <si>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</si>
  <si>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</si>
  <si>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</si>
  <si>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</si>
  <si>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</si>
  <si>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</si>
  <si>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</si>
  <si>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</si>
  <si>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</si>
  <si>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</si>
  <si>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</si>
  <si>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</si>
  <si>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</si>
  <si>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</si>
  <si>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</si>
  <si>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</si>
  <si>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</si>
  <si>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</si>
  <si>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</si>
  <si>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</si>
  <si>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</si>
  <si>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</si>
  <si>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</si>
  <si>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</si>
  <si>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</si>
  <si>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</si>
  <si>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</si>
  <si>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</si>
  <si>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</si>
  <si>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</si>
  <si>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</si>
  <si>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</si>
  <si>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</si>
  <si>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</si>
  <si>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</si>
  <si>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</si>
  <si>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</si>
  <si>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</si>
  <si>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</si>
  <si>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</si>
  <si>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</si>
  <si>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</si>
  <si>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</si>
  <si>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</si>
  <si>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</si>
  <si>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</si>
  <si>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</si>
  <si>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</si>
  <si>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</si>
  <si>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</si>
  <si>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</si>
  <si>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</si>
  <si>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</si>
  <si>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</si>
  <si>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</si>
  <si>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</si>
  <si>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</si>
  <si>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</si>
  <si>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</si>
  <si>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</si>
  <si>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</si>
  <si>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</si>
  <si>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</si>
  <si>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</si>
  <si>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</si>
  <si>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</si>
  <si>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</si>
  <si>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</si>
  <si>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</si>
  <si>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</si>
  <si>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</si>
  <si>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</si>
  <si>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</si>
  <si>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</si>
  <si>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</si>
  <si>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</si>
  <si>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</si>
  <si>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</si>
  <si>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</si>
  <si>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</si>
  <si>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</si>
  <si>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</si>
  <si>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</si>
  <si>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</si>
  <si>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</si>
  <si>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</si>
  <si>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</si>
  <si>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</si>
  <si>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</si>
  <si>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</si>
  <si>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</si>
  <si>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</si>
  <si>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</si>
  <si>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</si>
  <si>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</si>
  <si>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</si>
  <si>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</si>
  <si>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</si>
  <si>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</si>
  <si>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</si>
  <si>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</si>
  <si>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</si>
  <si>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</si>
  <si>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</si>
  <si>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</si>
  <si>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</si>
  <si>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</si>
  <si>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</si>
  <si>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</si>
  <si>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</si>
  <si>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</si>
  <si>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</si>
  <si>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</si>
  <si>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</si>
  <si>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</si>
  <si>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</si>
  <si>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</si>
  <si>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</si>
  <si>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</si>
  <si>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</si>
  <si>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</si>
  <si>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</si>
  <si>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</si>
  <si>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</si>
  <si>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</si>
  <si>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</si>
  <si>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</si>
  <si>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</si>
  <si>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</si>
  <si>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</si>
  <si>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</si>
  <si>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</si>
  <si>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</si>
  <si>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</si>
  <si>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</si>
  <si>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</si>
  <si>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</si>
  <si>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</si>
  <si>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</si>
  <si>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</si>
  <si>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</si>
  <si>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</si>
  <si>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</si>
  <si>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</si>
  <si>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</si>
  <si>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</si>
  <si>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</si>
  <si>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</si>
  <si>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</si>
  <si>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</si>
  <si>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</si>
  <si>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</si>
  <si>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</si>
  <si>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</si>
  <si>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</si>
  <si>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</si>
  <si>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</si>
  <si>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</si>
  <si>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</si>
  <si>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</si>
  <si>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</si>
  <si>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</si>
  <si>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</si>
  <si>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</si>
  <si>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</si>
  <si>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</si>
  <si>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</si>
  <si>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</si>
  <si>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</si>
  <si>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</si>
  <si>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</si>
  <si>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</si>
  <si>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</si>
  <si>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</si>
  <si>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</si>
  <si>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</si>
  <si>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</si>
  <si>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</si>
  <si>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</si>
  <si>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</si>
  <si>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</si>
  <si>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t>Consigne</t>
  </si>
  <si>
    <t>Tolérance</t>
  </si>
  <si>
    <t>Conformité avec la tolérance basse requise</t>
  </si>
  <si>
    <t>Conformité avec la tolérance haute requise</t>
  </si>
  <si>
    <t>Conformité avec la tolérance requise sur la moyenne</t>
  </si>
  <si>
    <t>Tus du Congélateur</t>
  </si>
  <si>
    <t>Tus de l'étuve DOVER</t>
  </si>
  <si>
    <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</si>
  <si>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</si>
  <si>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</si>
  <si>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</si>
  <si>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</si>
  <si>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</si>
  <si>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</si>
  <si>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</si>
  <si>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</si>
  <si>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</si>
  <si>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</si>
  <si>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</si>
  <si>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</si>
  <si>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</si>
  <si>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</si>
  <si>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</si>
  <si>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</si>
  <si>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</si>
  <si>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</si>
  <si>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</si>
  <si>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</si>
  <si>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</si>
  <si>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</si>
  <si>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</si>
  <si>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</si>
  <si>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</si>
  <si>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</si>
  <si>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</si>
  <si>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</si>
  <si>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</si>
  <si>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</si>
  <si>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</si>
  <si>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</si>
  <si>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t>Étuve séchoir</t>
  </si>
  <si>
    <t xml:space="preserve">
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à 50 
                                  - 1 zone de chauffe
                                  - Instrumentation type C, soit 1 thermocouple de régulation
                                  - Traitement de pièces </t>
  </si>
  <si>
    <t>Tus de l'étuve Séchoir</t>
  </si>
  <si>
    <t>Consigne 1</t>
  </si>
  <si>
    <t>Consigne 2</t>
  </si>
  <si>
    <t>Consigne 3</t>
  </si>
  <si>
    <t>6. Résultats et exploitation des résultats à 50°C</t>
  </si>
  <si>
    <r>
      <t xml:space="preserve">Le Séchoir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</si>
  <si>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5. Implantation des thermocouples dans le séchoir</t>
  </si>
  <si>
    <t>Tus de l'étuve OMIA LV</t>
  </si>
  <si>
    <t>TUS de l'étuve Ressuage BCH</t>
  </si>
  <si>
    <t>Temps avant maintien</t>
  </si>
  <si>
    <t>VERIFICATION PERIODIQUE DES CHAINES PYROMETRIQUES CABINE DE RESSUAGE</t>
  </si>
  <si>
    <t>AFIN DE VERIFIER LES CHAINES PYROMETRIQUES DE LA CABINE DE RESSUAGE, IL FAUT PLACER UNE SONDE TEST AU PLUS PRES DE LA SONDE DE TRAVAIL.</t>
  </si>
  <si>
    <t>LES MESURES DOIVENT ETRE FAITES LORSQUE LA TEMPERATURE DE LA CABINE DE RESSUAGE EST STABILISEE.</t>
  </si>
  <si>
    <t>LA VERIFICATION SE FAIT SUR 1 CHAINE PYROMETRIQUE DE LA CABINE RESSUAGE</t>
  </si>
  <si>
    <t>Appareil de lecture :</t>
  </si>
  <si>
    <t>Enregistreur Portable 6100</t>
  </si>
  <si>
    <t>N° de série</t>
  </si>
  <si>
    <t>Instrementation sur la cabine de ressuage</t>
  </si>
  <si>
    <t>Designation</t>
  </si>
  <si>
    <t>N°Serie</t>
  </si>
  <si>
    <t>Regulateur</t>
  </si>
  <si>
    <t>Sonde de régulation</t>
  </si>
  <si>
    <r>
      <t xml:space="preserve">Facteur de correction de l'appreil en °C </t>
    </r>
    <r>
      <rPr>
        <b/>
        <sz val="12"/>
        <rFont val="Calibri"/>
        <family val="2"/>
        <scheme val="minor"/>
      </rPr>
      <t>(F)</t>
    </r>
  </si>
  <si>
    <r>
      <t xml:space="preserve">Facteur de correction de l'appreil en °C </t>
    </r>
    <r>
      <rPr>
        <b/>
        <sz val="12"/>
        <rFont val="Calibri"/>
        <family val="2"/>
        <scheme val="minor"/>
      </rPr>
      <t>(E)</t>
    </r>
  </si>
  <si>
    <r>
      <t>FACTEUR DE CORRECTION/OFFSET DE L'INSTRUMENT EN °C :</t>
    </r>
    <r>
      <rPr>
        <b/>
        <sz val="11"/>
        <color theme="1"/>
        <rFont val="Calibri"/>
        <family val="2"/>
        <scheme val="minor"/>
      </rPr>
      <t xml:space="preserve"> (B)</t>
    </r>
  </si>
  <si>
    <t>Facteur de correction / OFFSET
de l'instrument en °C</t>
  </si>
  <si>
    <t>Régulation du groupe froid de devant</t>
  </si>
  <si>
    <t>Nom</t>
  </si>
  <si>
    <t>Sonde Test</t>
  </si>
  <si>
    <r>
      <t>Lecture de l'appareil en °C :</t>
    </r>
    <r>
      <rPr>
        <b/>
        <sz val="12"/>
        <rFont val="Calibri"/>
        <family val="2"/>
        <scheme val="minor"/>
      </rPr>
      <t xml:space="preserve"> (D)</t>
    </r>
  </si>
  <si>
    <r>
      <t xml:space="preserve">Lecture de l'appareil corrige en °C :
</t>
    </r>
    <r>
      <rPr>
        <b/>
        <sz val="12"/>
        <rFont val="Calibri"/>
        <family val="2"/>
        <scheme val="minor"/>
      </rPr>
      <t>(G) = (D+E+F)</t>
    </r>
  </si>
  <si>
    <t>Lecture de l'instrument en °C : (A)</t>
  </si>
  <si>
    <t>CONFORMITÉ</t>
  </si>
  <si>
    <r>
      <t xml:space="preserve">Lecture de l'instrument CORRIGE EN °C :
</t>
    </r>
    <r>
      <rPr>
        <b/>
        <sz val="12"/>
        <rFont val="Calibri"/>
        <family val="2"/>
        <scheme val="minor"/>
      </rPr>
      <t>(C) = (A + B)</t>
    </r>
  </si>
  <si>
    <r>
      <t xml:space="preserve">Ecart en °C : </t>
    </r>
    <r>
      <rPr>
        <b/>
        <sz val="12"/>
        <rFont val="Calibri"/>
        <family val="2"/>
        <scheme val="minor"/>
      </rPr>
      <t>(C - G)</t>
    </r>
  </si>
  <si>
    <t>RAPPORT D'HOMOGENEITE (T.U.S.) FREGATE AERO CABINE DE RESSUAGE</t>
  </si>
  <si>
    <t xml:space="preserve">
Ce rapport présente les résultats et les conclusions de l’essai du contrôle d’homogénéité thermique de la cabine de ressuage situé à BEAUCHASTEL
Pour la réalisation de cet essai, l’exploitation des enregistrements et l’interprétation des résultats, nous avons appliqué les recommandations des référentiels suivants :
</t>
  </si>
  <si>
    <t>Type : Cabine de ressuage</t>
  </si>
  <si>
    <t>Marque : Omia</t>
  </si>
  <si>
    <t>Identification interne : Cabine de ressuage</t>
  </si>
  <si>
    <t>5. Implantation des thermocouples dans la cabine de ressuage</t>
  </si>
  <si>
    <t>Conformité avec la tolérance requise minimale</t>
  </si>
  <si>
    <t>Conformité avec la tolérance requise maximale</t>
  </si>
  <si>
    <r>
      <t xml:space="preserve">La cabine de ressuage BEAUCHASTEL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</si>
  <si>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La sonde du régulateur est sité a l'entré de la cabine de ressuage</t>
  </si>
  <si>
    <t>Identification fabricant : ?</t>
  </si>
  <si>
    <t>La cabine de ressuage dispose de 1 sonde de température résidentes.</t>
  </si>
  <si>
    <t>Volume intérieur : ?</t>
  </si>
  <si>
    <t>Dimensions utiles de la cabine de ressuage (L*P*H) : ?</t>
  </si>
  <si>
    <t>Dimensions intérieures de la cabine de ressuage (L*P*H) : ?</t>
  </si>
  <si>
    <t>Volume utile : ?</t>
  </si>
  <si>
    <t>Veuillez choisir une TUS</t>
  </si>
  <si>
    <t>15. Conclusion</t>
  </si>
  <si>
    <t>TUS du Four 1</t>
  </si>
  <si>
    <t>HOMOGENEITE MINI</t>
  </si>
  <si>
    <t>HOMOGENEITE MAXI</t>
  </si>
  <si>
    <t>Ecart typ 30</t>
  </si>
  <si>
    <t>N° TC</t>
  </si>
  <si>
    <t>Maintien en température</t>
  </si>
  <si>
    <t>Montée en température</t>
  </si>
  <si>
    <t>T ambiante</t>
  </si>
  <si>
    <t>Valeurs brutes</t>
  </si>
  <si>
    <t>RAPPORT D'HOMOGENEITE (T.U.S.) FREGATE AERO FOUR THERMIDOR N°4998</t>
  </si>
  <si>
    <t xml:space="preserve">Date de la vérification : </t>
  </si>
  <si>
    <t>Périodicité de contrôle:</t>
  </si>
  <si>
    <t>Trimestriel</t>
  </si>
  <si>
    <t>Vérifié par:</t>
  </si>
  <si>
    <t>Site:</t>
  </si>
  <si>
    <t>TUS initial ou périodique :</t>
  </si>
  <si>
    <t>Date d'émission du PV:</t>
  </si>
  <si>
    <t>Rédacteur:</t>
  </si>
  <si>
    <r>
      <rPr>
        <u/>
        <sz val="14"/>
        <color rgb="FF000000"/>
        <rFont val="Calibri"/>
        <family val="2"/>
        <scheme val="minor"/>
      </rPr>
      <t>1 - Objet</t>
    </r>
    <r>
      <rPr>
        <sz val="12"/>
        <color rgb="FF000000"/>
        <rFont val="Calibri"/>
        <family val="2"/>
        <scheme val="minor"/>
      </rPr>
      <t xml:space="preserve">
Ce rapport présente les résultats et les conclusions de l’essai du contrôle d’homogénéité thermique du four THERMIDOR N°4998.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3°C) de 80 à 200°C et Classe 2 (± 5°C) de 201 à 535°C
                                  - 1 zone de chauffe
                                  - Instrumentation type C, soit 1 thermocouple de régulation, 1 thermocouple point chaud + sécurité process et 1 thermocouple point froid. Ces 3 thermocouples sont enregistrés.
                                  - Traitement de pièces 
</t>
    </r>
  </si>
  <si>
    <t>Four ventilé</t>
  </si>
  <si>
    <t xml:space="preserve">3504 - EUROTHERM  </t>
  </si>
  <si>
    <t>THERMIDOR</t>
  </si>
  <si>
    <t>3208 - EUROTHERM</t>
  </si>
  <si>
    <t>FOUR THERMIDOR</t>
  </si>
  <si>
    <t>6100 - EUROTHERM</t>
  </si>
  <si>
    <t>PR 4998</t>
  </si>
  <si>
    <t>80°C à 535°C</t>
  </si>
  <si>
    <t>72KW</t>
  </si>
  <si>
    <t>Le four possède 3 thermocouples résidents qui sont enregistrés :</t>
  </si>
  <si>
    <t xml:space="preserve"> - 1 TC POINT FROID TYPE N </t>
  </si>
  <si>
    <t xml:space="preserve"> - 1 TC POINT CHAUD TYPE N </t>
  </si>
  <si>
    <t>Le thermocouple POINT CHAUD remplit également la fonction de thermocouple de sécurité.</t>
  </si>
  <si>
    <t>3-Désignation du matériel de vérification</t>
  </si>
  <si>
    <t xml:space="preserve">A- Thermocouples </t>
  </si>
  <si>
    <t xml:space="preserve">B- Enregistreur </t>
  </si>
  <si>
    <t>N</t>
  </si>
  <si>
    <t>Marque:</t>
  </si>
  <si>
    <t>Eurotherm</t>
  </si>
  <si>
    <t>Diamètre:</t>
  </si>
  <si>
    <t>1,5mm</t>
  </si>
  <si>
    <t>Modèle:</t>
  </si>
  <si>
    <t>Longueur :</t>
  </si>
  <si>
    <t>5000mm</t>
  </si>
  <si>
    <t>N°série:</t>
  </si>
  <si>
    <t>Nombre de thermocouples:</t>
  </si>
  <si>
    <t>N°de CC:</t>
  </si>
  <si>
    <t>sondes TUS</t>
  </si>
  <si>
    <t>Date d'étalonnage:</t>
  </si>
  <si>
    <t>N° de série:</t>
  </si>
  <si>
    <t>Périodicité (mois):</t>
  </si>
  <si>
    <t xml:space="preserve">Fin de validité d'étalonnage: </t>
  </si>
  <si>
    <t>Date de mise en service:</t>
  </si>
  <si>
    <t>Périodicité (mois)</t>
  </si>
  <si>
    <t>Fin de validité:</t>
  </si>
  <si>
    <t>Infomations complémentaires:</t>
  </si>
  <si>
    <t>4- Déroulement de la vérification</t>
  </si>
  <si>
    <t xml:space="preserve">L’enregistreur portable est programmé pour obtenir un enregistrement toutes les 10 secondes des 9 thermocouples de TUS. Les données de l’enregistreur portable ne sont pas corrigées. Les corrections (voie de l’enregistreur + thermocouple) sont appliquées à postériori. 
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
Les valeurs de l’enregistreur du four sont également transférées sur le réseau sous format .uhh puis jointes au même fichier Excel.
Les 9 capteurs de contrôle sont positionnés sur une structure sans charge représentant le volume utile du four à contrôler conformément au schéma de la page suivante.  
Démarrage de la cartographie à température ambiante, enfournage à chaud par le bas du four pour chaque palier de température.
Les fichiers informatiques des données créés par les enregistreurs sous format .uhh ne sont pas modifiables.
</t>
  </si>
  <si>
    <t>5-Implantation des thermocouples dans le four</t>
  </si>
  <si>
    <t>Emplacement</t>
  </si>
  <si>
    <t>N° Connecteur enregistreur</t>
  </si>
  <si>
    <t>N°Thermocouple</t>
  </si>
  <si>
    <t xml:space="preserve">Tolérance </t>
  </si>
  <si>
    <t>Sondes sur le four</t>
  </si>
  <si>
    <t>Offset</t>
  </si>
  <si>
    <t>Régulation</t>
  </si>
  <si>
    <t>Point chaud</t>
  </si>
  <si>
    <t>Heure de début</t>
  </si>
  <si>
    <t>Heure de fin</t>
  </si>
  <si>
    <t>Point froid</t>
  </si>
  <si>
    <t>A- Relevé de mesures de l'installation</t>
  </si>
  <si>
    <t xml:space="preserve">Thermocouple </t>
  </si>
  <si>
    <t>Mesure maximale</t>
  </si>
  <si>
    <t>Mesure Minimum</t>
  </si>
  <si>
    <t xml:space="preserve">Mesure d'équilibre </t>
  </si>
  <si>
    <t>TC Régulation</t>
  </si>
  <si>
    <t>TC Point Chaud</t>
  </si>
  <si>
    <t>TC Point Froid</t>
  </si>
  <si>
    <t>B- Relevés de mesures du matériel de vérification</t>
  </si>
  <si>
    <t xml:space="preserve">Valeur </t>
  </si>
  <si>
    <t>Thermocouple</t>
  </si>
  <si>
    <t>Température de traitement désiré</t>
  </si>
  <si>
    <t>Température maximale à la montée</t>
  </si>
  <si>
    <r>
      <t xml:space="preserve">Température maximale du point chaud 
</t>
    </r>
    <r>
      <rPr>
        <u/>
        <sz val="11"/>
        <color theme="1"/>
        <rFont val="Calibri"/>
        <family val="2"/>
        <scheme val="minor"/>
      </rPr>
      <t>en régime d'équilibre</t>
    </r>
  </si>
  <si>
    <r>
      <t xml:space="preserve">Température minimale du point froid
 </t>
    </r>
    <r>
      <rPr>
        <u/>
        <sz val="11"/>
        <color theme="1"/>
        <rFont val="Calibri"/>
        <family val="2"/>
        <scheme val="minor"/>
      </rPr>
      <t>en régime d'équilibre</t>
    </r>
    <r>
      <rPr>
        <sz val="11"/>
        <color theme="1"/>
        <rFont val="Calibri"/>
        <family val="2"/>
        <scheme val="minor"/>
      </rPr>
      <t xml:space="preserve"> </t>
    </r>
  </si>
  <si>
    <r>
      <t xml:space="preserve">Température moyenne
 </t>
    </r>
    <r>
      <rPr>
        <u/>
        <sz val="11"/>
        <color theme="1"/>
        <rFont val="Calibri"/>
        <family val="2"/>
        <scheme val="minor"/>
      </rPr>
      <t>en régime d'équilibre</t>
    </r>
    <r>
      <rPr>
        <sz val="11"/>
        <color theme="1"/>
        <rFont val="Calibri"/>
        <family val="2"/>
        <scheme val="minor"/>
      </rPr>
      <t xml:space="preserve"> </t>
    </r>
  </si>
  <si>
    <t>C- Relevés corrigés de chaque thermocouples de vérification</t>
  </si>
  <si>
    <t>Connecteur</t>
  </si>
  <si>
    <t xml:space="preserve">Régime d'équilibre </t>
  </si>
  <si>
    <t>Max (°C)</t>
  </si>
  <si>
    <t>Min (°C)</t>
  </si>
  <si>
    <t>Dépassement (°C)</t>
  </si>
  <si>
    <t>1</t>
  </si>
  <si>
    <t>2</t>
  </si>
  <si>
    <t>3</t>
  </si>
  <si>
    <t>4</t>
  </si>
  <si>
    <t>5</t>
  </si>
  <si>
    <t>6</t>
  </si>
  <si>
    <t>7</t>
  </si>
  <si>
    <t>8</t>
  </si>
  <si>
    <t>9</t>
  </si>
  <si>
    <t>D- Courbe</t>
  </si>
  <si>
    <t>E- Conclusion</t>
  </si>
  <si>
    <t>Vérification du dépassement</t>
  </si>
  <si>
    <t>Résultats de l'homogénéité</t>
  </si>
  <si>
    <t>Ecart entre température de consigne et température minimale sonde TUS (°C)</t>
  </si>
  <si>
    <t>Ecart entre température de consigne et température maximale sonde TUS (°C)</t>
  </si>
  <si>
    <t>Homogénéité globale constatée dans le volume utile (°C)</t>
  </si>
  <si>
    <t>Homogénéité requise pour le four de classe1 (°C)</t>
  </si>
  <si>
    <t>Résultat de l'homogénéité à 80°C</t>
  </si>
  <si>
    <t>Vérification des emplacements</t>
  </si>
  <si>
    <t>Condition 1</t>
  </si>
  <si>
    <t>Homogénéité constatée meilleure que la moitié de celle requise</t>
  </si>
  <si>
    <t>Condition 2</t>
  </si>
  <si>
    <t>Différence entre point chaud sonde TUS et point froid sonde four &lt; 1,1°C</t>
  </si>
  <si>
    <t>Différence entre point froid sonde TUS et point chaud sonde four &lt; 1,1°C</t>
  </si>
  <si>
    <t>Relocalisation requise (si aucune des conditions n'est vérifiée)</t>
  </si>
  <si>
    <t>Résultat de l'homogénéité à 200°C</t>
  </si>
  <si>
    <t>Résultat de l'homogénéité à 385°C</t>
  </si>
  <si>
    <t>Différence entre point chaud sonde TUS et point froid sonde four &lt; 1,7°C</t>
  </si>
  <si>
    <t>Différence entre point froid sonde TUS et point chaud sonde four &lt; 1,7°C</t>
  </si>
  <si>
    <t>Ecart entre température de consigne et température minimale sonde TUS</t>
  </si>
  <si>
    <t>Ecart entre température de consigne et température maximale sonde TUS</t>
  </si>
  <si>
    <t>Résultat de l'homogénéité à 535°C</t>
  </si>
  <si>
    <t>Point Froid</t>
  </si>
  <si>
    <t>Point Chaud</t>
  </si>
  <si>
    <t>7- Conclusion</t>
  </si>
  <si>
    <t xml:space="preserve">Température nominale de traitement </t>
  </si>
  <si>
    <t>Température de consigne (°C)</t>
  </si>
  <si>
    <t>Dépassement de la consigne durant la phase de montée ou de maintien en température (°C)</t>
  </si>
  <si>
    <t>Tolérances requises (±°C)</t>
  </si>
  <si>
    <t>Dépassement supérieur à la tolérance maximale</t>
  </si>
  <si>
    <t>Classe de l'installation (suivant AMS 2750)</t>
  </si>
  <si>
    <t>Homogénéité retenue (°C)</t>
  </si>
  <si>
    <t>Relocalisation à 80°C</t>
  </si>
  <si>
    <t>Relocalisation à 200°C</t>
  </si>
  <si>
    <t>Relocalisation à 385°C</t>
  </si>
  <si>
    <t>Relocalisation à 535°C</t>
  </si>
  <si>
    <t>Relocalisation requise</t>
  </si>
  <si>
    <t>Le four</t>
  </si>
  <si>
    <t>est déclaré</t>
  </si>
  <si>
    <t xml:space="preserve">aux tolérances requises de la norme </t>
  </si>
  <si>
    <t>AMS 2750</t>
  </si>
  <si>
    <t>A savoir:</t>
  </si>
  <si>
    <t xml:space="preserve">Classe 1 (+/-3°C) de 80°à 200°C </t>
  </si>
  <si>
    <t>Classe 2 (+/-5°C) de 201 à 535°C</t>
  </si>
  <si>
    <t>En cas de relocalisation point chaud / point froid, des TUS additionnelles doivent être réalisées pour vérifier le nouvel emplacement des points</t>
  </si>
  <si>
    <t>Si une modification d'offset est nécessaire pour atteindre une TUS conforme, une nouvelle TUS doit être faite pour valider l'offset</t>
  </si>
  <si>
    <t xml:space="preserve">Verifié le </t>
  </si>
  <si>
    <t>A vérifier le</t>
  </si>
  <si>
    <t>A RENSEIGNER</t>
  </si>
  <si>
    <t>A VERIFIER si besoin modifier</t>
  </si>
  <si>
    <t>Nom du document complet</t>
  </si>
  <si>
    <t>IMP 472 ind N du 13-10-2023 (PV TUS INTERNE FOUR THERMIDOR)</t>
  </si>
  <si>
    <t>Exemple : IMP 472 ind X du 29-06-2023 (PV TUS INTERNE FOUR THERMIDOR)</t>
  </si>
  <si>
    <t xml:space="preserve">Site </t>
  </si>
  <si>
    <t>La Voulte sur Rhône</t>
  </si>
  <si>
    <t>Date du contrôle</t>
  </si>
  <si>
    <t>Controleur  - Technicien</t>
  </si>
  <si>
    <t xml:space="preserve">Rédacteur </t>
  </si>
  <si>
    <t>TUS initiale ou périodique</t>
  </si>
  <si>
    <t xml:space="preserve">MOYENS DE MESURE </t>
  </si>
  <si>
    <t>Dénomination</t>
  </si>
  <si>
    <t xml:space="preserve">N° de série </t>
  </si>
  <si>
    <t>Certificat de conformité</t>
  </si>
  <si>
    <t xml:space="preserve">Mise en service </t>
  </si>
  <si>
    <t>Si nouveau CC</t>
  </si>
  <si>
    <t>N°</t>
  </si>
  <si>
    <t>DATE</t>
  </si>
  <si>
    <t xml:space="preserve">renseigner les champs </t>
  </si>
  <si>
    <t xml:space="preserve">Eurotherm 6100 portable </t>
  </si>
  <si>
    <t>SONDES TUS</t>
  </si>
  <si>
    <t>Si modification des moyens de mesure ou de production</t>
  </si>
  <si>
    <t>Renseigner si 2 lots différents</t>
  </si>
  <si>
    <t xml:space="preserve"> s'adresser à la qualité</t>
  </si>
  <si>
    <t>TEMPERATURE PALIER (°C)</t>
  </si>
  <si>
    <t xml:space="preserve">OFFSET REGULATEUR </t>
  </si>
  <si>
    <t xml:space="preserve">OFFSET POINT CHAUD </t>
  </si>
  <si>
    <t xml:space="preserve">OFFSET POINT FROID </t>
  </si>
  <si>
    <t>TOLERANCE (± x°)</t>
  </si>
  <si>
    <t>HOMOGENEITE REQUISE</t>
  </si>
  <si>
    <t>Position des Thermocouples</t>
  </si>
  <si>
    <t>Corrections thermocouple selon CC en vigueur</t>
  </si>
  <si>
    <t>Emplacement des connecteurs et thermocouples (cf. schéma ci-dessous)</t>
  </si>
  <si>
    <t>N° connecteur appareil et implantation dans le four</t>
  </si>
  <si>
    <t xml:space="preserve">N° Thermocouple </t>
  </si>
  <si>
    <t>CC en vigueur</t>
  </si>
  <si>
    <t xml:space="preserve">Si nouveau CC </t>
  </si>
  <si>
    <t>renseigner les champs</t>
  </si>
  <si>
    <t>Mettre des virgules et non pas des points</t>
  </si>
  <si>
    <t>Connecteur de l'appareil</t>
  </si>
  <si>
    <t>Corrections Appareil selon CC en vigueur:</t>
  </si>
  <si>
    <t>MOYENS DE PRODUCTION</t>
  </si>
  <si>
    <t>SONDES SUR LE FOUR : THERMOCOUPLE TYPE N</t>
  </si>
  <si>
    <t>- REGULATION</t>
  </si>
  <si>
    <t>JO1854/1C</t>
  </si>
  <si>
    <t>27042-1C</t>
  </si>
  <si>
    <t>- POINT CHAUD</t>
  </si>
  <si>
    <t>CF26299-A-001</t>
  </si>
  <si>
    <t>22-1174-001</t>
  </si>
  <si>
    <t>- POINT FROID</t>
  </si>
  <si>
    <t>CF27160-A-001</t>
  </si>
  <si>
    <t>22V1783-001</t>
  </si>
  <si>
    <t>Informations complémentaires</t>
  </si>
  <si>
    <t>(Tus après maintenance, problème de sondes…)</t>
  </si>
  <si>
    <t>Onglet rempli automatiquement via la macro</t>
  </si>
  <si>
    <t>Pt Froid</t>
  </si>
  <si>
    <t>Regulation</t>
  </si>
  <si>
    <t>Pt Chaud</t>
  </si>
  <si>
    <t>Consigne T°</t>
  </si>
  <si>
    <t>Entete ressuage BCH</t>
  </si>
  <si>
    <t>Four Thermidor Efita</t>
  </si>
  <si>
    <t>5.13</t>
  </si>
  <si>
    <t>00:0A:8D:81:3F:CF</t>
  </si>
  <si>
    <t>% Puissance</t>
  </si>
  <si>
    <t>%</t>
  </si>
  <si>
    <t>13/02/2024  00:00</t>
  </si>
  <si>
    <t>13/02/2024  00:01</t>
  </si>
  <si>
    <t>13/02/2024  00:02</t>
  </si>
  <si>
    <t>13/02/2024  00:03</t>
  </si>
  <si>
    <t>13/02/2024  00:04</t>
  </si>
  <si>
    <t>13/02/2024  00:05</t>
  </si>
  <si>
    <t>13/02/2024  00:06</t>
  </si>
  <si>
    <t>13/02/2024  00:07</t>
  </si>
  <si>
    <t>13/02/2024  00:08</t>
  </si>
  <si>
    <t>13/02/2024  00:09</t>
  </si>
  <si>
    <t>13/02/2024  00:10</t>
  </si>
  <si>
    <t>13/02/2024  00:11</t>
  </si>
  <si>
    <t>13/02/2024  00:12</t>
  </si>
  <si>
    <t>13/02/2024  00:13</t>
  </si>
  <si>
    <t>13/02/2024  00:14</t>
  </si>
  <si>
    <t>13/02/2024  00:15</t>
  </si>
  <si>
    <t>13/02/2024  00:16</t>
  </si>
  <si>
    <t>13/02/2024  00:17</t>
  </si>
  <si>
    <t>13/02/2024  00:18</t>
  </si>
  <si>
    <t>13/02/2024  00:19</t>
  </si>
  <si>
    <t>13/02/2024  00:20</t>
  </si>
  <si>
    <t>13/02/2024  00:21</t>
  </si>
  <si>
    <t>13/02/2024  00:22</t>
  </si>
  <si>
    <t>13/02/2024  00:23</t>
  </si>
  <si>
    <t>13/02/2024  00:24</t>
  </si>
  <si>
    <t>13/02/2024  00:25</t>
  </si>
  <si>
    <t>13/02/2024  00:26</t>
  </si>
  <si>
    <t>13/02/2024  00:27</t>
  </si>
  <si>
    <t>13/02/2024  00:28</t>
  </si>
  <si>
    <t>13/02/2024  00:29</t>
  </si>
  <si>
    <t>13/02/2024  00:30</t>
  </si>
  <si>
    <t>13/02/2024  00:31</t>
  </si>
  <si>
    <t>13/02/2024  00:32</t>
  </si>
  <si>
    <t>13/02/2024  00:33</t>
  </si>
  <si>
    <t>13/02/2024  00:34</t>
  </si>
  <si>
    <t>13/02/2024  00:35</t>
  </si>
  <si>
    <t>13/02/2024  00:36</t>
  </si>
  <si>
    <t>13/02/2024  00:37</t>
  </si>
  <si>
    <t>13/02/2024  00:38</t>
  </si>
  <si>
    <t>13/02/2024  00:39</t>
  </si>
  <si>
    <t>13/02/2024  00:40</t>
  </si>
  <si>
    <t>13/02/2024  00:41</t>
  </si>
  <si>
    <t>13/02/2024  00:42</t>
  </si>
  <si>
    <t>13/02/2024  00:43</t>
  </si>
  <si>
    <t>13/02/2024  00:44</t>
  </si>
  <si>
    <t>13/02/2024  00:45</t>
  </si>
  <si>
    <t>13/02/2024  00:46</t>
  </si>
  <si>
    <t>13/02/2024  00:47</t>
  </si>
  <si>
    <t>13/02/2024  00:48</t>
  </si>
  <si>
    <t>13/02/2024  00:49</t>
  </si>
  <si>
    <t>13/02/2024  00:50</t>
  </si>
  <si>
    <t>13/02/2024  00:51</t>
  </si>
  <si>
    <t>13/02/2024  00:52</t>
  </si>
  <si>
    <t>13/02/2024  00:53</t>
  </si>
  <si>
    <t>13/02/2024  00:54</t>
  </si>
  <si>
    <t>13/02/2024  00:55</t>
  </si>
  <si>
    <t>13/02/2024  00:56</t>
  </si>
  <si>
    <t>13/02/2024  00:57</t>
  </si>
  <si>
    <t>13/02/2024  00:58</t>
  </si>
  <si>
    <t>13/02/2024  00:59</t>
  </si>
  <si>
    <t>13/02/2024  01:00</t>
  </si>
  <si>
    <t>13/02/2024  01:01</t>
  </si>
  <si>
    <t>13/02/2024  01:02</t>
  </si>
  <si>
    <t>13/02/2024  01:03</t>
  </si>
  <si>
    <t>13/02/2024  01:04</t>
  </si>
  <si>
    <t>13/02/2024  01:05</t>
  </si>
  <si>
    <t>13/02/2024  01:06</t>
  </si>
  <si>
    <t>13/02/2024  01:07</t>
  </si>
  <si>
    <t>13/02/2024  01:08</t>
  </si>
  <si>
    <t>13/02/2024  01:09</t>
  </si>
  <si>
    <t>13/02/2024  01:10</t>
  </si>
  <si>
    <t>13/02/2024  01:11</t>
  </si>
  <si>
    <t>13/02/2024  01:12</t>
  </si>
  <si>
    <t>13/02/2024  01:13</t>
  </si>
  <si>
    <t>13/02/2024  01:14</t>
  </si>
  <si>
    <t>13/02/2024  01:15</t>
  </si>
  <si>
    <t>13/02/2024  01:16</t>
  </si>
  <si>
    <t>13/02/2024  01:17</t>
  </si>
  <si>
    <t>13/02/2024  01:18</t>
  </si>
  <si>
    <t>13/02/2024  01:19</t>
  </si>
  <si>
    <t>13/02/2024  01:20</t>
  </si>
  <si>
    <t>13/02/2024  01:21</t>
  </si>
  <si>
    <t>13/02/2024  01:22</t>
  </si>
  <si>
    <t>13/02/2024  01:23</t>
  </si>
  <si>
    <t>13/02/2024  01:24</t>
  </si>
  <si>
    <t>13/02/2024  01:25</t>
  </si>
  <si>
    <t>13/02/2024  01:26</t>
  </si>
  <si>
    <t>13/02/2024  01:27</t>
  </si>
  <si>
    <t>13/02/2024  01:28</t>
  </si>
  <si>
    <t>13/02/2024  01:29</t>
  </si>
  <si>
    <t>13/02/2024  01:30</t>
  </si>
  <si>
    <t>13/02/2024  01:31</t>
  </si>
  <si>
    <t>13/02/2024  01:32</t>
  </si>
  <si>
    <t>13/02/2024  01:33</t>
  </si>
  <si>
    <t>13/02/2024  01:34</t>
  </si>
  <si>
    <t>13/02/2024  01:35</t>
  </si>
  <si>
    <t>13/02/2024  01:36</t>
  </si>
  <si>
    <t>13/02/2024  01:37</t>
  </si>
  <si>
    <t>13/02/2024  01:38</t>
  </si>
  <si>
    <t>13/02/2024  01:39</t>
  </si>
  <si>
    <t>13/02/2024  01:40</t>
  </si>
  <si>
    <t>13/02/2024  01:41</t>
  </si>
  <si>
    <t>13/02/2024  01:42</t>
  </si>
  <si>
    <t>13/02/2024  01:43</t>
  </si>
  <si>
    <t>13/02/2024  01:44</t>
  </si>
  <si>
    <t>13/02/2024  01:45</t>
  </si>
  <si>
    <t>13/02/2024  01:46</t>
  </si>
  <si>
    <t>13/02/2024  01:47</t>
  </si>
  <si>
    <t>13/02/2024  01:48</t>
  </si>
  <si>
    <t>13/02/2024  01:49</t>
  </si>
  <si>
    <t>13/02/2024  01:50</t>
  </si>
  <si>
    <t>13/02/2024  01:51</t>
  </si>
  <si>
    <t>13/02/2024  01:52</t>
  </si>
  <si>
    <t>13/02/2024  01:53</t>
  </si>
  <si>
    <t>13/02/2024  01:54</t>
  </si>
  <si>
    <t>13/02/2024  01:55</t>
  </si>
  <si>
    <t>13/02/2024  01:56</t>
  </si>
  <si>
    <t>13/02/2024  01:57</t>
  </si>
  <si>
    <t>13/02/2024  01:58</t>
  </si>
  <si>
    <t>13/02/2024  01:59</t>
  </si>
  <si>
    <t>13/02/2024  02:00</t>
  </si>
  <si>
    <t>13/02/2024  02:01</t>
  </si>
  <si>
    <t>13/02/2024  02:02</t>
  </si>
  <si>
    <t>13/02/2024  02:03</t>
  </si>
  <si>
    <t>13/02/2024  02:04</t>
  </si>
  <si>
    <t>13/02/2024  02:05</t>
  </si>
  <si>
    <t>13/02/2024  02:06</t>
  </si>
  <si>
    <t>13/02/2024  02:07</t>
  </si>
  <si>
    <t>13/02/2024  02:08</t>
  </si>
  <si>
    <t>13/02/2024  02:09</t>
  </si>
  <si>
    <t>13/02/2024  02:10</t>
  </si>
  <si>
    <t>13/02/2024  02:11</t>
  </si>
  <si>
    <t>13/02/2024  02:12</t>
  </si>
  <si>
    <t>13/02/2024  02:13</t>
  </si>
  <si>
    <t>13/02/2024  02:14</t>
  </si>
  <si>
    <t>13/02/2024  02:15</t>
  </si>
  <si>
    <t>13/02/2024  02:16</t>
  </si>
  <si>
    <t>13/02/2024  02:17</t>
  </si>
  <si>
    <t>13/02/2024  02:18</t>
  </si>
  <si>
    <t>13/02/2024  02:19</t>
  </si>
  <si>
    <t>13/02/2024  02:20</t>
  </si>
  <si>
    <t>13/02/2024  02:21</t>
  </si>
  <si>
    <t>13/02/2024  02:22</t>
  </si>
  <si>
    <t>13/02/2024  02:23</t>
  </si>
  <si>
    <t>13/02/2024  02:24</t>
  </si>
  <si>
    <t>13/02/2024  02:25</t>
  </si>
  <si>
    <t>13/02/2024  02:26</t>
  </si>
  <si>
    <t>13/02/2024  02:27</t>
  </si>
  <si>
    <t>13/02/2024  02:28</t>
  </si>
  <si>
    <t>13/02/2024  02:29</t>
  </si>
  <si>
    <t>13/02/2024  02:30</t>
  </si>
  <si>
    <t>13/02/2024  02:31</t>
  </si>
  <si>
    <t>13/02/2024  02:32</t>
  </si>
  <si>
    <t>13/02/2024  02:33</t>
  </si>
  <si>
    <t>13/02/2024  02:34</t>
  </si>
  <si>
    <t>13/02/2024  02:35</t>
  </si>
  <si>
    <t>13/02/2024  02:36</t>
  </si>
  <si>
    <t>13/02/2024  02:37</t>
  </si>
  <si>
    <t>13/02/2024  02:38</t>
  </si>
  <si>
    <t>13/02/2024  02:39</t>
  </si>
  <si>
    <t>13/02/2024  02:40</t>
  </si>
  <si>
    <t>13/02/2024  02:41</t>
  </si>
  <si>
    <t>13/02/2024  02:42</t>
  </si>
  <si>
    <t>13/02/2024  02:43</t>
  </si>
  <si>
    <t>13/02/2024  02:44</t>
  </si>
  <si>
    <t>13/02/2024  02:45</t>
  </si>
  <si>
    <t>13/02/2024  02:46</t>
  </si>
  <si>
    <t>13/02/2024  02:47</t>
  </si>
  <si>
    <t>13/02/2024  02:48</t>
  </si>
  <si>
    <t>13/02/2024  02:49</t>
  </si>
  <si>
    <t>13/02/2024  02:50</t>
  </si>
  <si>
    <t>13/02/2024  02:51</t>
  </si>
  <si>
    <t>13/02/2024  02:52</t>
  </si>
  <si>
    <t>13/02/2024  02:53</t>
  </si>
  <si>
    <t>13/02/2024  02:54</t>
  </si>
  <si>
    <t>13/02/2024  02:55</t>
  </si>
  <si>
    <t>13/02/2024  02:56</t>
  </si>
  <si>
    <t>13/02/2024  02:57</t>
  </si>
  <si>
    <t>13/02/2024  02:58</t>
  </si>
  <si>
    <t>13/02/2024  02:59</t>
  </si>
  <si>
    <t>13/02/2024  03:13</t>
  </si>
  <si>
    <t>13/02/2024  03:14</t>
  </si>
  <si>
    <t>13/02/2024  03:15</t>
  </si>
  <si>
    <t>13/02/2024  03:16</t>
  </si>
  <si>
    <t>13/02/2024  03:17</t>
  </si>
  <si>
    <t>13/02/2024  03:18</t>
  </si>
  <si>
    <t>13/02/2024  03:19</t>
  </si>
  <si>
    <t>13/02/2024  03:20</t>
  </si>
  <si>
    <t>13/02/2024  03:21</t>
  </si>
  <si>
    <t>13/02/2024  03:22</t>
  </si>
  <si>
    <t>13/02/2024  03:23</t>
  </si>
  <si>
    <t>13/02/2024  03:24</t>
  </si>
  <si>
    <t>13/02/2024  03:25</t>
  </si>
  <si>
    <t>13/02/2024  03:26</t>
  </si>
  <si>
    <t>13/02/2024  03:27</t>
  </si>
  <si>
    <t>13/02/2024  03:28</t>
  </si>
  <si>
    <t>13/02/2024  03:29</t>
  </si>
  <si>
    <t>13/02/2024  03:30</t>
  </si>
  <si>
    <t>13/02/2024  03:31</t>
  </si>
  <si>
    <t>13/02/2024  03:32</t>
  </si>
  <si>
    <t>13/02/2024  03:33</t>
  </si>
  <si>
    <t>13/02/2024  03:34</t>
  </si>
  <si>
    <t>13/02/2024  03:35</t>
  </si>
  <si>
    <t>13/02/2024  03:36</t>
  </si>
  <si>
    <t>13/02/2024  03:37</t>
  </si>
  <si>
    <t>13/02/2024  03:38</t>
  </si>
  <si>
    <t>13/02/2024  03:39</t>
  </si>
  <si>
    <t>13/02/2024  03:40</t>
  </si>
  <si>
    <t>13/02/2024  03:41</t>
  </si>
  <si>
    <t>13/02/2024  03:42</t>
  </si>
  <si>
    <t>13/02/2024  03:43</t>
  </si>
  <si>
    <t>13/02/2024  03:44</t>
  </si>
  <si>
    <t>13/02/2024  03:45</t>
  </si>
  <si>
    <t>13/02/2024  03:46</t>
  </si>
  <si>
    <t>13/02/2024  03:47</t>
  </si>
  <si>
    <t>13/02/2024  03:48</t>
  </si>
  <si>
    <t>13/02/2024  03:49</t>
  </si>
  <si>
    <t>13/02/2024  03:50</t>
  </si>
  <si>
    <t>13/02/2024  03:51</t>
  </si>
  <si>
    <t>13/02/2024  03:52</t>
  </si>
  <si>
    <t>13/02/2024  03:53</t>
  </si>
  <si>
    <t>13/02/2024  03:54</t>
  </si>
  <si>
    <t>13/02/2024  03:55</t>
  </si>
  <si>
    <t>13/02/2024  03:56</t>
  </si>
  <si>
    <t>13/02/2024  03:57</t>
  </si>
  <si>
    <t>13/02/2024  03:58</t>
  </si>
  <si>
    <t>13/02/2024  03:59</t>
  </si>
  <si>
    <t>13/02/2024  04:00</t>
  </si>
  <si>
    <t>13/02/2024  04:01</t>
  </si>
  <si>
    <t>13/02/2024  04:02</t>
  </si>
  <si>
    <t>13/02/2024  04:03</t>
  </si>
  <si>
    <t>13/02/2024  04:04</t>
  </si>
  <si>
    <t>13/02/2024  04:05</t>
  </si>
  <si>
    <t>13/02/2024  04:06</t>
  </si>
  <si>
    <t>13/02/2024  04:07</t>
  </si>
  <si>
    <t>13/02/2024  04:08</t>
  </si>
  <si>
    <t>13/02/2024  04:09</t>
  </si>
  <si>
    <t>13/02/2024  04:10</t>
  </si>
  <si>
    <t>13/02/2024  04:11</t>
  </si>
  <si>
    <t>13/02/2024  04:12</t>
  </si>
  <si>
    <t>13/02/2024  04:13</t>
  </si>
  <si>
    <t>13/02/2024  04:14</t>
  </si>
  <si>
    <t>13/02/2024  04:15</t>
  </si>
  <si>
    <t>13/02/2024  04:16</t>
  </si>
  <si>
    <t>13/02/2024  04:17</t>
  </si>
  <si>
    <t>13/02/2024  04:18</t>
  </si>
  <si>
    <t>13/02/2024  04:19</t>
  </si>
  <si>
    <t>13/02/2024  04:20</t>
  </si>
  <si>
    <t>13/02/2024  04:21</t>
  </si>
  <si>
    <t>13/02/2024  04:22</t>
  </si>
  <si>
    <t>13/02/2024  04:23</t>
  </si>
  <si>
    <t>13/02/2024  04:24</t>
  </si>
  <si>
    <t>13/02/2024  04:25</t>
  </si>
  <si>
    <t>13/02/2024  04:26</t>
  </si>
  <si>
    <t>13/02/2024  04:27</t>
  </si>
  <si>
    <t>13/02/2024  04:28</t>
  </si>
  <si>
    <t>13/02/2024  04:29</t>
  </si>
  <si>
    <t>13/02/2024  04:30</t>
  </si>
  <si>
    <t>13/02/2024  04:31</t>
  </si>
  <si>
    <t>13/02/2024  04:32</t>
  </si>
  <si>
    <t>13/02/2024  04:33</t>
  </si>
  <si>
    <t>13/02/2024  04:34</t>
  </si>
  <si>
    <t>13/02/2024  04:35</t>
  </si>
  <si>
    <t>13/02/2024  04:36</t>
  </si>
  <si>
    <t>13/02/2024  04:37</t>
  </si>
  <si>
    <t>13/02/2024  04:38</t>
  </si>
  <si>
    <t>13/02/2024  04:39</t>
  </si>
  <si>
    <t>13/02/2024  04:40</t>
  </si>
  <si>
    <t>13/02/2024  04:41</t>
  </si>
  <si>
    <t>13/02/2024  04:42</t>
  </si>
  <si>
    <t>13/02/2024  04:43</t>
  </si>
  <si>
    <t>13/02/2024  04:44</t>
  </si>
  <si>
    <t>13/02/2024  04:45</t>
  </si>
  <si>
    <t>13/02/2024  04:46</t>
  </si>
  <si>
    <t>13/02/2024  04:47</t>
  </si>
  <si>
    <t>13/02/2024  04:48</t>
  </si>
  <si>
    <t>13/02/2024  04:49</t>
  </si>
  <si>
    <t>13/02/2024  05:25</t>
  </si>
  <si>
    <t>13/02/2024  05:26</t>
  </si>
  <si>
    <t>13/02/2024  05:27</t>
  </si>
  <si>
    <t>13/02/2024  05:28</t>
  </si>
  <si>
    <t>13/02/2024  05:29</t>
  </si>
  <si>
    <t>13/02/2024  05:30</t>
  </si>
  <si>
    <t>13/02/2024  05:31</t>
  </si>
  <si>
    <t>13/02/2024  05:32</t>
  </si>
  <si>
    <t>13/02/2024  05:33</t>
  </si>
  <si>
    <t>13/02/2024  05:34</t>
  </si>
  <si>
    <t>13/02/2024  05:35</t>
  </si>
  <si>
    <t>13/02/2024  05:36</t>
  </si>
  <si>
    <t>13/02/2024  05:37</t>
  </si>
  <si>
    <t>13/02/2024  05:38</t>
  </si>
  <si>
    <t>13/02/2024  05:39</t>
  </si>
  <si>
    <t>13/02/2024  05:40</t>
  </si>
  <si>
    <t>13/02/2024  05:41</t>
  </si>
  <si>
    <t>13/02/2024  05:42</t>
  </si>
  <si>
    <t>13/02/2024  05:43</t>
  </si>
  <si>
    <t>13/02/2024  05:44</t>
  </si>
  <si>
    <t>13/02/2024  05:45</t>
  </si>
  <si>
    <t>13/02/2024  05:46</t>
  </si>
  <si>
    <t>13/02/2024  05:47</t>
  </si>
  <si>
    <t>13/02/2024  05:48</t>
  </si>
  <si>
    <t>13/02/2024  05:49</t>
  </si>
  <si>
    <t>13/02/2024  05:50</t>
  </si>
  <si>
    <t>13/02/2024  05:51</t>
  </si>
  <si>
    <t>13/02/2024  05:52</t>
  </si>
  <si>
    <t>13/02/2024  05:53</t>
  </si>
  <si>
    <t>13/02/2024  05:54</t>
  </si>
  <si>
    <t>13/02/2024  05:55</t>
  </si>
  <si>
    <t>13/02/2024  05:56</t>
  </si>
  <si>
    <t>13/02/2024  05:57</t>
  </si>
  <si>
    <t>13/02/2024  05:58</t>
  </si>
  <si>
    <t>13/02/2024  05:59</t>
  </si>
  <si>
    <t>13/02/2024  06:00</t>
  </si>
  <si>
    <t>13/02/2024  06:01</t>
  </si>
  <si>
    <t>13/02/2024  06:02</t>
  </si>
  <si>
    <t>13/02/2024  06:03</t>
  </si>
  <si>
    <t>13/02/2024  06:04</t>
  </si>
  <si>
    <t>13/02/2024  06:05</t>
  </si>
  <si>
    <t>13/02/2024  06:06</t>
  </si>
  <si>
    <t>13/02/2024  06:07</t>
  </si>
  <si>
    <t>13/02/2024  06:08</t>
  </si>
  <si>
    <t>13/02/2024  06:09</t>
  </si>
  <si>
    <t>13/02/2024  06:10</t>
  </si>
  <si>
    <t>13/02/2024  06:11</t>
  </si>
  <si>
    <t>13/02/2024  06:12</t>
  </si>
  <si>
    <t>13/02/2024  06:13</t>
  </si>
  <si>
    <t>13/02/2024  06:14</t>
  </si>
  <si>
    <t>13/02/2024  06:15</t>
  </si>
  <si>
    <t>13/02/2024  06:16</t>
  </si>
  <si>
    <t>13/02/2024  06:17</t>
  </si>
  <si>
    <t>13/02/2024  06:18</t>
  </si>
  <si>
    <t>13/02/2024  06:19</t>
  </si>
  <si>
    <t>13/02/2024  06:20</t>
  </si>
  <si>
    <t>13/02/2024  06:21</t>
  </si>
  <si>
    <t>13/02/2024  06:22</t>
  </si>
  <si>
    <t>13/02/2024  06:23</t>
  </si>
  <si>
    <t>13/02/2024  06:24</t>
  </si>
  <si>
    <t>13/02/2024  07:00</t>
  </si>
  <si>
    <t>13/02/2024  07:01</t>
  </si>
  <si>
    <t>13/02/2024  07:02</t>
  </si>
  <si>
    <t>13/02/2024  07:03</t>
  </si>
  <si>
    <t>13/02/2024  07:04</t>
  </si>
  <si>
    <t>13/02/2024  07:05</t>
  </si>
  <si>
    <t>13/02/2024  07:06</t>
  </si>
  <si>
    <t>13/02/2024  07:07</t>
  </si>
  <si>
    <t>13/02/2024  07:08</t>
  </si>
  <si>
    <t>13/02/2024  07:09</t>
  </si>
  <si>
    <t>13/02/2024  07:10</t>
  </si>
  <si>
    <t>13/02/2024  07:11</t>
  </si>
  <si>
    <t>13/02/2024  07:12</t>
  </si>
  <si>
    <t>13/02/2024  07:13</t>
  </si>
  <si>
    <t>13/02/2024  07:14</t>
  </si>
  <si>
    <t>13/02/2024  07:15</t>
  </si>
  <si>
    <t>13/02/2024  07:16</t>
  </si>
  <si>
    <t>13/02/2024  07:17</t>
  </si>
  <si>
    <t>13/02/2024  07:18</t>
  </si>
  <si>
    <t>13/02/2024  07:19</t>
  </si>
  <si>
    <t>13/02/2024  07:20</t>
  </si>
  <si>
    <t>13/02/2024  07:21</t>
  </si>
  <si>
    <t>13/02/2024  07:22</t>
  </si>
  <si>
    <t>13/02/2024  07:23</t>
  </si>
  <si>
    <t>13/02/2024  07:24</t>
  </si>
  <si>
    <t>13/02/2024  07:25</t>
  </si>
  <si>
    <t>13/02/2024  07:26</t>
  </si>
  <si>
    <t>13/02/2024  07:27</t>
  </si>
  <si>
    <t>13/02/2024  07:28</t>
  </si>
  <si>
    <t>13/02/2024  07:29</t>
  </si>
  <si>
    <t>13/02/2024  07:30</t>
  </si>
  <si>
    <t>13/02/2024  07:31</t>
  </si>
  <si>
    <t>13/02/2024  07:32</t>
  </si>
  <si>
    <t>13/02/2024  07:33</t>
  </si>
  <si>
    <t>13/02/2024  07:34</t>
  </si>
  <si>
    <t>13/02/2024  07:35</t>
  </si>
  <si>
    <t>13/02/2024  07:36</t>
  </si>
  <si>
    <t>13/02/2024  07:37</t>
  </si>
  <si>
    <t>13/02/2024  07:38</t>
  </si>
  <si>
    <t>13/02/2024  07:39</t>
  </si>
  <si>
    <t>13/02/2024  07:40</t>
  </si>
  <si>
    <t>13/02/2024  07:41</t>
  </si>
  <si>
    <t>13/02/2024  07:42</t>
  </si>
  <si>
    <t>13/02/2024  07:43</t>
  </si>
  <si>
    <t>13/02/2024  07:44</t>
  </si>
  <si>
    <t>23-1230-001</t>
  </si>
  <si>
    <t>CF31726-A-01 à 09</t>
  </si>
  <si>
    <t>29/09/2023</t>
  </si>
  <si>
    <t>06/02/2024</t>
  </si>
  <si>
    <t>20232711</t>
  </si>
  <si>
    <t>27/11/2023</t>
  </si>
  <si>
    <t xml:space="preserve">BCH </t>
  </si>
  <si>
    <t>EMILIE LAGASSY</t>
  </si>
  <si>
    <t xml:space="preserve">Periodique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</si>
</sst>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F400]h:mm:ss\ AM/PM"/>
    <numFmt numFmtId="165" formatCode="0.0"/>
    <numFmt numFmtId="166" formatCode="d/m/yy\ h:mm;@"/>
    <numFmt numFmtId="167" formatCode="yyyymmdd"/>
    <numFmt numFmtId="168" formatCode="dd/mm/yy;@"/>
  </numFmts>
  <fonts count="66"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
      <sz val="11"/>
      <name val="Calibri"/>
      <family val="2"/>
      <scheme val="minor"/>
    </font>
    <font>
      <sz val="11"/>
      <color rgb="FF000000"/>
      <name val="Calibri"/>
      <family val="2"/>
      <scheme val="minor"/>
    </font>
    <font>
      <sz val="11"/>
      <color theme="0" tint="-0.499984740745262"/>
      <name val="Calibri"/>
      <family val="2"/>
      <scheme val="minor"/>
    </font>
    <font>
      <b/>
      <sz val="11"/>
      <color indexed="8"/>
      <name val="Calibri"/>
      <family val="2"/>
      <scheme val="minor"/>
    </font>
    <font>
      <sz val="11"/>
      <color indexed="8"/>
      <name val="Calibri"/>
      <family val="2"/>
      <scheme val="minor"/>
    </font>
    <font>
      <b/>
      <sz val="18"/>
      <color indexed="8"/>
      <name val="Calibri"/>
      <family val="2"/>
      <scheme val="minor"/>
    </font>
    <font>
      <b/>
      <sz val="18"/>
      <color theme="1"/>
      <name val="Calibri"/>
      <family val="2"/>
      <scheme val="minor"/>
    </font>
    <font>
      <u/>
      <sz val="14"/>
      <color theme="1"/>
      <name val="Calibri"/>
      <family val="2"/>
      <scheme val="minor"/>
    </font>
    <font>
      <sz val="14"/>
      <color theme="1"/>
      <name val="Calibri"/>
      <family val="2"/>
      <scheme val="minor"/>
    </font>
    <font>
      <i/>
      <sz val="11"/>
      <color rgb="FF000000"/>
      <name val="Calibri"/>
      <family val="2"/>
      <scheme val="minor"/>
    </font>
    <font>
      <u/>
      <sz val="11"/>
      <color theme="1"/>
      <name val="Calibri"/>
      <family val="2"/>
      <scheme val="minor"/>
    </font>
    <font>
      <b/>
      <sz val="14"/>
      <color theme="1"/>
      <name val="Calibri"/>
      <family val="2"/>
      <scheme val="minor"/>
    </font>
    <font>
      <sz val="36"/>
      <color theme="1"/>
      <name val="Calibri"/>
      <family val="2"/>
      <scheme val="minor"/>
    </font>
    <font>
      <b/>
      <i/>
      <sz val="14"/>
      <color theme="1"/>
      <name val="Calibri"/>
      <family val="2"/>
      <scheme val="minor"/>
    </font>
    <font>
      <b/>
      <i/>
      <sz val="14"/>
      <name val="Calibri"/>
      <family val="2"/>
      <scheme val="minor"/>
    </font>
    <font>
      <sz val="14"/>
      <color rgb="FF000000"/>
      <name val="Calibri"/>
      <family val="2"/>
    </font>
    <font>
      <b/>
      <sz val="16"/>
      <name val="Arial"/>
      <family val="2"/>
    </font>
    <font>
      <i/>
      <sz val="11"/>
      <color theme="0" tint="-0.249977111117893"/>
      <name val="Calibri"/>
      <family val="2"/>
      <scheme val="minor"/>
    </font>
    <font>
      <b/>
      <sz val="10"/>
      <name val="arial"/>
      <family val="2"/>
    </font>
    <font>
      <b/>
      <sz val="10"/>
      <name val="Calibri"/>
      <family val="2"/>
      <scheme val="minor"/>
    </font>
    <font>
      <sz val="10"/>
      <name val="Calibri"/>
      <family val="2"/>
      <scheme val="minor"/>
    </font>
    <font>
      <b/>
      <sz val="12"/>
      <color rgb="FFFF0000"/>
      <name val="Calibri"/>
      <family val="2"/>
      <scheme val="minor"/>
    </font>
  </fonts>
  <fills count="24">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lightUp">
        <bgColor theme="9" tint="0.79995117038483843"/>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auto="1"/>
      </top>
      <bottom style="thin">
        <color auto="1"/>
      </bottom>
      <diagonal/>
    </border>
    <border>
      <left style="thin">
        <color indexed="64"/>
      </left>
      <right/>
      <top style="thin">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505">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4" borderId="1" xfId="0" applyNumberFormat="1" applyFill="1" applyBorder="1" applyAlignment="1" applyProtection="1">
      <alignment horizontal="center" vertical="center"/>
      <protection locked="0"/>
    </xf>
    <xf numFmtId="2" fontId="0" fillId="11" borderId="1" xfId="0" applyNumberFormat="1" applyFill="1" applyBorder="1" applyAlignment="1">
      <alignment horizontal="center"/>
    </xf>
    <xf numFmtId="1" fontId="0" fillId="7" borderId="1" xfId="0" applyNumberFormat="1" applyFill="1" applyBorder="1" applyAlignment="1">
      <alignment horizontal="center"/>
    </xf>
    <xf numFmtId="0" fontId="0" fillId="2" borderId="8" xfId="0" applyFill="1" applyBorder="1" applyAlignment="1">
      <alignment horizontal="center" vertical="center"/>
    </xf>
    <xf numFmtId="14" fontId="0" fillId="11" borderId="1" xfId="0" applyNumberFormat="1" applyFill="1" applyBorder="1" applyAlignment="1">
      <alignment horizontal="center" vertical="center"/>
    </xf>
    <xf numFmtId="0" fontId="9" fillId="0" borderId="1" xfId="0" applyFont="1" applyBorder="1" applyAlignment="1">
      <alignment horizontal="center" vertical="center"/>
    </xf>
    <xf numFmtId="0" fontId="9" fillId="7" borderId="1" xfId="0" applyFont="1" applyFill="1" applyBorder="1" applyAlignment="1">
      <alignment horizontal="center" vertical="center"/>
    </xf>
    <xf numFmtId="0" fontId="9" fillId="0" borderId="42" xfId="0" applyFont="1" applyBorder="1" applyAlignment="1">
      <alignment horizontal="center" vertical="center"/>
    </xf>
    <xf numFmtId="0" fontId="9" fillId="0" borderId="33" xfId="0" applyFont="1" applyBorder="1" applyAlignment="1">
      <alignment horizontal="center" vertical="center"/>
    </xf>
    <xf numFmtId="0" fontId="9" fillId="0" borderId="44" xfId="0" applyFont="1" applyBorder="1" applyAlignment="1">
      <alignment horizontal="center" vertical="center" wrapText="1"/>
    </xf>
    <xf numFmtId="0" fontId="9" fillId="0" borderId="43" xfId="0" applyFont="1" applyBorder="1" applyAlignment="1">
      <alignment horizontal="center" vertical="center"/>
    </xf>
    <xf numFmtId="49" fontId="9" fillId="0" borderId="35" xfId="0" applyNumberFormat="1" applyFont="1" applyBorder="1" applyAlignment="1">
      <alignment horizontal="center" vertical="center"/>
    </xf>
    <xf numFmtId="1" fontId="9" fillId="0" borderId="35" xfId="0" applyNumberFormat="1" applyFont="1" applyBorder="1" applyAlignment="1">
      <alignment horizontal="center" vertical="center"/>
    </xf>
    <xf numFmtId="166" fontId="9" fillId="0" borderId="34" xfId="0" applyNumberFormat="1" applyFont="1" applyBorder="1" applyAlignment="1">
      <alignment horizontal="center" vertical="center"/>
    </xf>
    <xf numFmtId="2" fontId="0" fillId="11" borderId="1" xfId="0" applyNumberFormat="1" applyFill="1" applyBorder="1" applyAlignment="1">
      <alignment horizontal="center" vertical="center"/>
    </xf>
    <xf numFmtId="1" fontId="0" fillId="7" borderId="1" xfId="0" applyNumberFormat="1" applyFill="1" applyBorder="1" applyAlignment="1">
      <alignment horizontal="center" vertical="center"/>
    </xf>
    <xf numFmtId="0" fontId="0" fillId="11" borderId="1" xfId="0" applyFill="1" applyBorder="1" applyAlignment="1">
      <alignment horizontal="center" vertical="center"/>
    </xf>
    <xf numFmtId="166" fontId="0" fillId="0" borderId="0" xfId="0" applyNumberFormat="1" applyAlignment="1">
      <alignment horizontal="center" vertical="center"/>
    </xf>
    <xf numFmtId="2" fontId="0" fillId="0" borderId="46" xfId="0" applyNumberFormat="1" applyBorder="1" applyAlignment="1">
      <alignment horizontal="center"/>
    </xf>
    <xf numFmtId="0" fontId="0" fillId="0" borderId="47" xfId="0" applyBorder="1"/>
    <xf numFmtId="2" fontId="0" fillId="0" borderId="48" xfId="0" applyNumberFormat="1" applyBorder="1" applyAlignment="1">
      <alignment horizontal="center"/>
    </xf>
    <xf numFmtId="2" fontId="0" fillId="0" borderId="49" xfId="0" applyNumberFormat="1" applyBorder="1" applyAlignment="1">
      <alignment horizontal="center"/>
    </xf>
    <xf numFmtId="0" fontId="0" fillId="0" borderId="45" xfId="0" applyBorder="1"/>
    <xf numFmtId="0" fontId="39" fillId="0" borderId="1" xfId="0" applyFont="1" applyBorder="1"/>
    <xf numFmtId="2" fontId="6" fillId="14" borderId="1" xfId="1" applyNumberFormat="1" applyFill="1" applyBorder="1" applyAlignment="1">
      <alignment horizontal="center"/>
    </xf>
    <xf numFmtId="0" fontId="6" fillId="14" borderId="1" xfId="1" applyFill="1" applyBorder="1"/>
    <xf numFmtId="2" fontId="46" fillId="0" borderId="0" xfId="0" applyNumberFormat="1" applyFont="1" applyAlignment="1">
      <alignment horizontal="center"/>
    </xf>
    <xf numFmtId="0" fontId="39" fillId="0" borderId="1" xfId="0" applyFont="1" applyBorder="1" applyAlignment="1">
      <alignment horizontal="center"/>
    </xf>
    <xf numFmtId="165" fontId="0" fillId="7" borderId="0" xfId="0" applyNumberFormat="1" applyFill="1" applyAlignment="1">
      <alignment horizontal="center"/>
    </xf>
    <xf numFmtId="2" fontId="0" fillId="11" borderId="0" xfId="0" applyNumberFormat="1" applyFill="1" applyAlignment="1">
      <alignment horizontal="center"/>
    </xf>
    <xf numFmtId="165" fontId="0" fillId="0" borderId="0" xfId="0" applyNumberFormat="1" applyAlignment="1">
      <alignment horizontal="center"/>
    </xf>
    <xf numFmtId="2" fontId="0" fillId="16" borderId="0" xfId="0" applyNumberFormat="1" applyFill="1" applyAlignment="1">
      <alignment horizontal="center"/>
    </xf>
    <xf numFmtId="0" fontId="39" fillId="0" borderId="0" xfId="0" applyFont="1" applyAlignment="1">
      <alignment horizontal="center"/>
    </xf>
    <xf numFmtId="0" fontId="47" fillId="0" borderId="1" xfId="0" applyFont="1" applyBorder="1" applyAlignment="1">
      <alignment horizontal="center"/>
    </xf>
    <xf numFmtId="166" fontId="47" fillId="0" borderId="1" xfId="0" applyNumberFormat="1" applyFont="1" applyBorder="1" applyAlignment="1">
      <alignment horizontal="center" vertical="center"/>
    </xf>
    <xf numFmtId="166" fontId="0" fillId="0" borderId="0" xfId="0" applyNumberFormat="1"/>
    <xf numFmtId="2" fontId="0" fillId="0" borderId="0" xfId="0" applyNumberFormat="1" applyProtection="1">
      <protection locked="0"/>
    </xf>
    <xf numFmtId="22" fontId="48" fillId="0" borderId="0" xfId="0" applyNumberFormat="1" applyFont="1"/>
    <xf numFmtId="0" fontId="0" fillId="0" borderId="0" xfId="0" applyAlignment="1" applyProtection="1">
      <alignment horizontal="center"/>
      <protection locked="0"/>
    </xf>
    <xf numFmtId="2" fontId="0" fillId="7" borderId="0" xfId="0" applyNumberFormat="1" applyFill="1" applyAlignment="1">
      <alignment horizontal="center"/>
    </xf>
    <xf numFmtId="22" fontId="39" fillId="0" borderId="1" xfId="0" applyNumberFormat="1" applyFont="1" applyBorder="1" applyAlignment="1">
      <alignment horizontal="center"/>
    </xf>
    <xf numFmtId="2" fontId="39" fillId="0" borderId="1" xfId="0" applyNumberFormat="1" applyFont="1" applyBorder="1" applyAlignment="1">
      <alignment horizontal="center"/>
    </xf>
    <xf numFmtId="165" fontId="0" fillId="0" borderId="0" xfId="0" applyNumberFormat="1" applyAlignment="1" applyProtection="1">
      <alignment horizontal="center"/>
      <protection locked="0"/>
    </xf>
    <xf numFmtId="2" fontId="0" fillId="0" borderId="1" xfId="0" applyNumberFormat="1" applyBorder="1"/>
    <xf numFmtId="2" fontId="0" fillId="0" borderId="49" xfId="0" applyNumberFormat="1" applyBorder="1"/>
    <xf numFmtId="0" fontId="17" fillId="0" borderId="0" xfId="0" applyFont="1" applyAlignment="1">
      <alignment horizontal="center"/>
    </xf>
    <xf numFmtId="0" fontId="17" fillId="0" borderId="0" xfId="0" applyFont="1"/>
    <xf numFmtId="0" fontId="20" fillId="0" borderId="0" xfId="0" applyFont="1"/>
    <xf numFmtId="14" fontId="21" fillId="15" borderId="0" xfId="0" applyNumberFormat="1" applyFont="1" applyFill="1" applyAlignment="1">
      <alignment horizontal="center" vertical="center"/>
    </xf>
    <xf numFmtId="0" fontId="22" fillId="0" borderId="0" xfId="0" applyFont="1" applyAlignment="1">
      <alignment horizontal="left" vertical="center"/>
    </xf>
    <xf numFmtId="0" fontId="21" fillId="15" borderId="0" xfId="0" applyFont="1" applyFill="1" applyAlignment="1">
      <alignment horizontal="center" vertical="center"/>
    </xf>
    <xf numFmtId="0" fontId="23" fillId="15" borderId="0" xfId="0" applyFont="1" applyFill="1" applyAlignment="1">
      <alignment horizontal="center" vertical="center"/>
    </xf>
    <xf numFmtId="0" fontId="0" fillId="15" borderId="0" xfId="0" applyFill="1" applyAlignment="1">
      <alignment horizontal="center"/>
    </xf>
    <xf numFmtId="0" fontId="42" fillId="0" borderId="0" xfId="0" applyFont="1" applyAlignment="1">
      <alignment horizontal="left" vertical="center" readingOrder="1"/>
    </xf>
    <xf numFmtId="0" fontId="0" fillId="0" borderId="0" xfId="0" applyAlignment="1">
      <alignment vertical="top"/>
    </xf>
    <xf numFmtId="0" fontId="43" fillId="0" borderId="0" xfId="0" applyFont="1"/>
    <xf numFmtId="0" fontId="51" fillId="0" borderId="0" xfId="0" applyFont="1"/>
    <xf numFmtId="0" fontId="52" fillId="0" borderId="0" xfId="0" applyFont="1"/>
    <xf numFmtId="0" fontId="45" fillId="0" borderId="0" xfId="0" applyFont="1" applyAlignment="1">
      <alignment horizontal="right" vertical="center"/>
    </xf>
    <xf numFmtId="0" fontId="0" fillId="0" borderId="0" xfId="0" applyAlignment="1">
      <alignment horizontal="right" vertical="center"/>
    </xf>
    <xf numFmtId="0" fontId="53" fillId="0" borderId="0" xfId="0" applyFont="1" applyAlignment="1">
      <alignment horizontal="center" vertical="center" readingOrder="1"/>
    </xf>
    <xf numFmtId="0" fontId="23" fillId="15" borderId="0" xfId="0" applyFont="1" applyFill="1" applyAlignment="1">
      <alignment horizontal="left" vertical="center"/>
    </xf>
    <xf numFmtId="0" fontId="45" fillId="0" borderId="0" xfId="0" applyFont="1"/>
    <xf numFmtId="0" fontId="0" fillId="15" borderId="0" xfId="0" applyFill="1" applyAlignment="1">
      <alignment horizontal="center" vertical="center"/>
    </xf>
    <xf numFmtId="14" fontId="23" fillId="15" borderId="0" xfId="0" applyNumberFormat="1" applyFont="1" applyFill="1" applyAlignment="1">
      <alignment horizontal="center" vertical="center"/>
    </xf>
    <xf numFmtId="0" fontId="0" fillId="0" borderId="0" xfId="0" applyAlignment="1">
      <alignment horizontal="left" vertical="center"/>
    </xf>
    <xf numFmtId="14" fontId="23" fillId="12" borderId="0" xfId="0" applyNumberFormat="1" applyFont="1" applyFill="1" applyAlignment="1">
      <alignment horizontal="center" vertical="center"/>
    </xf>
    <xf numFmtId="0" fontId="0" fillId="0" borderId="0" xfId="0" applyAlignment="1">
      <alignment horizontal="left" vertical="top"/>
    </xf>
    <xf numFmtId="0" fontId="45" fillId="0" borderId="0" xfId="0" applyFont="1" applyAlignment="1">
      <alignment horizontal="left" vertical="center"/>
    </xf>
    <xf numFmtId="0" fontId="0" fillId="0" borderId="0" xfId="0" applyAlignment="1">
      <alignment vertical="top" wrapText="1"/>
    </xf>
    <xf numFmtId="0" fontId="0" fillId="17" borderId="1" xfId="0" applyFill="1" applyBorder="1" applyAlignment="1">
      <alignment horizontal="center" vertical="center"/>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20" borderId="1" xfId="0" quotePrefix="1" applyFill="1" applyBorder="1" applyAlignment="1">
      <alignment horizontal="center" vertical="center"/>
    </xf>
    <xf numFmtId="22" fontId="0" fillId="20" borderId="1" xfId="0" applyNumberFormat="1" applyFill="1" applyBorder="1" applyAlignment="1">
      <alignment horizontal="center" vertical="center"/>
    </xf>
    <xf numFmtId="2" fontId="23" fillId="12" borderId="1" xfId="0" applyNumberFormat="1" applyFont="1" applyFill="1" applyBorder="1" applyAlignment="1">
      <alignment horizontal="center" vertical="center"/>
    </xf>
    <xf numFmtId="0" fontId="0" fillId="0" borderId="1" xfId="0" applyBorder="1" applyAlignment="1">
      <alignment horizontal="center" vertical="center"/>
    </xf>
    <xf numFmtId="0" fontId="23" fillId="12" borderId="1" xfId="0" applyFont="1" applyFill="1" applyBorder="1" applyAlignment="1">
      <alignment horizontal="center" vertical="center"/>
    </xf>
    <xf numFmtId="49" fontId="0" fillId="20" borderId="1" xfId="0" applyNumberFormat="1" applyFill="1" applyBorder="1" applyAlignment="1">
      <alignment horizontal="center" vertical="center"/>
    </xf>
    <xf numFmtId="0" fontId="39" fillId="0" borderId="0" xfId="0" applyFont="1" applyAlignment="1">
      <alignment horizontal="center" vertical="center"/>
    </xf>
    <xf numFmtId="0" fontId="55" fillId="21" borderId="0" xfId="0" applyFont="1" applyFill="1" applyAlignment="1">
      <alignment horizontal="center" vertical="center"/>
    </xf>
    <xf numFmtId="0" fontId="55" fillId="21" borderId="1" xfId="0" applyFont="1" applyFill="1" applyBorder="1" applyAlignment="1">
      <alignment horizontal="center" vertical="center"/>
    </xf>
    <xf numFmtId="0" fontId="56" fillId="0" borderId="0" xfId="0" applyFont="1" applyAlignment="1">
      <alignment horizontal="center" vertical="center"/>
    </xf>
    <xf numFmtId="0" fontId="23" fillId="3" borderId="1" xfId="0" applyFont="1" applyFill="1" applyBorder="1" applyAlignment="1">
      <alignment horizontal="center" vertical="center"/>
    </xf>
    <xf numFmtId="0" fontId="0" fillId="12" borderId="1" xfId="0" applyFill="1" applyBorder="1" applyAlignment="1">
      <alignment horizontal="center"/>
    </xf>
    <xf numFmtId="0" fontId="23" fillId="12" borderId="1" xfId="0" applyFont="1" applyFill="1" applyBorder="1" applyAlignment="1">
      <alignment horizontal="center"/>
    </xf>
    <xf numFmtId="2" fontId="23" fillId="12" borderId="1" xfId="0" applyNumberFormat="1" applyFont="1" applyFill="1" applyBorder="1" applyAlignment="1">
      <alignment horizontal="center"/>
    </xf>
    <xf numFmtId="0" fontId="0" fillId="12" borderId="1" xfId="0" quotePrefix="1" applyFill="1" applyBorder="1" applyAlignment="1">
      <alignment horizontal="center"/>
    </xf>
    <xf numFmtId="2" fontId="57" fillId="21" borderId="1" xfId="0" applyNumberFormat="1" applyFont="1" applyFill="1" applyBorder="1" applyAlignment="1">
      <alignment horizontal="center"/>
    </xf>
    <xf numFmtId="0" fontId="0" fillId="10" borderId="0" xfId="0" applyFill="1"/>
    <xf numFmtId="0" fontId="58" fillId="21" borderId="1" xfId="0" applyFont="1" applyFill="1" applyBorder="1" applyAlignment="1">
      <alignment horizontal="center" vertical="center"/>
    </xf>
    <xf numFmtId="0" fontId="55" fillId="0" borderId="0" xfId="0" applyFont="1" applyAlignment="1">
      <alignment horizontal="right" vertical="center"/>
    </xf>
    <xf numFmtId="0" fontId="55" fillId="0" borderId="0" xfId="0" applyFont="1" applyAlignment="1">
      <alignment horizontal="center" vertical="center"/>
    </xf>
    <xf numFmtId="0" fontId="57" fillId="21" borderId="0" xfId="0" applyFont="1" applyFill="1" applyAlignment="1">
      <alignment horizontal="center" vertical="center"/>
    </xf>
    <xf numFmtId="0" fontId="55" fillId="12" borderId="0" xfId="0" applyFont="1" applyFill="1" applyAlignment="1">
      <alignment horizontal="center" vertical="center"/>
    </xf>
    <xf numFmtId="0" fontId="61" fillId="0" borderId="0" xfId="0" applyFont="1"/>
    <xf numFmtId="0" fontId="4" fillId="0" borderId="1" xfId="0" applyFont="1" applyBorder="1"/>
    <xf numFmtId="0" fontId="4" fillId="15" borderId="1" xfId="0" applyFont="1" applyFill="1" applyBorder="1" applyAlignment="1" applyProtection="1">
      <alignment horizontal="center"/>
      <protection locked="0"/>
    </xf>
    <xf numFmtId="168" fontId="4" fillId="15" borderId="1" xfId="0" applyNumberFormat="1" applyFont="1" applyFill="1" applyBorder="1" applyAlignment="1" applyProtection="1">
      <alignment horizontal="center"/>
      <protection locked="0"/>
    </xf>
    <xf numFmtId="14" fontId="4" fillId="15" borderId="1" xfId="0" applyNumberFormat="1"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3" borderId="0" xfId="0" applyFill="1" applyAlignment="1">
      <alignment horizontal="center" vertical="center"/>
    </xf>
    <xf numFmtId="0" fontId="0" fillId="13" borderId="45" xfId="0" applyFill="1" applyBorder="1" applyAlignment="1">
      <alignment horizontal="center" vertical="center"/>
    </xf>
    <xf numFmtId="0" fontId="4" fillId="13" borderId="45" xfId="0" applyFont="1" applyFill="1" applyBorder="1" applyAlignment="1">
      <alignment horizontal="center" vertical="center"/>
    </xf>
    <xf numFmtId="0" fontId="0" fillId="0" borderId="45" xfId="0" applyBorder="1" applyAlignment="1">
      <alignment horizontal="center" vertical="center"/>
    </xf>
    <xf numFmtId="0" fontId="4" fillId="0" borderId="45"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4" fillId="3" borderId="1" xfId="0" applyFont="1" applyFill="1" applyBorder="1" applyAlignment="1">
      <alignment horizontal="center" vertical="center"/>
    </xf>
    <xf numFmtId="49" fontId="23" fillId="3" borderId="1" xfId="0" applyNumberFormat="1" applyFont="1" applyFill="1" applyBorder="1" applyAlignment="1">
      <alignment horizontal="center" vertical="center"/>
    </xf>
    <xf numFmtId="49" fontId="4" fillId="15" borderId="1" xfId="0" applyNumberFormat="1" applyFont="1" applyFill="1" applyBorder="1" applyAlignment="1" applyProtection="1">
      <alignment horizontal="center" vertical="center"/>
      <protection locked="0"/>
    </xf>
    <xf numFmtId="49" fontId="4" fillId="23" borderId="1" xfId="0" applyNumberFormat="1" applyFont="1" applyFill="1" applyBorder="1" applyAlignment="1">
      <alignment horizontal="center" vertical="center"/>
    </xf>
    <xf numFmtId="14" fontId="4" fillId="0" borderId="0" xfId="0" applyNumberFormat="1" applyFont="1" applyAlignment="1">
      <alignment horizontal="center" vertical="center"/>
    </xf>
    <xf numFmtId="0" fontId="62" fillId="22" borderId="0" xfId="0" applyFont="1" applyFill="1"/>
    <xf numFmtId="14" fontId="62" fillId="22" borderId="0" xfId="0" applyNumberFormat="1" applyFont="1" applyFill="1" applyAlignment="1">
      <alignment horizontal="center" vertical="center" wrapText="1"/>
    </xf>
    <xf numFmtId="0" fontId="62" fillId="0" borderId="0" xfId="0" applyFont="1" applyAlignment="1">
      <alignment horizontal="center"/>
    </xf>
    <xf numFmtId="0" fontId="63" fillId="13" borderId="1" xfId="0" quotePrefix="1" applyFont="1" applyFill="1" applyBorder="1" applyAlignment="1">
      <alignment horizontal="center" vertical="center"/>
    </xf>
    <xf numFmtId="0" fontId="64" fillId="3" borderId="8" xfId="0" quotePrefix="1" applyFont="1" applyFill="1" applyBorder="1" applyAlignment="1">
      <alignment horizontal="center" vertical="center"/>
    </xf>
    <xf numFmtId="0" fontId="64" fillId="3" borderId="1" xfId="0" quotePrefix="1" applyFont="1" applyFill="1" applyBorder="1" applyAlignment="1">
      <alignment horizontal="center" vertical="center"/>
    </xf>
    <xf numFmtId="0" fontId="0" fillId="13" borderId="8" xfId="0" applyFill="1" applyBorder="1" applyAlignment="1">
      <alignment horizontal="center" vertical="center" wrapText="1"/>
    </xf>
    <xf numFmtId="0" fontId="0" fillId="13" borderId="8" xfId="0" applyFill="1" applyBorder="1" applyAlignment="1">
      <alignment horizontal="center" vertical="center"/>
    </xf>
    <xf numFmtId="49" fontId="0" fillId="15" borderId="1" xfId="0" applyNumberFormat="1" applyFill="1" applyBorder="1" applyAlignment="1" applyProtection="1">
      <alignment horizontal="center" vertical="center"/>
      <protection locked="0"/>
    </xf>
    <xf numFmtId="2" fontId="0" fillId="15" borderId="1" xfId="0" applyNumberFormat="1" applyFill="1" applyBorder="1" applyAlignment="1" applyProtection="1">
      <alignment horizontal="center" vertical="center"/>
      <protection locked="0"/>
    </xf>
    <xf numFmtId="0" fontId="4" fillId="15" borderId="1" xfId="0" applyFont="1" applyFill="1" applyBorder="1" applyAlignment="1" applyProtection="1">
      <alignment horizontal="center" vertical="center"/>
      <protection locked="0"/>
    </xf>
    <xf numFmtId="0" fontId="0" fillId="13" borderId="0" xfId="0" applyFill="1" applyAlignment="1">
      <alignment vertical="center"/>
    </xf>
    <xf numFmtId="0" fontId="4" fillId="13" borderId="1" xfId="0" applyFont="1" applyFill="1" applyBorder="1" applyAlignment="1">
      <alignment horizontal="center" vertical="center"/>
    </xf>
    <xf numFmtId="0" fontId="64" fillId="0" borderId="0" xfId="0" applyFont="1" applyAlignment="1">
      <alignment horizontal="left" vertical="center"/>
    </xf>
    <xf numFmtId="0" fontId="4" fillId="0" borderId="0" xfId="0" applyFont="1" applyAlignment="1">
      <alignment horizontal="center" vertical="center"/>
    </xf>
    <xf numFmtId="0" fontId="63" fillId="0" borderId="0" xfId="0" applyFont="1" applyAlignment="1">
      <alignment horizontal="center" vertical="center"/>
    </xf>
    <xf numFmtId="0" fontId="4" fillId="0" borderId="0" xfId="0" applyFont="1" applyAlignment="1">
      <alignment horizontal="left" vertical="center"/>
    </xf>
    <xf numFmtId="0" fontId="64" fillId="0" borderId="0" xfId="0" applyFont="1" applyAlignment="1">
      <alignment horizontal="center" vertical="center"/>
    </xf>
    <xf numFmtId="0" fontId="64" fillId="0" borderId="0" xfId="0" applyFont="1" applyAlignment="1">
      <alignment vertical="center" wrapText="1"/>
    </xf>
    <xf numFmtId="0" fontId="64" fillId="0" borderId="1" xfId="0" quotePrefix="1" applyFont="1" applyBorder="1" applyAlignment="1">
      <alignment vertical="center"/>
    </xf>
    <xf numFmtId="14" fontId="4" fillId="3" borderId="1" xfId="0" applyNumberFormat="1" applyFont="1" applyFill="1" applyBorder="1" applyAlignment="1">
      <alignment horizontal="center" vertical="center"/>
    </xf>
    <xf numFmtId="0" fontId="64" fillId="0" borderId="0" xfId="0" applyFont="1" applyAlignment="1">
      <alignment vertical="center"/>
    </xf>
    <xf numFmtId="0" fontId="4" fillId="0" borderId="0" xfId="0" applyFont="1" applyAlignment="1">
      <alignment vertical="center"/>
    </xf>
    <xf numFmtId="0" fontId="64" fillId="0" borderId="0" xfId="0" quotePrefix="1" applyFont="1" applyAlignment="1">
      <alignment vertical="center"/>
    </xf>
    <xf numFmtId="0" fontId="0" fillId="0" borderId="27" xfId="0" applyBorder="1"/>
    <xf numFmtId="0" fontId="0" fillId="0" borderId="19" xfId="0" applyBorder="1"/>
    <xf numFmtId="0" fontId="0" fillId="0" borderId="38" xfId="0" applyBorder="1"/>
    <xf numFmtId="0" fontId="0" fillId="0" borderId="52" xfId="0" applyBorder="1"/>
    <xf numFmtId="0" fontId="0" fillId="0" borderId="39" xfId="0" applyBorder="1"/>
    <xf numFmtId="49" fontId="0" fillId="0" borderId="0" xfId="0" applyNumberFormat="1"/>
    <xf numFmtId="49" fontId="0" fillId="3" borderId="1" xfId="0" applyNumberFormat="1" applyFill="1" applyBorder="1" applyAlignment="1">
      <alignment horizontal="center" vertical="center"/>
    </xf>
    <xf numFmtId="49" fontId="0" fillId="18" borderId="1" xfId="0" applyNumberFormat="1" applyFill="1" applyBorder="1" applyAlignment="1">
      <alignment horizontal="center" vertical="center"/>
    </xf>
    <xf numFmtId="0" fontId="0" fillId="3" borderId="10" xfId="0" applyFill="1" applyBorder="1" applyAlignment="1">
      <alignment horizontal="center" vertical="center" textRotation="90"/>
    </xf>
    <xf numFmtId="0" fontId="44" fillId="11" borderId="18" xfId="0" applyFont="1" applyFill="1" applyBorder="1" applyAlignment="1">
      <alignment horizontal="center" vertical="center" textRotation="90"/>
    </xf>
    <xf numFmtId="0" fontId="0" fillId="3" borderId="18" xfId="0" applyFill="1" applyBorder="1" applyAlignment="1">
      <alignment horizontal="center" vertical="center" textRotation="90"/>
    </xf>
    <xf numFmtId="0" fontId="0" fillId="11" borderId="18" xfId="0" applyFill="1" applyBorder="1" applyAlignment="1">
      <alignment horizontal="center" vertical="center" textRotation="90"/>
    </xf>
    <xf numFmtId="0" fontId="0" fillId="3" borderId="0" xfId="0" applyFill="1" applyAlignment="1">
      <alignment horizontal="center" vertical="center" textRotation="90"/>
    </xf>
    <xf numFmtId="14" fontId="0" fillId="3" borderId="0" xfId="0" applyNumberFormat="1" applyFill="1" applyAlignment="1">
      <alignment horizontal="center" vertical="center"/>
    </xf>
    <xf numFmtId="0" fontId="0" fillId="3" borderId="0" xfId="0" applyFill="1" applyAlignment="1">
      <alignment horizontal="center" vertical="center"/>
    </xf>
    <xf numFmtId="14" fontId="0" fillId="11" borderId="0" xfId="0" applyNumberFormat="1" applyFill="1" applyAlignment="1">
      <alignment horizontal="center" vertical="center"/>
    </xf>
    <xf numFmtId="0" fontId="0" fillId="11" borderId="0" xfId="0" applyFill="1" applyAlignment="1">
      <alignment horizontal="center" vertical="center"/>
    </xf>
    <xf numFmtId="49" fontId="0" fillId="0" borderId="0" xfId="0" applyNumberFormat="1" applyAlignment="1">
      <alignment vertical="center"/>
    </xf>
    <xf numFmtId="22" fontId="0" fillId="0" borderId="0" xfId="0" applyNumberFormat="1" applyAlignment="1">
      <alignment vertical="center"/>
    </xf>
    <xf numFmtId="0" fontId="0" fillId="10" borderId="53" xfId="0" applyFill="1" applyBorder="1" applyAlignment="1">
      <alignment horizontal="center"/>
    </xf>
    <xf numFmtId="0" fontId="0" fillId="10" borderId="54" xfId="0" applyFill="1" applyBorder="1" applyAlignment="1">
      <alignment horizontal="center"/>
    </xf>
    <xf numFmtId="0" fontId="0" fillId="10" borderId="55" xfId="0" applyFill="1" applyBorder="1" applyAlignment="1">
      <alignment horizontal="center"/>
    </xf>
    <xf numFmtId="0" fontId="0" fillId="10" borderId="1" xfId="0" applyFill="1" applyBorder="1" applyAlignment="1">
      <alignment horizontal="center"/>
    </xf>
    <xf numFmtId="0" fontId="0" fillId="10" borderId="1" xfId="0" applyFill="1" applyBorder="1" applyAlignment="1">
      <alignment horizontal="center" vertical="center"/>
    </xf>
    <xf numFmtId="0" fontId="0" fillId="10" borderId="2" xfId="0" applyFill="1" applyBorder="1" applyAlignment="1">
      <alignment horizontal="center"/>
    </xf>
    <xf numFmtId="0" fontId="0" fillId="10" borderId="14" xfId="0" applyFill="1" applyBorder="1" applyAlignment="1">
      <alignment horizontal="center"/>
    </xf>
    <xf numFmtId="0" fontId="0" fillId="10" borderId="3" xfId="0" applyFill="1" applyBorder="1" applyAlignment="1">
      <alignment horizontal="center"/>
    </xf>
    <xf numFmtId="0" fontId="62" fillId="22" borderId="0" xfId="0" applyFont="1" applyFill="1" applyAlignment="1">
      <alignment horizontal="center"/>
    </xf>
    <xf numFmtId="0" fontId="60" fillId="15" borderId="0" xfId="0" applyFont="1" applyFill="1" applyAlignment="1">
      <alignment horizontal="center" vertical="center"/>
    </xf>
    <xf numFmtId="0" fontId="60" fillId="3" borderId="0" xfId="0" applyFont="1" applyFill="1" applyAlignment="1">
      <alignment horizontal="center"/>
    </xf>
    <xf numFmtId="0" fontId="0" fillId="0" borderId="0" xfId="0" applyAlignment="1">
      <alignment horizontal="center"/>
    </xf>
    <xf numFmtId="0" fontId="4" fillId="0" borderId="18" xfId="0" applyFont="1" applyBorder="1" applyAlignment="1">
      <alignment horizontal="left" vertical="top"/>
    </xf>
    <xf numFmtId="0" fontId="4" fillId="0" borderId="45" xfId="0" applyFont="1" applyBorder="1" applyAlignment="1">
      <alignment horizontal="left" vertical="top"/>
    </xf>
    <xf numFmtId="0" fontId="4" fillId="0" borderId="8" xfId="0" applyFont="1" applyBorder="1" applyAlignment="1">
      <alignment horizontal="left" vertical="top"/>
    </xf>
    <xf numFmtId="0" fontId="0" fillId="13" borderId="15" xfId="0" applyFill="1" applyBorder="1" applyAlignment="1">
      <alignment horizontal="center" vertical="center"/>
    </xf>
    <xf numFmtId="0" fontId="0" fillId="13" borderId="0" xfId="0" applyFill="1" applyAlignment="1">
      <alignment horizontal="center" vertical="center"/>
    </xf>
    <xf numFmtId="0" fontId="62" fillId="22" borderId="0" xfId="0" applyFont="1" applyFill="1" applyAlignment="1">
      <alignment horizontal="center" vertical="center"/>
    </xf>
    <xf numFmtId="0" fontId="62" fillId="0" borderId="0" xfId="0" applyFont="1" applyAlignment="1">
      <alignment horizontal="center"/>
    </xf>
    <xf numFmtId="0" fontId="0" fillId="13" borderId="1" xfId="0" applyFill="1" applyBorder="1" applyAlignment="1">
      <alignment horizontal="center" vertical="center"/>
    </xf>
    <xf numFmtId="0" fontId="0" fillId="13" borderId="2" xfId="0" applyFill="1" applyBorder="1" applyAlignment="1">
      <alignment horizontal="center" vertical="center"/>
    </xf>
    <xf numFmtId="0" fontId="0" fillId="13" borderId="14" xfId="0" applyFill="1" applyBorder="1" applyAlignment="1">
      <alignment horizontal="center" vertical="center"/>
    </xf>
    <xf numFmtId="0" fontId="0" fillId="13" borderId="3" xfId="0" applyFill="1" applyBorder="1" applyAlignment="1">
      <alignment horizontal="center" vertical="center"/>
    </xf>
    <xf numFmtId="20" fontId="0" fillId="15" borderId="50" xfId="0" applyNumberFormat="1" applyFill="1" applyBorder="1" applyAlignment="1" applyProtection="1">
      <alignment horizontal="left" vertical="top"/>
      <protection locked="0"/>
    </xf>
    <xf numFmtId="20" fontId="0" fillId="15" borderId="10" xfId="0" applyNumberFormat="1" applyFill="1" applyBorder="1" applyAlignment="1" applyProtection="1">
      <alignment horizontal="left" vertical="top"/>
      <protection locked="0"/>
    </xf>
    <xf numFmtId="20" fontId="0" fillId="15" borderId="11" xfId="0" applyNumberFormat="1" applyFill="1" applyBorder="1" applyAlignment="1" applyProtection="1">
      <alignment horizontal="left" vertical="top"/>
      <protection locked="0"/>
    </xf>
    <xf numFmtId="20" fontId="0" fillId="15" borderId="15" xfId="0" applyNumberFormat="1" applyFill="1" applyBorder="1" applyAlignment="1" applyProtection="1">
      <alignment horizontal="left" vertical="top"/>
      <protection locked="0"/>
    </xf>
    <xf numFmtId="20" fontId="0" fillId="15" borderId="0" xfId="0" applyNumberFormat="1" applyFill="1" applyAlignment="1" applyProtection="1">
      <alignment horizontal="left" vertical="top"/>
      <protection locked="0"/>
    </xf>
    <xf numFmtId="20" fontId="0" fillId="15" borderId="16" xfId="0" applyNumberFormat="1" applyFill="1" applyBorder="1" applyAlignment="1" applyProtection="1">
      <alignment horizontal="left" vertical="top"/>
      <protection locked="0"/>
    </xf>
    <xf numFmtId="20" fontId="0" fillId="15" borderId="12" xfId="0" applyNumberFormat="1" applyFill="1" applyBorder="1" applyAlignment="1" applyProtection="1">
      <alignment horizontal="left" vertical="top"/>
      <protection locked="0"/>
    </xf>
    <xf numFmtId="20" fontId="0" fillId="15" borderId="17" xfId="0" applyNumberFormat="1" applyFill="1" applyBorder="1" applyAlignment="1" applyProtection="1">
      <alignment horizontal="left" vertical="top"/>
      <protection locked="0"/>
    </xf>
    <xf numFmtId="20" fontId="0" fillId="15" borderId="13" xfId="0" applyNumberFormat="1" applyFill="1" applyBorder="1" applyAlignment="1" applyProtection="1">
      <alignment horizontal="left" vertical="top"/>
      <protection locked="0"/>
    </xf>
    <xf numFmtId="0" fontId="65" fillId="0" borderId="37" xfId="0" applyFont="1" applyBorder="1" applyAlignment="1">
      <alignment horizontal="center" vertical="center"/>
    </xf>
    <xf numFmtId="0" fontId="65" fillId="0" borderId="51" xfId="0" applyFont="1" applyBorder="1" applyAlignment="1">
      <alignment horizontal="center" vertical="center"/>
    </xf>
    <xf numFmtId="0" fontId="65" fillId="0" borderId="25" xfId="0" applyFont="1" applyBorder="1" applyAlignment="1">
      <alignment horizontal="center" vertical="center"/>
    </xf>
    <xf numFmtId="0" fontId="65" fillId="0" borderId="27" xfId="0" applyFont="1" applyBorder="1" applyAlignment="1">
      <alignment horizontal="center" vertical="center"/>
    </xf>
    <xf numFmtId="0" fontId="65" fillId="0" borderId="0" xfId="0" applyFont="1" applyAlignment="1">
      <alignment horizontal="center" vertical="center"/>
    </xf>
    <xf numFmtId="0" fontId="65" fillId="0" borderId="19" xfId="0" applyFont="1" applyBorder="1" applyAlignment="1">
      <alignment horizontal="center" vertical="center"/>
    </xf>
    <xf numFmtId="0" fontId="65" fillId="0" borderId="38" xfId="0" applyFont="1" applyBorder="1" applyAlignment="1">
      <alignment horizontal="center" vertical="center"/>
    </xf>
    <xf numFmtId="0" fontId="65" fillId="0" borderId="52" xfId="0" applyFont="1" applyBorder="1" applyAlignment="1">
      <alignment horizontal="center" vertical="center"/>
    </xf>
    <xf numFmtId="0" fontId="65" fillId="0" borderId="39" xfId="0" applyFont="1" applyBorder="1" applyAlignment="1">
      <alignment horizontal="center" vertical="center"/>
    </xf>
    <xf numFmtId="22" fontId="49" fillId="0" borderId="27" xfId="0" applyNumberFormat="1" applyFont="1" applyBorder="1" applyAlignment="1">
      <alignment horizontal="center"/>
    </xf>
    <xf numFmtId="22" fontId="49" fillId="0" borderId="0" xfId="0" applyNumberFormat="1" applyFont="1" applyAlignment="1">
      <alignment horizontal="center"/>
    </xf>
    <xf numFmtId="0" fontId="0" fillId="0" borderId="17" xfId="0" applyBorder="1" applyAlignment="1">
      <alignment horizontal="center" vertical="center"/>
    </xf>
    <xf numFmtId="0" fontId="0" fillId="0" borderId="0" xfId="0" applyAlignment="1">
      <alignment horizontal="center" vertical="center"/>
    </xf>
    <xf numFmtId="2" fontId="0" fillId="0" borderId="1" xfId="0" applyNumberFormat="1" applyBorder="1" applyAlignment="1">
      <alignment horizontal="center"/>
    </xf>
    <xf numFmtId="0" fontId="0" fillId="11" borderId="0" xfId="0" applyFill="1" applyAlignment="1">
      <alignment horizontal="center" vertical="center" textRotation="90"/>
    </xf>
    <xf numFmtId="0" fontId="0" fillId="16" borderId="0" xfId="0" applyFill="1" applyAlignment="1">
      <alignment horizontal="center" vertical="center" textRotation="90"/>
    </xf>
    <xf numFmtId="22" fontId="0" fillId="0" borderId="0" xfId="0" applyNumberFormat="1" applyAlignment="1">
      <alignment horizontal="center"/>
    </xf>
    <xf numFmtId="22" fontId="50" fillId="0" borderId="27" xfId="0" applyNumberFormat="1" applyFont="1" applyBorder="1" applyAlignment="1">
      <alignment horizontal="center"/>
    </xf>
    <xf numFmtId="22" fontId="50" fillId="0" borderId="0" xfId="0" applyNumberFormat="1" applyFont="1" applyAlignment="1">
      <alignment horizontal="center"/>
    </xf>
    <xf numFmtId="0" fontId="17" fillId="0" borderId="0" xfId="0" applyFont="1" applyAlignment="1">
      <alignment horizontal="center"/>
    </xf>
    <xf numFmtId="0" fontId="18" fillId="0" borderId="0" xfId="0" applyFont="1" applyAlignment="1">
      <alignment horizontal="center" vertical="center"/>
    </xf>
    <xf numFmtId="167" fontId="19" fillId="12" borderId="0" xfId="0" applyNumberFormat="1" applyFont="1" applyFill="1" applyAlignment="1">
      <alignment horizontal="center" vertical="center"/>
    </xf>
    <xf numFmtId="0" fontId="20" fillId="0" borderId="0" xfId="0" applyFont="1" applyAlignment="1">
      <alignment horizontal="left" vertical="top" wrapText="1" readingOrder="1"/>
    </xf>
    <xf numFmtId="0" fontId="42" fillId="0" borderId="0" xfId="0" applyFont="1" applyAlignment="1">
      <alignment horizontal="left" vertical="center" wrapText="1" readingOrder="1"/>
    </xf>
    <xf numFmtId="0" fontId="0" fillId="15" borderId="0" xfId="0" applyFill="1" applyAlignment="1">
      <alignment horizontal="left" vertical="top"/>
    </xf>
    <xf numFmtId="0" fontId="0" fillId="0" borderId="0" xfId="0" applyAlignment="1">
      <alignment horizontal="left" vertical="top" wrapText="1"/>
    </xf>
    <xf numFmtId="0" fontId="0" fillId="19" borderId="1" xfId="0" applyFill="1" applyBorder="1" applyAlignment="1">
      <alignment horizontal="center" vertical="center"/>
    </xf>
    <xf numFmtId="0" fontId="0" fillId="20" borderId="1" xfId="0" applyFill="1" applyBorder="1" applyAlignment="1">
      <alignment horizontal="center" vertical="center"/>
    </xf>
    <xf numFmtId="0" fontId="0" fillId="19" borderId="1" xfId="0" applyFill="1" applyBorder="1" applyAlignment="1">
      <alignment horizontal="center"/>
    </xf>
    <xf numFmtId="0" fontId="0" fillId="20" borderId="1" xfId="0" applyFill="1" applyBorder="1" applyAlignment="1">
      <alignment horizontal="center" wrapText="1"/>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0" fontId="39" fillId="20" borderId="1" xfId="0" applyFont="1" applyFill="1" applyBorder="1" applyAlignment="1">
      <alignment horizontal="center"/>
    </xf>
    <xf numFmtId="2" fontId="39" fillId="21" borderId="1" xfId="0" applyNumberFormat="1" applyFont="1" applyFill="1" applyBorder="1" applyAlignment="1">
      <alignment horizontal="center" vertical="center"/>
    </xf>
    <xf numFmtId="0" fontId="0" fillId="20" borderId="1" xfId="0" applyFill="1" applyBorder="1" applyAlignment="1">
      <alignment horizontal="center" vertical="center" wrapText="1"/>
    </xf>
    <xf numFmtId="0" fontId="0" fillId="19" borderId="18" xfId="0" applyFill="1" applyBorder="1" applyAlignment="1">
      <alignment horizontal="center" vertical="center"/>
    </xf>
    <xf numFmtId="0" fontId="0" fillId="19" borderId="8" xfId="0" applyFill="1" applyBorder="1" applyAlignment="1">
      <alignment horizontal="center" vertical="center"/>
    </xf>
    <xf numFmtId="0" fontId="39" fillId="0" borderId="0" xfId="0" applyFont="1" applyAlignment="1">
      <alignment horizontal="left" vertical="center"/>
    </xf>
    <xf numFmtId="0" fontId="0" fillId="20" borderId="1" xfId="0" applyFill="1" applyBorder="1" applyAlignment="1">
      <alignment horizontal="center"/>
    </xf>
    <xf numFmtId="1" fontId="39" fillId="12" borderId="1" xfId="0" applyNumberFormat="1" applyFont="1" applyFill="1" applyBorder="1" applyAlignment="1">
      <alignment horizontal="center" vertical="center"/>
    </xf>
    <xf numFmtId="0" fontId="39" fillId="21" borderId="1" xfId="0" applyFont="1" applyFill="1" applyBorder="1" applyAlignment="1">
      <alignment horizontal="center" vertical="center"/>
    </xf>
    <xf numFmtId="0" fontId="0" fillId="20" borderId="2" xfId="0" applyFill="1" applyBorder="1" applyAlignment="1">
      <alignment horizontal="center" vertical="center" wrapText="1"/>
    </xf>
    <xf numFmtId="0" fontId="0" fillId="20" borderId="3" xfId="0" applyFill="1" applyBorder="1" applyAlignment="1">
      <alignment horizontal="center" vertical="center" wrapText="1"/>
    </xf>
    <xf numFmtId="2" fontId="39" fillId="12" borderId="1" xfId="0" applyNumberFormat="1" applyFont="1" applyFill="1" applyBorder="1" applyAlignment="1">
      <alignment horizontal="center" vertical="center"/>
    </xf>
    <xf numFmtId="0" fontId="39" fillId="12" borderId="1" xfId="0" applyFont="1" applyFill="1" applyBorder="1" applyAlignment="1">
      <alignment horizontal="center" vertical="center"/>
    </xf>
    <xf numFmtId="0" fontId="0" fillId="19" borderId="2" xfId="0" applyFill="1" applyBorder="1" applyAlignment="1">
      <alignment horizontal="center" vertical="center"/>
    </xf>
    <xf numFmtId="0" fontId="0" fillId="19" borderId="3" xfId="0" applyFill="1" applyBorder="1" applyAlignment="1">
      <alignment horizontal="center" vertical="center"/>
    </xf>
    <xf numFmtId="0" fontId="0" fillId="20" borderId="2" xfId="0" applyFill="1" applyBorder="1" applyAlignment="1">
      <alignment horizontal="center" vertical="center"/>
    </xf>
    <xf numFmtId="0" fontId="0" fillId="20" borderId="3" xfId="0" applyFill="1" applyBorder="1" applyAlignment="1">
      <alignment horizontal="center" vertical="center"/>
    </xf>
    <xf numFmtId="0" fontId="39" fillId="0" borderId="16" xfId="0" applyFont="1" applyBorder="1" applyAlignment="1">
      <alignment horizontal="center" vertical="center"/>
    </xf>
    <xf numFmtId="0" fontId="39" fillId="20" borderId="1" xfId="0" applyFont="1" applyFill="1" applyBorder="1" applyAlignment="1">
      <alignment horizontal="center" vertical="center" wrapText="1"/>
    </xf>
    <xf numFmtId="0" fontId="39" fillId="0" borderId="0" xfId="0" applyFont="1" applyAlignment="1">
      <alignment horizontal="right" vertical="center"/>
    </xf>
    <xf numFmtId="0" fontId="39" fillId="20" borderId="1" xfId="0" applyFont="1" applyFill="1" applyBorder="1" applyAlignment="1">
      <alignment horizontal="center" vertical="center"/>
    </xf>
    <xf numFmtId="0" fontId="0" fillId="19" borderId="14" xfId="0" applyFill="1" applyBorder="1" applyAlignment="1">
      <alignment horizontal="center" vertical="center"/>
    </xf>
    <xf numFmtId="0" fontId="39" fillId="0" borderId="16" xfId="0" applyFont="1" applyBorder="1" applyAlignment="1">
      <alignment horizontal="right" vertical="center"/>
    </xf>
    <xf numFmtId="0" fontId="39" fillId="0" borderId="15" xfId="0" applyFont="1" applyBorder="1" applyAlignment="1">
      <alignment horizontal="left" vertical="center"/>
    </xf>
    <xf numFmtId="0" fontId="0" fillId="0" borderId="10" xfId="0" applyBorder="1" applyAlignment="1">
      <alignment horizontal="center"/>
    </xf>
    <xf numFmtId="2" fontId="0" fillId="0" borderId="10" xfId="0" applyNumberFormat="1" applyBorder="1" applyAlignment="1">
      <alignment horizontal="center"/>
    </xf>
    <xf numFmtId="0" fontId="0" fillId="19" borderId="2" xfId="0" applyFill="1" applyBorder="1" applyAlignment="1">
      <alignment horizontal="center"/>
    </xf>
    <xf numFmtId="0" fontId="0" fillId="19" borderId="14" xfId="0" applyFill="1" applyBorder="1" applyAlignment="1">
      <alignment horizontal="center"/>
    </xf>
    <xf numFmtId="0" fontId="0" fillId="19" borderId="3" xfId="0" applyFill="1" applyBorder="1" applyAlignment="1">
      <alignment horizontal="center"/>
    </xf>
    <xf numFmtId="0" fontId="39" fillId="20" borderId="1" xfId="0" applyFont="1" applyFill="1" applyBorder="1" applyAlignment="1">
      <alignment horizontal="center" wrapText="1"/>
    </xf>
    <xf numFmtId="0" fontId="0" fillId="20" borderId="2" xfId="0" applyFill="1" applyBorder="1" applyAlignment="1">
      <alignment horizontal="center" wrapText="1"/>
    </xf>
    <xf numFmtId="0" fontId="0" fillId="20" borderId="14" xfId="0" applyFill="1" applyBorder="1" applyAlignment="1">
      <alignment horizontal="center" wrapText="1"/>
    </xf>
    <xf numFmtId="0" fontId="0" fillId="20" borderId="3" xfId="0" applyFill="1" applyBorder="1" applyAlignment="1">
      <alignment horizontal="center" wrapText="1"/>
    </xf>
    <xf numFmtId="0" fontId="0" fillId="20" borderId="2" xfId="0" applyFill="1" applyBorder="1" applyAlignment="1">
      <alignment horizontal="center"/>
    </xf>
    <xf numFmtId="0" fontId="0" fillId="20" borderId="14" xfId="0" applyFill="1" applyBorder="1" applyAlignment="1">
      <alignment horizontal="center"/>
    </xf>
    <xf numFmtId="0" fontId="0" fillId="20" borderId="3" xfId="0" applyFill="1" applyBorder="1" applyAlignment="1">
      <alignment horizontal="center"/>
    </xf>
    <xf numFmtId="2" fontId="23" fillId="12" borderId="2" xfId="0" applyNumberFormat="1" applyFont="1" applyFill="1" applyBorder="1" applyAlignment="1">
      <alignment horizontal="center"/>
    </xf>
    <xf numFmtId="2" fontId="23" fillId="12" borderId="3" xfId="0" applyNumberFormat="1" applyFont="1" applyFill="1" applyBorder="1" applyAlignment="1">
      <alignment horizontal="center"/>
    </xf>
    <xf numFmtId="0" fontId="0" fillId="0" borderId="0" xfId="0" applyAlignment="1">
      <alignment horizontal="left"/>
    </xf>
    <xf numFmtId="0" fontId="0" fillId="0" borderId="0" xfId="0" applyAlignment="1">
      <alignment horizontal="left" wrapText="1"/>
    </xf>
    <xf numFmtId="0" fontId="55" fillId="0" borderId="0" xfId="0" applyFont="1" applyAlignment="1">
      <alignment horizontal="center" vertical="center" wrapText="1"/>
    </xf>
    <xf numFmtId="14" fontId="0" fillId="10" borderId="1" xfId="0" applyNumberFormat="1" applyFill="1" applyBorder="1" applyAlignment="1">
      <alignment horizontal="center" vertical="center"/>
    </xf>
    <xf numFmtId="0" fontId="55" fillId="20" borderId="2" xfId="0" applyFont="1" applyFill="1" applyBorder="1" applyAlignment="1">
      <alignment horizontal="center"/>
    </xf>
    <xf numFmtId="0" fontId="55" fillId="20" borderId="14" xfId="0" applyFont="1" applyFill="1" applyBorder="1" applyAlignment="1">
      <alignment horizontal="center"/>
    </xf>
    <xf numFmtId="0" fontId="55" fillId="20" borderId="3" xfId="0" applyFont="1" applyFill="1" applyBorder="1" applyAlignment="1">
      <alignment horizontal="center"/>
    </xf>
    <xf numFmtId="0" fontId="55" fillId="21" borderId="1" xfId="0" applyFont="1" applyFill="1" applyBorder="1" applyAlignment="1">
      <alignment horizontal="center"/>
    </xf>
    <xf numFmtId="0" fontId="55" fillId="21" borderId="2" xfId="0" applyFont="1" applyFill="1" applyBorder="1" applyAlignment="1">
      <alignment horizontal="center"/>
    </xf>
    <xf numFmtId="0" fontId="55" fillId="21" borderId="3" xfId="0" applyFont="1" applyFill="1" applyBorder="1" applyAlignment="1">
      <alignment horizontal="center"/>
    </xf>
    <xf numFmtId="0" fontId="57" fillId="12" borderId="0" xfId="0" applyFont="1" applyFill="1" applyAlignment="1">
      <alignment horizontal="center" vertical="center"/>
    </xf>
    <xf numFmtId="0" fontId="55" fillId="0" borderId="0" xfId="0" applyFont="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7" borderId="1" xfId="0" applyFill="1" applyBorder="1" applyAlignment="1">
      <alignment horizontal="center" vertical="center"/>
    </xf>
    <xf numFmtId="0" fontId="5" fillId="0" borderId="0" xfId="0" applyFont="1" applyAlignment="1">
      <alignment horizontal="center" vertical="center"/>
    </xf>
    <xf numFmtId="0" fontId="0" fillId="2" borderId="1"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22" fontId="8" fillId="0" borderId="0" xfId="0" applyNumberFormat="1" applyFont="1" applyAlignment="1">
      <alignment horizontal="center" vertical="center"/>
    </xf>
    <xf numFmtId="14" fontId="0" fillId="0" borderId="0" xfId="0" applyNumberFormat="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24" fillId="0" borderId="0" xfId="0" applyFont="1" applyAlignment="1">
      <alignment horizontal="center"/>
    </xf>
    <xf numFmtId="0" fontId="36" fillId="0" borderId="0" xfId="0" applyFont="1" applyAlignment="1">
      <alignment horizontal="center" vertical="center"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28" fillId="0" borderId="0" xfId="0" applyFont="1" applyAlignment="1">
      <alignment horizontal="left" vertical="center" readingOrder="1"/>
    </xf>
    <xf numFmtId="0" fontId="19" fillId="12" borderId="0" xfId="0" applyFont="1" applyFill="1" applyAlignment="1">
      <alignment horizontal="center" vertical="center"/>
    </xf>
    <xf numFmtId="0" fontId="9" fillId="0" borderId="41" xfId="0" applyFont="1" applyBorder="1" applyAlignment="1">
      <alignment horizontal="center" vertical="center"/>
    </xf>
    <xf numFmtId="0" fontId="9" fillId="0" borderId="32"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0" xfId="0" applyFont="1" applyAlignment="1">
      <alignment horizontal="left" vertical="center"/>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9" fillId="0" borderId="0" xfId="0" applyFont="1" applyAlignment="1">
      <alignment horizontal="center" vertical="center"/>
    </xf>
    <xf numFmtId="0" fontId="13" fillId="0" borderId="0" xfId="0" applyFont="1" applyAlignment="1">
      <alignment horizontal="left"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9" fillId="0" borderId="19" xfId="0" applyFont="1" applyBorder="1" applyAlignment="1">
      <alignment horizontal="center" vertical="center"/>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0" fontId="0" fillId="3" borderId="10" xfId="0" applyFill="1" applyBorder="1" applyAlignment="1">
      <alignment horizontal="center" vertical="center" textRotation="90"/>
    </xf>
    <xf numFmtId="0" fontId="0" fillId="3" borderId="0" xfId="0" applyFill="1" applyAlignment="1">
      <alignment horizontal="center" vertical="center" textRotation="90"/>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0" fontId="18" fillId="0" borderId="0" xfId="0" applyFont="1" applyAlignment="1">
      <alignment horizontal="left" vertical="center" readingOrder="1"/>
    </xf>
    <xf numFmtId="0" fontId="17" fillId="0" borderId="0" xfId="0" applyFont="1" applyAlignment="1">
      <alignment horizontal="center" vertical="center" wrapText="1"/>
    </xf>
    <xf numFmtId="0" fontId="17" fillId="0" borderId="0" xfId="0" applyFont="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19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numFmt numFmtId="27" formatCode="dd/mm/yyyy\ hh:mm"/>
    </dxf>
    <dxf>
      <numFmt numFmtId="27" formatCode="dd/mm/yyyy\ hh:mm"/>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numFmt numFmtId="27" formatCode="dd/mm/yyyy\ hh:mm"/>
    </dxf>
    <dxf>
      <numFmt numFmtId="27" formatCode="dd/mm/yyyy\ hh:mm"/>
    </dxf>
    <dxf>
      <fill>
        <patternFill>
          <bgColor rgb="FF339966"/>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7" formatCode="dd/mm/yyyy\ hh:mm"/>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7" formatCode="dd/mm/yyyy\ hh:mm"/>
    </dxf>
    <dxf>
      <fill>
        <patternFill>
          <bgColor rgb="FF339966"/>
        </patternFill>
      </fill>
    </dxf>
    <dxf>
      <font>
        <color rgb="FF006100"/>
      </font>
      <fill>
        <patternFill>
          <bgColor rgb="FFC6EFCE"/>
        </patternFill>
      </fill>
    </dxf>
    <dxf>
      <fill>
        <patternFill>
          <bgColor theme="5" tint="0.59996337778862885"/>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0070C0"/>
      </font>
      <fill>
        <patternFill>
          <bgColor theme="3"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4" tint="-0.24994659260841701"/>
      </font>
      <fill>
        <patternFill>
          <bgColor theme="3" tint="0.79998168889431442"/>
        </patternFill>
      </fill>
    </dxf>
    <dxf>
      <font>
        <color rgb="FF9C0006"/>
      </font>
      <fill>
        <patternFill>
          <bgColor rgb="FFFFC7CE"/>
        </patternFill>
      </fill>
    </dxf>
    <dxf>
      <font>
        <color rgb="FF9C0006"/>
      </font>
      <fill>
        <patternFill>
          <bgColor rgb="FFFFC7CE"/>
        </patternFill>
      </fill>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27" formatCode="dd/mm/yyyy\ hh:mm"/>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font>
        <b/>
        <i val="0"/>
        <strike val="0"/>
      </font>
      <fill>
        <patternFill>
          <bgColor rgb="FFFF0000"/>
        </patternFill>
      </fill>
    </dxf>
    <dxf>
      <fill>
        <patternFill>
          <bgColor rgb="FFFF0000"/>
        </patternFill>
      </fill>
    </dxf>
    <dxf>
      <fill>
        <patternFill>
          <bgColor rgb="FFE6E6E6"/>
        </patternFill>
      </fill>
    </dxf>
    <dxf>
      <fill>
        <patternFill patternType="solid">
          <bgColor theme="0" tint="-0.14996795556505021"/>
        </patternFill>
      </fill>
    </dxf>
    <dxf>
      <font>
        <b/>
        <i val="0"/>
      </font>
      <fill>
        <patternFill>
          <bgColor rgb="FFFFFF99"/>
        </patternFill>
      </fill>
      <border>
        <bottom style="double">
          <color auto="1"/>
        </bottom>
      </border>
    </dxf>
    <dxf>
      <border>
        <left style="thin">
          <color auto="1"/>
        </left>
        <right style="thin">
          <color auto="1"/>
        </right>
        <top style="thin">
          <color auto="1"/>
        </top>
        <bottom style="thin">
          <color auto="1"/>
        </bottom>
      </border>
    </dxf>
  </dxfs>
  <tableStyles count="1" defaultTableStyle="TableStyleMedium2" defaultPivotStyle="PivotStyleLight16">
    <tableStyle name="Style de tableau 1" pivot="0" count="4" xr9:uid="{868C53FE-4B93-418F-A1B3-7840E5E21AC5}">
      <tableStyleElement type="wholeTable" dxfId="190"/>
      <tableStyleElement type="headerRow" dxfId="189"/>
      <tableStyleElement type="firstRowStripe" dxfId="188"/>
      <tableStyleElement type="secondRowStripe" dxfId="187"/>
    </tableStyle>
  </tableStyles>
  <colors>
    <mruColors>
      <color rgb="FF00FFCC"/>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1950833313499483"/>
          <c:h val="0.87505389190162974"/>
        </c:manualLayout>
      </c:layout>
      <c:lineChart>
        <c:grouping val="standard"/>
        <c:varyColors val="0"/>
        <c:ser>
          <c:idx val="0"/>
          <c:order val="0"/>
          <c:tx>
            <c:strRef>
              <c:f>'transfert 80'!$F$1</c:f>
              <c:strCache>
                <c:ptCount val="1"/>
                <c:pt idx="0">
                  <c:v>Connecteur 5</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80'!$F$2:$F$181</c:f>
              <c:numCache>
                <c:formatCode>General</c:formatCode>
                <c:ptCount val="180"/>
                <c:pt idx="0">
                  <c:v>41.91</c:v>
                </c:pt>
                <c:pt idx="1">
                  <c:v>42.18</c:v>
                </c:pt>
                <c:pt idx="2">
                  <c:v>42.39</c:v>
                </c:pt>
                <c:pt idx="3">
                  <c:v>42.55</c:v>
                </c:pt>
                <c:pt idx="4">
                  <c:v>42.69</c:v>
                </c:pt>
                <c:pt idx="5">
                  <c:v>42.86</c:v>
                </c:pt>
                <c:pt idx="6">
                  <c:v>43</c:v>
                </c:pt>
                <c:pt idx="7">
                  <c:v>43.14</c:v>
                </c:pt>
                <c:pt idx="8">
                  <c:v>43.28</c:v>
                </c:pt>
                <c:pt idx="9">
                  <c:v>43.42</c:v>
                </c:pt>
                <c:pt idx="10">
                  <c:v>43.54</c:v>
                </c:pt>
                <c:pt idx="11">
                  <c:v>43.69</c:v>
                </c:pt>
                <c:pt idx="12">
                  <c:v>43.77</c:v>
                </c:pt>
                <c:pt idx="13">
                  <c:v>43.89</c:v>
                </c:pt>
                <c:pt idx="14">
                  <c:v>44.03</c:v>
                </c:pt>
                <c:pt idx="15">
                  <c:v>44.14</c:v>
                </c:pt>
                <c:pt idx="16">
                  <c:v>44.26</c:v>
                </c:pt>
                <c:pt idx="17">
                  <c:v>44.35</c:v>
                </c:pt>
                <c:pt idx="18">
                  <c:v>44.49</c:v>
                </c:pt>
                <c:pt idx="19">
                  <c:v>44.6</c:v>
                </c:pt>
                <c:pt idx="20">
                  <c:v>44.75</c:v>
                </c:pt>
                <c:pt idx="21">
                  <c:v>44.85</c:v>
                </c:pt>
                <c:pt idx="22">
                  <c:v>44.93</c:v>
                </c:pt>
                <c:pt idx="23">
                  <c:v>45.01</c:v>
                </c:pt>
                <c:pt idx="24">
                  <c:v>45.11</c:v>
                </c:pt>
                <c:pt idx="25">
                  <c:v>45.21</c:v>
                </c:pt>
                <c:pt idx="26">
                  <c:v>45.33</c:v>
                </c:pt>
                <c:pt idx="27">
                  <c:v>45.46</c:v>
                </c:pt>
                <c:pt idx="28">
                  <c:v>45.51</c:v>
                </c:pt>
                <c:pt idx="29">
                  <c:v>45.62</c:v>
                </c:pt>
                <c:pt idx="30">
                  <c:v>45.66</c:v>
                </c:pt>
                <c:pt idx="31">
                  <c:v>45.8</c:v>
                </c:pt>
                <c:pt idx="32">
                  <c:v>45.88</c:v>
                </c:pt>
                <c:pt idx="33">
                  <c:v>45.99</c:v>
                </c:pt>
                <c:pt idx="34">
                  <c:v>46.07</c:v>
                </c:pt>
                <c:pt idx="35">
                  <c:v>46.14</c:v>
                </c:pt>
                <c:pt idx="36">
                  <c:v>46.2</c:v>
                </c:pt>
                <c:pt idx="37">
                  <c:v>46.3</c:v>
                </c:pt>
                <c:pt idx="38">
                  <c:v>46.4</c:v>
                </c:pt>
                <c:pt idx="39">
                  <c:v>46.51</c:v>
                </c:pt>
                <c:pt idx="40">
                  <c:v>46.6</c:v>
                </c:pt>
                <c:pt idx="41">
                  <c:v>46.64</c:v>
                </c:pt>
                <c:pt idx="42">
                  <c:v>46.7</c:v>
                </c:pt>
                <c:pt idx="43">
                  <c:v>46.78</c:v>
                </c:pt>
                <c:pt idx="44">
                  <c:v>46.86</c:v>
                </c:pt>
                <c:pt idx="45">
                  <c:v>46.92</c:v>
                </c:pt>
                <c:pt idx="46">
                  <c:v>47</c:v>
                </c:pt>
                <c:pt idx="47">
                  <c:v>47.08</c:v>
                </c:pt>
                <c:pt idx="48">
                  <c:v>47.14</c:v>
                </c:pt>
                <c:pt idx="49">
                  <c:v>47.26</c:v>
                </c:pt>
                <c:pt idx="50">
                  <c:v>47.26</c:v>
                </c:pt>
                <c:pt idx="51">
                  <c:v>47.38</c:v>
                </c:pt>
                <c:pt idx="52">
                  <c:v>47.42</c:v>
                </c:pt>
                <c:pt idx="53">
                  <c:v>47.53</c:v>
                </c:pt>
                <c:pt idx="54">
                  <c:v>47.68</c:v>
                </c:pt>
                <c:pt idx="55">
                  <c:v>48.61</c:v>
                </c:pt>
                <c:pt idx="56">
                  <c:v>50.09</c:v>
                </c:pt>
                <c:pt idx="57">
                  <c:v>51.71</c:v>
                </c:pt>
                <c:pt idx="58">
                  <c:v>53.35</c:v>
                </c:pt>
                <c:pt idx="59">
                  <c:v>54.95</c:v>
                </c:pt>
                <c:pt idx="60">
                  <c:v>56.25</c:v>
                </c:pt>
                <c:pt idx="61">
                  <c:v>57.32</c:v>
                </c:pt>
                <c:pt idx="62">
                  <c:v>58.31</c:v>
                </c:pt>
                <c:pt idx="63">
                  <c:v>59.11</c:v>
                </c:pt>
                <c:pt idx="64">
                  <c:v>59.44</c:v>
                </c:pt>
                <c:pt idx="65">
                  <c:v>60.07</c:v>
                </c:pt>
                <c:pt idx="66">
                  <c:v>60.42</c:v>
                </c:pt>
                <c:pt idx="67">
                  <c:v>60.65</c:v>
                </c:pt>
                <c:pt idx="68">
                  <c:v>61.03</c:v>
                </c:pt>
                <c:pt idx="69">
                  <c:v>61.23</c:v>
                </c:pt>
                <c:pt idx="70">
                  <c:v>61.52</c:v>
                </c:pt>
                <c:pt idx="71">
                  <c:v>61.83</c:v>
                </c:pt>
                <c:pt idx="72">
                  <c:v>62</c:v>
                </c:pt>
                <c:pt idx="73">
                  <c:v>62.21</c:v>
                </c:pt>
                <c:pt idx="74">
                  <c:v>62.59</c:v>
                </c:pt>
                <c:pt idx="75">
                  <c:v>62.82</c:v>
                </c:pt>
                <c:pt idx="76">
                  <c:v>63.09</c:v>
                </c:pt>
                <c:pt idx="77">
                  <c:v>63.27</c:v>
                </c:pt>
                <c:pt idx="78">
                  <c:v>63.59</c:v>
                </c:pt>
                <c:pt idx="79">
                  <c:v>63.95</c:v>
                </c:pt>
                <c:pt idx="80">
                  <c:v>64.2</c:v>
                </c:pt>
                <c:pt idx="81">
                  <c:v>64.459999999999994</c:v>
                </c:pt>
                <c:pt idx="82">
                  <c:v>64.86</c:v>
                </c:pt>
                <c:pt idx="83">
                  <c:v>65.13</c:v>
                </c:pt>
                <c:pt idx="84">
                  <c:v>65.430000000000007</c:v>
                </c:pt>
                <c:pt idx="85">
                  <c:v>65.709999999999994</c:v>
                </c:pt>
                <c:pt idx="86">
                  <c:v>66.03</c:v>
                </c:pt>
                <c:pt idx="87">
                  <c:v>66.459999999999994</c:v>
                </c:pt>
                <c:pt idx="88">
                  <c:v>66.709999999999994</c:v>
                </c:pt>
                <c:pt idx="89">
                  <c:v>67.040000000000006</c:v>
                </c:pt>
                <c:pt idx="90">
                  <c:v>67.36</c:v>
                </c:pt>
                <c:pt idx="91">
                  <c:v>67.73</c:v>
                </c:pt>
                <c:pt idx="92">
                  <c:v>68.010000000000005</c:v>
                </c:pt>
                <c:pt idx="93">
                  <c:v>68.349999999999994</c:v>
                </c:pt>
                <c:pt idx="94">
                  <c:v>68.66</c:v>
                </c:pt>
                <c:pt idx="95">
                  <c:v>68.989999999999995</c:v>
                </c:pt>
                <c:pt idx="96">
                  <c:v>69.31</c:v>
                </c:pt>
                <c:pt idx="97">
                  <c:v>69.62</c:v>
                </c:pt>
                <c:pt idx="98">
                  <c:v>70.05</c:v>
                </c:pt>
                <c:pt idx="99">
                  <c:v>70.31</c:v>
                </c:pt>
                <c:pt idx="100">
                  <c:v>70.67</c:v>
                </c:pt>
                <c:pt idx="101">
                  <c:v>70.94</c:v>
                </c:pt>
                <c:pt idx="102">
                  <c:v>71.3</c:v>
                </c:pt>
                <c:pt idx="103">
                  <c:v>71.61</c:v>
                </c:pt>
                <c:pt idx="104">
                  <c:v>72.010000000000005</c:v>
                </c:pt>
                <c:pt idx="105">
                  <c:v>72.31</c:v>
                </c:pt>
                <c:pt idx="106">
                  <c:v>72.64</c:v>
                </c:pt>
                <c:pt idx="107">
                  <c:v>72.97</c:v>
                </c:pt>
                <c:pt idx="108">
                  <c:v>73.33</c:v>
                </c:pt>
                <c:pt idx="109">
                  <c:v>73.680000000000007</c:v>
                </c:pt>
                <c:pt idx="110">
                  <c:v>74.03</c:v>
                </c:pt>
                <c:pt idx="111">
                  <c:v>74.25</c:v>
                </c:pt>
                <c:pt idx="112">
                  <c:v>74.650000000000006</c:v>
                </c:pt>
                <c:pt idx="113">
                  <c:v>75.069999999999993</c:v>
                </c:pt>
                <c:pt idx="114">
                  <c:v>75.39</c:v>
                </c:pt>
                <c:pt idx="115">
                  <c:v>75.680000000000007</c:v>
                </c:pt>
                <c:pt idx="116">
                  <c:v>76.05</c:v>
                </c:pt>
                <c:pt idx="117">
                  <c:v>76.38</c:v>
                </c:pt>
                <c:pt idx="118">
                  <c:v>76.739999999999995</c:v>
                </c:pt>
                <c:pt idx="119">
                  <c:v>77.03</c:v>
                </c:pt>
                <c:pt idx="120">
                  <c:v>77.38</c:v>
                </c:pt>
                <c:pt idx="121">
                  <c:v>77.7</c:v>
                </c:pt>
                <c:pt idx="122">
                  <c:v>78.03</c:v>
                </c:pt>
                <c:pt idx="123">
                  <c:v>78.39</c:v>
                </c:pt>
                <c:pt idx="124">
                  <c:v>78.67</c:v>
                </c:pt>
                <c:pt idx="125">
                  <c:v>79.010000000000005</c:v>
                </c:pt>
                <c:pt idx="126">
                  <c:v>79.37</c:v>
                </c:pt>
                <c:pt idx="127">
                  <c:v>79.760000000000005</c:v>
                </c:pt>
                <c:pt idx="128">
                  <c:v>80.040000000000006</c:v>
                </c:pt>
                <c:pt idx="129">
                  <c:v>80.349999999999994</c:v>
                </c:pt>
                <c:pt idx="130">
                  <c:v>80.63</c:v>
                </c:pt>
                <c:pt idx="131">
                  <c:v>80.98</c:v>
                </c:pt>
                <c:pt idx="132">
                  <c:v>81.319999999999993</c:v>
                </c:pt>
                <c:pt idx="133">
                  <c:v>81.739999999999995</c:v>
                </c:pt>
                <c:pt idx="134">
                  <c:v>82.02</c:v>
                </c:pt>
                <c:pt idx="135">
                  <c:v>82.34</c:v>
                </c:pt>
                <c:pt idx="136">
                  <c:v>82.53</c:v>
                </c:pt>
                <c:pt idx="137">
                  <c:v>82.44</c:v>
                </c:pt>
                <c:pt idx="138">
                  <c:v>82.25</c:v>
                </c:pt>
                <c:pt idx="139">
                  <c:v>82.1</c:v>
                </c:pt>
                <c:pt idx="140">
                  <c:v>81.91</c:v>
                </c:pt>
                <c:pt idx="141">
                  <c:v>81.75</c:v>
                </c:pt>
                <c:pt idx="142">
                  <c:v>81.58</c:v>
                </c:pt>
                <c:pt idx="143">
                  <c:v>81.38</c:v>
                </c:pt>
                <c:pt idx="144">
                  <c:v>81.31</c:v>
                </c:pt>
                <c:pt idx="145">
                  <c:v>81.180000000000007</c:v>
                </c:pt>
                <c:pt idx="146">
                  <c:v>81.099999999999994</c:v>
                </c:pt>
                <c:pt idx="147">
                  <c:v>81.069999999999993</c:v>
                </c:pt>
                <c:pt idx="148">
                  <c:v>81.05</c:v>
                </c:pt>
                <c:pt idx="149">
                  <c:v>80.989999999999995</c:v>
                </c:pt>
                <c:pt idx="150">
                  <c:v>80.95</c:v>
                </c:pt>
                <c:pt idx="151">
                  <c:v>81.02</c:v>
                </c:pt>
                <c:pt idx="152">
                  <c:v>80.959999999999994</c:v>
                </c:pt>
                <c:pt idx="153">
                  <c:v>80.95</c:v>
                </c:pt>
                <c:pt idx="154">
                  <c:v>80.930000000000007</c:v>
                </c:pt>
                <c:pt idx="155">
                  <c:v>80.88</c:v>
                </c:pt>
                <c:pt idx="156">
                  <c:v>80.930000000000007</c:v>
                </c:pt>
                <c:pt idx="157">
                  <c:v>80.900000000000006</c:v>
                </c:pt>
                <c:pt idx="158">
                  <c:v>80.94</c:v>
                </c:pt>
                <c:pt idx="159">
                  <c:v>80.84</c:v>
                </c:pt>
                <c:pt idx="160">
                  <c:v>80.930000000000007</c:v>
                </c:pt>
                <c:pt idx="161">
                  <c:v>80.91</c:v>
                </c:pt>
                <c:pt idx="162">
                  <c:v>80.94</c:v>
                </c:pt>
                <c:pt idx="163">
                  <c:v>80.92</c:v>
                </c:pt>
                <c:pt idx="164">
                  <c:v>80.89</c:v>
                </c:pt>
                <c:pt idx="165">
                  <c:v>80.95</c:v>
                </c:pt>
                <c:pt idx="166">
                  <c:v>80.88</c:v>
                </c:pt>
                <c:pt idx="167">
                  <c:v>80.91</c:v>
                </c:pt>
                <c:pt idx="168">
                  <c:v>80.92</c:v>
                </c:pt>
                <c:pt idx="169">
                  <c:v>80.89</c:v>
                </c:pt>
                <c:pt idx="170">
                  <c:v>80.78</c:v>
                </c:pt>
                <c:pt idx="171">
                  <c:v>80.89</c:v>
                </c:pt>
                <c:pt idx="172">
                  <c:v>80.91</c:v>
                </c:pt>
                <c:pt idx="173">
                  <c:v>80.91</c:v>
                </c:pt>
                <c:pt idx="174">
                  <c:v>80.849999999999994</c:v>
                </c:pt>
                <c:pt idx="175">
                  <c:v>80.88</c:v>
                </c:pt>
                <c:pt idx="176">
                  <c:v>80.89</c:v>
                </c:pt>
                <c:pt idx="177">
                  <c:v>80.92</c:v>
                </c:pt>
                <c:pt idx="178">
                  <c:v>80.92</c:v>
                </c:pt>
                <c:pt idx="179">
                  <c:v>81.03</c:v>
                </c:pt>
              </c:numCache>
            </c:numRef>
          </c:val>
          <c:smooth val="0"/>
          <c:extLst xmlns:c15="http://schemas.microsoft.com/office/drawing/2012/chart">
            <c:ext xmlns:c16="http://schemas.microsoft.com/office/drawing/2014/chart" uri="{C3380CC4-5D6E-409C-BE32-E72D297353CC}">
              <c16:uniqueId val="{00000000-7814-40D7-A60F-BB007AD3A6AD}"/>
            </c:ext>
          </c:extLst>
        </c:ser>
        <c:ser>
          <c:idx val="1"/>
          <c:order val="1"/>
          <c:tx>
            <c:strRef>
              <c:f>'transfert 80'!$G$1</c:f>
              <c:strCache>
                <c:ptCount val="1"/>
                <c:pt idx="0">
                  <c:v>Connecteur 6</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80'!$G$2:$G$181</c:f>
              <c:numCache>
                <c:formatCode>General</c:formatCode>
                <c:ptCount val="180"/>
                <c:pt idx="0">
                  <c:v>41.66</c:v>
                </c:pt>
                <c:pt idx="1">
                  <c:v>41.83</c:v>
                </c:pt>
                <c:pt idx="2">
                  <c:v>42.17</c:v>
                </c:pt>
                <c:pt idx="3">
                  <c:v>42.29</c:v>
                </c:pt>
                <c:pt idx="4">
                  <c:v>42.5</c:v>
                </c:pt>
                <c:pt idx="5">
                  <c:v>42.64</c:v>
                </c:pt>
                <c:pt idx="6">
                  <c:v>42.74</c:v>
                </c:pt>
                <c:pt idx="7">
                  <c:v>42.93</c:v>
                </c:pt>
                <c:pt idx="8">
                  <c:v>43.1</c:v>
                </c:pt>
                <c:pt idx="9">
                  <c:v>43.2</c:v>
                </c:pt>
                <c:pt idx="10">
                  <c:v>43.36</c:v>
                </c:pt>
                <c:pt idx="11">
                  <c:v>43.57</c:v>
                </c:pt>
                <c:pt idx="12">
                  <c:v>43.66</c:v>
                </c:pt>
                <c:pt idx="13">
                  <c:v>43.81</c:v>
                </c:pt>
                <c:pt idx="14">
                  <c:v>43.85</c:v>
                </c:pt>
                <c:pt idx="15">
                  <c:v>44.04</c:v>
                </c:pt>
                <c:pt idx="16">
                  <c:v>44.11</c:v>
                </c:pt>
                <c:pt idx="17">
                  <c:v>44.24</c:v>
                </c:pt>
                <c:pt idx="18">
                  <c:v>44.37</c:v>
                </c:pt>
                <c:pt idx="19">
                  <c:v>44.43</c:v>
                </c:pt>
                <c:pt idx="20">
                  <c:v>44.64</c:v>
                </c:pt>
                <c:pt idx="21">
                  <c:v>44.66</c:v>
                </c:pt>
                <c:pt idx="22">
                  <c:v>44.83</c:v>
                </c:pt>
                <c:pt idx="23">
                  <c:v>44.96</c:v>
                </c:pt>
                <c:pt idx="24">
                  <c:v>45.06</c:v>
                </c:pt>
                <c:pt idx="25">
                  <c:v>45.11</c:v>
                </c:pt>
                <c:pt idx="26">
                  <c:v>45.27</c:v>
                </c:pt>
                <c:pt idx="27">
                  <c:v>45.35</c:v>
                </c:pt>
                <c:pt idx="28">
                  <c:v>45.44</c:v>
                </c:pt>
                <c:pt idx="29">
                  <c:v>45.56</c:v>
                </c:pt>
                <c:pt idx="30">
                  <c:v>45.61</c:v>
                </c:pt>
                <c:pt idx="31">
                  <c:v>45.75</c:v>
                </c:pt>
                <c:pt idx="32">
                  <c:v>45.86</c:v>
                </c:pt>
                <c:pt idx="33">
                  <c:v>45.91</c:v>
                </c:pt>
                <c:pt idx="34">
                  <c:v>46.02</c:v>
                </c:pt>
                <c:pt idx="35">
                  <c:v>46.12</c:v>
                </c:pt>
                <c:pt idx="36">
                  <c:v>46.22</c:v>
                </c:pt>
                <c:pt idx="37">
                  <c:v>46.2</c:v>
                </c:pt>
                <c:pt idx="38">
                  <c:v>46.38</c:v>
                </c:pt>
                <c:pt idx="39">
                  <c:v>46.43</c:v>
                </c:pt>
                <c:pt idx="40">
                  <c:v>46.51</c:v>
                </c:pt>
                <c:pt idx="41">
                  <c:v>46.53</c:v>
                </c:pt>
                <c:pt idx="42">
                  <c:v>46.66</c:v>
                </c:pt>
                <c:pt idx="43">
                  <c:v>46.75</c:v>
                </c:pt>
                <c:pt idx="44">
                  <c:v>46.78</c:v>
                </c:pt>
                <c:pt idx="45">
                  <c:v>46.87</c:v>
                </c:pt>
                <c:pt idx="46">
                  <c:v>47.02</c:v>
                </c:pt>
                <c:pt idx="47">
                  <c:v>47.08</c:v>
                </c:pt>
                <c:pt idx="48">
                  <c:v>47.12</c:v>
                </c:pt>
                <c:pt idx="49">
                  <c:v>47.18</c:v>
                </c:pt>
                <c:pt idx="50">
                  <c:v>47.27</c:v>
                </c:pt>
                <c:pt idx="51">
                  <c:v>47.34</c:v>
                </c:pt>
                <c:pt idx="52">
                  <c:v>47.39</c:v>
                </c:pt>
                <c:pt idx="53">
                  <c:v>47.51</c:v>
                </c:pt>
                <c:pt idx="54">
                  <c:v>47.67</c:v>
                </c:pt>
                <c:pt idx="55">
                  <c:v>48.49</c:v>
                </c:pt>
                <c:pt idx="56">
                  <c:v>50</c:v>
                </c:pt>
                <c:pt idx="57">
                  <c:v>51.44</c:v>
                </c:pt>
                <c:pt idx="58">
                  <c:v>52.99</c:v>
                </c:pt>
                <c:pt idx="59">
                  <c:v>54.43</c:v>
                </c:pt>
                <c:pt idx="60">
                  <c:v>55.82</c:v>
                </c:pt>
                <c:pt idx="61">
                  <c:v>56.89</c:v>
                </c:pt>
                <c:pt idx="62">
                  <c:v>57.84</c:v>
                </c:pt>
                <c:pt idx="63">
                  <c:v>58.62</c:v>
                </c:pt>
                <c:pt idx="64">
                  <c:v>59.2</c:v>
                </c:pt>
                <c:pt idx="65">
                  <c:v>59.74</c:v>
                </c:pt>
                <c:pt idx="66">
                  <c:v>60.09</c:v>
                </c:pt>
                <c:pt idx="67">
                  <c:v>60.5</c:v>
                </c:pt>
                <c:pt idx="68">
                  <c:v>60.78</c:v>
                </c:pt>
                <c:pt idx="69">
                  <c:v>61.03</c:v>
                </c:pt>
                <c:pt idx="70">
                  <c:v>61.31</c:v>
                </c:pt>
                <c:pt idx="71">
                  <c:v>61.57</c:v>
                </c:pt>
                <c:pt idx="72">
                  <c:v>61.97</c:v>
                </c:pt>
                <c:pt idx="73">
                  <c:v>62.18</c:v>
                </c:pt>
                <c:pt idx="74">
                  <c:v>62.44</c:v>
                </c:pt>
                <c:pt idx="75">
                  <c:v>62.72</c:v>
                </c:pt>
                <c:pt idx="76">
                  <c:v>63.11</c:v>
                </c:pt>
                <c:pt idx="77">
                  <c:v>63.24</c:v>
                </c:pt>
                <c:pt idx="78">
                  <c:v>63.53</c:v>
                </c:pt>
                <c:pt idx="79">
                  <c:v>63.86</c:v>
                </c:pt>
                <c:pt idx="80">
                  <c:v>64.150000000000006</c:v>
                </c:pt>
                <c:pt idx="81">
                  <c:v>64.52</c:v>
                </c:pt>
                <c:pt idx="82">
                  <c:v>64.760000000000005</c:v>
                </c:pt>
                <c:pt idx="83">
                  <c:v>65.099999999999994</c:v>
                </c:pt>
                <c:pt idx="84">
                  <c:v>65.459999999999994</c:v>
                </c:pt>
                <c:pt idx="85">
                  <c:v>65.75</c:v>
                </c:pt>
                <c:pt idx="86">
                  <c:v>66.099999999999994</c:v>
                </c:pt>
                <c:pt idx="87">
                  <c:v>66.33</c:v>
                </c:pt>
                <c:pt idx="88">
                  <c:v>66.72</c:v>
                </c:pt>
                <c:pt idx="89">
                  <c:v>67.12</c:v>
                </c:pt>
                <c:pt idx="90">
                  <c:v>67.47</c:v>
                </c:pt>
                <c:pt idx="91">
                  <c:v>67.790000000000006</c:v>
                </c:pt>
                <c:pt idx="92">
                  <c:v>68.010000000000005</c:v>
                </c:pt>
                <c:pt idx="93">
                  <c:v>68.41</c:v>
                </c:pt>
                <c:pt idx="94">
                  <c:v>68.7</c:v>
                </c:pt>
                <c:pt idx="95">
                  <c:v>69.06</c:v>
                </c:pt>
                <c:pt idx="96">
                  <c:v>69.41</c:v>
                </c:pt>
                <c:pt idx="97">
                  <c:v>69.75</c:v>
                </c:pt>
                <c:pt idx="98">
                  <c:v>70.06</c:v>
                </c:pt>
                <c:pt idx="99">
                  <c:v>70.5</c:v>
                </c:pt>
                <c:pt idx="100">
                  <c:v>70.680000000000007</c:v>
                </c:pt>
                <c:pt idx="101">
                  <c:v>71.12</c:v>
                </c:pt>
                <c:pt idx="102">
                  <c:v>71.48</c:v>
                </c:pt>
                <c:pt idx="103">
                  <c:v>71.77</c:v>
                </c:pt>
                <c:pt idx="104">
                  <c:v>72.099999999999994</c:v>
                </c:pt>
                <c:pt idx="105">
                  <c:v>72.47</c:v>
                </c:pt>
                <c:pt idx="106">
                  <c:v>72.790000000000006</c:v>
                </c:pt>
                <c:pt idx="107">
                  <c:v>73.239999999999995</c:v>
                </c:pt>
                <c:pt idx="108">
                  <c:v>73.41</c:v>
                </c:pt>
                <c:pt idx="109">
                  <c:v>73.819999999999993</c:v>
                </c:pt>
                <c:pt idx="110">
                  <c:v>74.180000000000007</c:v>
                </c:pt>
                <c:pt idx="111">
                  <c:v>74.489999999999995</c:v>
                </c:pt>
                <c:pt idx="112">
                  <c:v>74.84</c:v>
                </c:pt>
                <c:pt idx="113">
                  <c:v>75.290000000000006</c:v>
                </c:pt>
                <c:pt idx="114">
                  <c:v>75.62</c:v>
                </c:pt>
                <c:pt idx="115">
                  <c:v>75.88</c:v>
                </c:pt>
                <c:pt idx="116">
                  <c:v>76.25</c:v>
                </c:pt>
                <c:pt idx="117">
                  <c:v>76.58</c:v>
                </c:pt>
                <c:pt idx="118">
                  <c:v>76.91</c:v>
                </c:pt>
                <c:pt idx="119">
                  <c:v>77.2</c:v>
                </c:pt>
                <c:pt idx="120">
                  <c:v>77.58</c:v>
                </c:pt>
                <c:pt idx="121">
                  <c:v>77.87</c:v>
                </c:pt>
                <c:pt idx="122">
                  <c:v>78.22</c:v>
                </c:pt>
                <c:pt idx="123">
                  <c:v>78.55</c:v>
                </c:pt>
                <c:pt idx="124">
                  <c:v>78.88</c:v>
                </c:pt>
                <c:pt idx="125">
                  <c:v>79.260000000000005</c:v>
                </c:pt>
                <c:pt idx="126">
                  <c:v>79.59</c:v>
                </c:pt>
                <c:pt idx="127">
                  <c:v>79.989999999999995</c:v>
                </c:pt>
                <c:pt idx="128">
                  <c:v>80.28</c:v>
                </c:pt>
                <c:pt idx="129">
                  <c:v>80.599999999999994</c:v>
                </c:pt>
                <c:pt idx="130">
                  <c:v>80.87</c:v>
                </c:pt>
                <c:pt idx="131">
                  <c:v>81.290000000000006</c:v>
                </c:pt>
                <c:pt idx="132">
                  <c:v>81.66</c:v>
                </c:pt>
                <c:pt idx="133">
                  <c:v>81.99</c:v>
                </c:pt>
                <c:pt idx="134">
                  <c:v>82.44</c:v>
                </c:pt>
                <c:pt idx="135">
                  <c:v>82.68</c:v>
                </c:pt>
                <c:pt idx="136">
                  <c:v>82.76</c:v>
                </c:pt>
                <c:pt idx="137">
                  <c:v>82.74</c:v>
                </c:pt>
                <c:pt idx="138">
                  <c:v>82.6</c:v>
                </c:pt>
                <c:pt idx="139">
                  <c:v>82.47</c:v>
                </c:pt>
                <c:pt idx="140">
                  <c:v>82.22</c:v>
                </c:pt>
                <c:pt idx="141">
                  <c:v>82.13</c:v>
                </c:pt>
                <c:pt idx="142">
                  <c:v>82.02</c:v>
                </c:pt>
                <c:pt idx="143">
                  <c:v>81.87</c:v>
                </c:pt>
                <c:pt idx="144">
                  <c:v>81.81</c:v>
                </c:pt>
                <c:pt idx="145">
                  <c:v>81.680000000000007</c:v>
                </c:pt>
                <c:pt idx="146">
                  <c:v>81.59</c:v>
                </c:pt>
                <c:pt idx="147">
                  <c:v>81.58</c:v>
                </c:pt>
                <c:pt idx="148">
                  <c:v>81.52</c:v>
                </c:pt>
                <c:pt idx="149">
                  <c:v>81.459999999999994</c:v>
                </c:pt>
                <c:pt idx="150">
                  <c:v>81.44</c:v>
                </c:pt>
                <c:pt idx="151">
                  <c:v>81.42</c:v>
                </c:pt>
                <c:pt idx="152">
                  <c:v>81.489999999999995</c:v>
                </c:pt>
                <c:pt idx="153">
                  <c:v>81.5</c:v>
                </c:pt>
                <c:pt idx="154">
                  <c:v>81.430000000000007</c:v>
                </c:pt>
                <c:pt idx="155">
                  <c:v>81.36</c:v>
                </c:pt>
                <c:pt idx="156">
                  <c:v>81.39</c:v>
                </c:pt>
                <c:pt idx="157">
                  <c:v>81.37</c:v>
                </c:pt>
                <c:pt idx="158">
                  <c:v>81.41</c:v>
                </c:pt>
                <c:pt idx="159">
                  <c:v>81.37</c:v>
                </c:pt>
                <c:pt idx="160">
                  <c:v>81.42</c:v>
                </c:pt>
                <c:pt idx="161">
                  <c:v>81.44</c:v>
                </c:pt>
                <c:pt idx="162">
                  <c:v>81.400000000000006</c:v>
                </c:pt>
                <c:pt idx="163">
                  <c:v>81.400000000000006</c:v>
                </c:pt>
                <c:pt idx="164">
                  <c:v>81.37</c:v>
                </c:pt>
                <c:pt idx="165">
                  <c:v>81.37</c:v>
                </c:pt>
                <c:pt idx="166">
                  <c:v>81.36</c:v>
                </c:pt>
                <c:pt idx="167">
                  <c:v>81.37</c:v>
                </c:pt>
                <c:pt idx="168">
                  <c:v>81.37</c:v>
                </c:pt>
                <c:pt idx="169">
                  <c:v>81.37</c:v>
                </c:pt>
                <c:pt idx="170">
                  <c:v>81.41</c:v>
                </c:pt>
                <c:pt idx="171">
                  <c:v>81.3</c:v>
                </c:pt>
                <c:pt idx="172">
                  <c:v>81.34</c:v>
                </c:pt>
                <c:pt idx="173">
                  <c:v>81.33</c:v>
                </c:pt>
                <c:pt idx="174">
                  <c:v>81.36</c:v>
                </c:pt>
                <c:pt idx="175">
                  <c:v>81.38</c:v>
                </c:pt>
                <c:pt idx="176">
                  <c:v>81.33</c:v>
                </c:pt>
                <c:pt idx="177">
                  <c:v>81.42</c:v>
                </c:pt>
                <c:pt idx="178">
                  <c:v>81.34</c:v>
                </c:pt>
                <c:pt idx="179">
                  <c:v>81.52</c:v>
                </c:pt>
              </c:numCache>
            </c:numRef>
          </c:val>
          <c:smooth val="0"/>
          <c:extLst>
            <c:ext xmlns:c16="http://schemas.microsoft.com/office/drawing/2014/chart" uri="{C3380CC4-5D6E-409C-BE32-E72D297353CC}">
              <c16:uniqueId val="{00000001-7814-40D7-A60F-BB007AD3A6AD}"/>
            </c:ext>
          </c:extLst>
        </c:ser>
        <c:ser>
          <c:idx val="2"/>
          <c:order val="2"/>
          <c:tx>
            <c:strRef>
              <c:f>'transfert 80'!$H$1</c:f>
              <c:strCache>
                <c:ptCount val="1"/>
                <c:pt idx="0">
                  <c:v>Connecteur 7</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80'!$H$2:$H$181</c:f>
              <c:numCache>
                <c:formatCode>General</c:formatCode>
                <c:ptCount val="180"/>
                <c:pt idx="0">
                  <c:v>40.61</c:v>
                </c:pt>
                <c:pt idx="1">
                  <c:v>40.89</c:v>
                </c:pt>
                <c:pt idx="2">
                  <c:v>41.24</c:v>
                </c:pt>
                <c:pt idx="3">
                  <c:v>41.38</c:v>
                </c:pt>
                <c:pt idx="4">
                  <c:v>41.62</c:v>
                </c:pt>
                <c:pt idx="5">
                  <c:v>41.77</c:v>
                </c:pt>
                <c:pt idx="6">
                  <c:v>41.97</c:v>
                </c:pt>
                <c:pt idx="7">
                  <c:v>42.14</c:v>
                </c:pt>
                <c:pt idx="8">
                  <c:v>42.27</c:v>
                </c:pt>
                <c:pt idx="9">
                  <c:v>42.49</c:v>
                </c:pt>
                <c:pt idx="10">
                  <c:v>42.63</c:v>
                </c:pt>
                <c:pt idx="11">
                  <c:v>42.8</c:v>
                </c:pt>
                <c:pt idx="12">
                  <c:v>42.93</c:v>
                </c:pt>
                <c:pt idx="13">
                  <c:v>43.06</c:v>
                </c:pt>
                <c:pt idx="14">
                  <c:v>43.17</c:v>
                </c:pt>
                <c:pt idx="15">
                  <c:v>43.36</c:v>
                </c:pt>
                <c:pt idx="16">
                  <c:v>43.42</c:v>
                </c:pt>
                <c:pt idx="17">
                  <c:v>43.59</c:v>
                </c:pt>
                <c:pt idx="18">
                  <c:v>43.76</c:v>
                </c:pt>
                <c:pt idx="19">
                  <c:v>43.84</c:v>
                </c:pt>
                <c:pt idx="20">
                  <c:v>44</c:v>
                </c:pt>
                <c:pt idx="21">
                  <c:v>44.1</c:v>
                </c:pt>
                <c:pt idx="22">
                  <c:v>44.3</c:v>
                </c:pt>
                <c:pt idx="23">
                  <c:v>44.35</c:v>
                </c:pt>
                <c:pt idx="24">
                  <c:v>44.47</c:v>
                </c:pt>
                <c:pt idx="25">
                  <c:v>44.57</c:v>
                </c:pt>
                <c:pt idx="26">
                  <c:v>44.64</c:v>
                </c:pt>
                <c:pt idx="27">
                  <c:v>44.77</c:v>
                </c:pt>
                <c:pt idx="28">
                  <c:v>44.82</c:v>
                </c:pt>
                <c:pt idx="29">
                  <c:v>44.99</c:v>
                </c:pt>
                <c:pt idx="30">
                  <c:v>45.1</c:v>
                </c:pt>
                <c:pt idx="31">
                  <c:v>45.19</c:v>
                </c:pt>
                <c:pt idx="32">
                  <c:v>45.33</c:v>
                </c:pt>
                <c:pt idx="33">
                  <c:v>45.44</c:v>
                </c:pt>
                <c:pt idx="34">
                  <c:v>45.52</c:v>
                </c:pt>
                <c:pt idx="35">
                  <c:v>45.57</c:v>
                </c:pt>
                <c:pt idx="36">
                  <c:v>45.67</c:v>
                </c:pt>
                <c:pt idx="37">
                  <c:v>45.74</c:v>
                </c:pt>
                <c:pt idx="38">
                  <c:v>45.86</c:v>
                </c:pt>
                <c:pt idx="39">
                  <c:v>45.95</c:v>
                </c:pt>
                <c:pt idx="40">
                  <c:v>46.04</c:v>
                </c:pt>
                <c:pt idx="41">
                  <c:v>46.08</c:v>
                </c:pt>
                <c:pt idx="42">
                  <c:v>46.23</c:v>
                </c:pt>
                <c:pt idx="43">
                  <c:v>46.29</c:v>
                </c:pt>
                <c:pt idx="44">
                  <c:v>46.38</c:v>
                </c:pt>
                <c:pt idx="45">
                  <c:v>46.45</c:v>
                </c:pt>
                <c:pt idx="46">
                  <c:v>46.55</c:v>
                </c:pt>
                <c:pt idx="47">
                  <c:v>46.64</c:v>
                </c:pt>
                <c:pt idx="48">
                  <c:v>46.71</c:v>
                </c:pt>
                <c:pt idx="49">
                  <c:v>46.78</c:v>
                </c:pt>
                <c:pt idx="50">
                  <c:v>46.84</c:v>
                </c:pt>
                <c:pt idx="51">
                  <c:v>46.93</c:v>
                </c:pt>
                <c:pt idx="52">
                  <c:v>47</c:v>
                </c:pt>
                <c:pt idx="53">
                  <c:v>47.08</c:v>
                </c:pt>
                <c:pt idx="54">
                  <c:v>47.2</c:v>
                </c:pt>
                <c:pt idx="55">
                  <c:v>47.62</c:v>
                </c:pt>
                <c:pt idx="56">
                  <c:v>48.35</c:v>
                </c:pt>
                <c:pt idx="57">
                  <c:v>49.27</c:v>
                </c:pt>
                <c:pt idx="58">
                  <c:v>50.26</c:v>
                </c:pt>
                <c:pt idx="59">
                  <c:v>51.26</c:v>
                </c:pt>
                <c:pt idx="60">
                  <c:v>52.39</c:v>
                </c:pt>
                <c:pt idx="61">
                  <c:v>52.9</c:v>
                </c:pt>
                <c:pt idx="62">
                  <c:v>53.95</c:v>
                </c:pt>
                <c:pt idx="63">
                  <c:v>54.83</c:v>
                </c:pt>
                <c:pt idx="64">
                  <c:v>55.38</c:v>
                </c:pt>
                <c:pt idx="65">
                  <c:v>56.2</c:v>
                </c:pt>
                <c:pt idx="66">
                  <c:v>56.49</c:v>
                </c:pt>
                <c:pt idx="67">
                  <c:v>57</c:v>
                </c:pt>
                <c:pt idx="68">
                  <c:v>57.47</c:v>
                </c:pt>
                <c:pt idx="69">
                  <c:v>58.07</c:v>
                </c:pt>
                <c:pt idx="70">
                  <c:v>58.37</c:v>
                </c:pt>
                <c:pt idx="71">
                  <c:v>58.71</c:v>
                </c:pt>
                <c:pt idx="72">
                  <c:v>59.24</c:v>
                </c:pt>
                <c:pt idx="73">
                  <c:v>59.63</c:v>
                </c:pt>
                <c:pt idx="74">
                  <c:v>59.93</c:v>
                </c:pt>
                <c:pt idx="75">
                  <c:v>60.29</c:v>
                </c:pt>
                <c:pt idx="76">
                  <c:v>60.64</c:v>
                </c:pt>
                <c:pt idx="77">
                  <c:v>61.09</c:v>
                </c:pt>
                <c:pt idx="78">
                  <c:v>61.35</c:v>
                </c:pt>
                <c:pt idx="79">
                  <c:v>61.7</c:v>
                </c:pt>
                <c:pt idx="80">
                  <c:v>62.06</c:v>
                </c:pt>
                <c:pt idx="81">
                  <c:v>62.36</c:v>
                </c:pt>
                <c:pt idx="82">
                  <c:v>62.85</c:v>
                </c:pt>
                <c:pt idx="83">
                  <c:v>63.18</c:v>
                </c:pt>
                <c:pt idx="84">
                  <c:v>63.43</c:v>
                </c:pt>
                <c:pt idx="85">
                  <c:v>63.75</c:v>
                </c:pt>
                <c:pt idx="86">
                  <c:v>64.150000000000006</c:v>
                </c:pt>
                <c:pt idx="87">
                  <c:v>64.37</c:v>
                </c:pt>
                <c:pt idx="88">
                  <c:v>64.8</c:v>
                </c:pt>
                <c:pt idx="89">
                  <c:v>65.17</c:v>
                </c:pt>
                <c:pt idx="90">
                  <c:v>65.489999999999995</c:v>
                </c:pt>
                <c:pt idx="91">
                  <c:v>65.790000000000006</c:v>
                </c:pt>
                <c:pt idx="92">
                  <c:v>66.06</c:v>
                </c:pt>
                <c:pt idx="93">
                  <c:v>66.45</c:v>
                </c:pt>
                <c:pt idx="94">
                  <c:v>66.73</c:v>
                </c:pt>
                <c:pt idx="95">
                  <c:v>67.12</c:v>
                </c:pt>
                <c:pt idx="96">
                  <c:v>67.44</c:v>
                </c:pt>
                <c:pt idx="97">
                  <c:v>67.709999999999994</c:v>
                </c:pt>
                <c:pt idx="98">
                  <c:v>68.040000000000006</c:v>
                </c:pt>
                <c:pt idx="99">
                  <c:v>68.47</c:v>
                </c:pt>
                <c:pt idx="100">
                  <c:v>68.78</c:v>
                </c:pt>
                <c:pt idx="101">
                  <c:v>69.02</c:v>
                </c:pt>
                <c:pt idx="102">
                  <c:v>69.319999999999993</c:v>
                </c:pt>
                <c:pt idx="103">
                  <c:v>69.63</c:v>
                </c:pt>
                <c:pt idx="104">
                  <c:v>69.959999999999994</c:v>
                </c:pt>
                <c:pt idx="105">
                  <c:v>70.36</c:v>
                </c:pt>
                <c:pt idx="106">
                  <c:v>70.77</c:v>
                </c:pt>
                <c:pt idx="107">
                  <c:v>70.959999999999994</c:v>
                </c:pt>
                <c:pt idx="108">
                  <c:v>71.430000000000007</c:v>
                </c:pt>
                <c:pt idx="109">
                  <c:v>71.72</c:v>
                </c:pt>
                <c:pt idx="110">
                  <c:v>71.98</c:v>
                </c:pt>
                <c:pt idx="111">
                  <c:v>72.36</c:v>
                </c:pt>
                <c:pt idx="112">
                  <c:v>72.760000000000005</c:v>
                </c:pt>
                <c:pt idx="113">
                  <c:v>73.010000000000005</c:v>
                </c:pt>
                <c:pt idx="114">
                  <c:v>73.31</c:v>
                </c:pt>
                <c:pt idx="115">
                  <c:v>73.84</c:v>
                </c:pt>
                <c:pt idx="116">
                  <c:v>74</c:v>
                </c:pt>
                <c:pt idx="117">
                  <c:v>74.41</c:v>
                </c:pt>
                <c:pt idx="118">
                  <c:v>74.760000000000005</c:v>
                </c:pt>
                <c:pt idx="119">
                  <c:v>75.010000000000005</c:v>
                </c:pt>
                <c:pt idx="120">
                  <c:v>75.36</c:v>
                </c:pt>
                <c:pt idx="121">
                  <c:v>75.63</c:v>
                </c:pt>
                <c:pt idx="122">
                  <c:v>76.040000000000006</c:v>
                </c:pt>
                <c:pt idx="123">
                  <c:v>76.400000000000006</c:v>
                </c:pt>
                <c:pt idx="124">
                  <c:v>76.760000000000005</c:v>
                </c:pt>
                <c:pt idx="125">
                  <c:v>77.05</c:v>
                </c:pt>
                <c:pt idx="126">
                  <c:v>77.33</c:v>
                </c:pt>
                <c:pt idx="127">
                  <c:v>77.709999999999994</c:v>
                </c:pt>
                <c:pt idx="128">
                  <c:v>78.010000000000005</c:v>
                </c:pt>
                <c:pt idx="129">
                  <c:v>78.400000000000006</c:v>
                </c:pt>
                <c:pt idx="130">
                  <c:v>78.66</c:v>
                </c:pt>
                <c:pt idx="131">
                  <c:v>79</c:v>
                </c:pt>
                <c:pt idx="132">
                  <c:v>79.31</c:v>
                </c:pt>
                <c:pt idx="133">
                  <c:v>79.72</c:v>
                </c:pt>
                <c:pt idx="134">
                  <c:v>80.03</c:v>
                </c:pt>
                <c:pt idx="135">
                  <c:v>80.31</c:v>
                </c:pt>
                <c:pt idx="136">
                  <c:v>80.650000000000006</c:v>
                </c:pt>
                <c:pt idx="137">
                  <c:v>80.78</c:v>
                </c:pt>
                <c:pt idx="138">
                  <c:v>80.89</c:v>
                </c:pt>
                <c:pt idx="139">
                  <c:v>80.91</c:v>
                </c:pt>
                <c:pt idx="140">
                  <c:v>80.89</c:v>
                </c:pt>
                <c:pt idx="141">
                  <c:v>80.87</c:v>
                </c:pt>
                <c:pt idx="142">
                  <c:v>80.88</c:v>
                </c:pt>
                <c:pt idx="143">
                  <c:v>80.89</c:v>
                </c:pt>
                <c:pt idx="144">
                  <c:v>80.89</c:v>
                </c:pt>
                <c:pt idx="145">
                  <c:v>80.88</c:v>
                </c:pt>
                <c:pt idx="146">
                  <c:v>80.89</c:v>
                </c:pt>
                <c:pt idx="147">
                  <c:v>80.91</c:v>
                </c:pt>
                <c:pt idx="148">
                  <c:v>80.87</c:v>
                </c:pt>
                <c:pt idx="149">
                  <c:v>80.849999999999994</c:v>
                </c:pt>
                <c:pt idx="150">
                  <c:v>80.88</c:v>
                </c:pt>
                <c:pt idx="151">
                  <c:v>80.819999999999993</c:v>
                </c:pt>
                <c:pt idx="152">
                  <c:v>80.86</c:v>
                </c:pt>
                <c:pt idx="153">
                  <c:v>80.88</c:v>
                </c:pt>
                <c:pt idx="154">
                  <c:v>80.849999999999994</c:v>
                </c:pt>
                <c:pt idx="155">
                  <c:v>80.86</c:v>
                </c:pt>
                <c:pt idx="156">
                  <c:v>80.86</c:v>
                </c:pt>
                <c:pt idx="157">
                  <c:v>80.87</c:v>
                </c:pt>
                <c:pt idx="158">
                  <c:v>80.88</c:v>
                </c:pt>
                <c:pt idx="159">
                  <c:v>80.849999999999994</c:v>
                </c:pt>
                <c:pt idx="160">
                  <c:v>80.87</c:v>
                </c:pt>
                <c:pt idx="161">
                  <c:v>80.89</c:v>
                </c:pt>
                <c:pt idx="162">
                  <c:v>80.88</c:v>
                </c:pt>
                <c:pt idx="163">
                  <c:v>80.87</c:v>
                </c:pt>
                <c:pt idx="164">
                  <c:v>80.86</c:v>
                </c:pt>
                <c:pt idx="165">
                  <c:v>80.88</c:v>
                </c:pt>
                <c:pt idx="166">
                  <c:v>80.849999999999994</c:v>
                </c:pt>
                <c:pt idx="167">
                  <c:v>80.900000000000006</c:v>
                </c:pt>
                <c:pt idx="168">
                  <c:v>80.87</c:v>
                </c:pt>
                <c:pt idx="169">
                  <c:v>80.86</c:v>
                </c:pt>
                <c:pt idx="170">
                  <c:v>80.88</c:v>
                </c:pt>
                <c:pt idx="171">
                  <c:v>80.849999999999994</c:v>
                </c:pt>
                <c:pt idx="172">
                  <c:v>80.86</c:v>
                </c:pt>
                <c:pt idx="173">
                  <c:v>80.86</c:v>
                </c:pt>
                <c:pt idx="174">
                  <c:v>80.87</c:v>
                </c:pt>
                <c:pt idx="175">
                  <c:v>80.89</c:v>
                </c:pt>
                <c:pt idx="176">
                  <c:v>80.88</c:v>
                </c:pt>
                <c:pt idx="177">
                  <c:v>80.91</c:v>
                </c:pt>
                <c:pt idx="178">
                  <c:v>80.87</c:v>
                </c:pt>
                <c:pt idx="179">
                  <c:v>80.91</c:v>
                </c:pt>
              </c:numCache>
            </c:numRef>
          </c:val>
          <c:smooth val="0"/>
          <c:extLst>
            <c:ext xmlns:c16="http://schemas.microsoft.com/office/drawing/2014/chart" uri="{C3380CC4-5D6E-409C-BE32-E72D297353CC}">
              <c16:uniqueId val="{00000002-7814-40D7-A60F-BB007AD3A6AD}"/>
            </c:ext>
          </c:extLst>
        </c:ser>
        <c:ser>
          <c:idx val="3"/>
          <c:order val="3"/>
          <c:tx>
            <c:strRef>
              <c:f>'transfert 80'!$I$1</c:f>
              <c:strCache>
                <c:ptCount val="1"/>
                <c:pt idx="0">
                  <c:v>Connecteur 8</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80'!$I$2:$I$181</c:f>
              <c:numCache>
                <c:formatCode>General</c:formatCode>
                <c:ptCount val="180"/>
                <c:pt idx="0">
                  <c:v>41.99</c:v>
                </c:pt>
                <c:pt idx="1">
                  <c:v>42.18</c:v>
                </c:pt>
                <c:pt idx="2">
                  <c:v>42.42</c:v>
                </c:pt>
                <c:pt idx="3">
                  <c:v>42.54</c:v>
                </c:pt>
                <c:pt idx="4">
                  <c:v>42.75</c:v>
                </c:pt>
                <c:pt idx="5">
                  <c:v>42.85</c:v>
                </c:pt>
                <c:pt idx="6">
                  <c:v>43.02</c:v>
                </c:pt>
                <c:pt idx="7">
                  <c:v>43.12</c:v>
                </c:pt>
                <c:pt idx="8">
                  <c:v>43.29</c:v>
                </c:pt>
                <c:pt idx="9">
                  <c:v>43.44</c:v>
                </c:pt>
                <c:pt idx="10">
                  <c:v>43.58</c:v>
                </c:pt>
                <c:pt idx="11">
                  <c:v>43.7</c:v>
                </c:pt>
                <c:pt idx="12">
                  <c:v>43.81</c:v>
                </c:pt>
                <c:pt idx="13">
                  <c:v>43.92</c:v>
                </c:pt>
                <c:pt idx="14">
                  <c:v>44.03</c:v>
                </c:pt>
                <c:pt idx="15">
                  <c:v>44.13</c:v>
                </c:pt>
                <c:pt idx="16">
                  <c:v>44.26</c:v>
                </c:pt>
                <c:pt idx="17">
                  <c:v>44.39</c:v>
                </c:pt>
                <c:pt idx="18">
                  <c:v>44.52</c:v>
                </c:pt>
                <c:pt idx="19">
                  <c:v>44.6</c:v>
                </c:pt>
                <c:pt idx="20">
                  <c:v>44.69</c:v>
                </c:pt>
                <c:pt idx="21">
                  <c:v>44.8</c:v>
                </c:pt>
                <c:pt idx="22">
                  <c:v>44.89</c:v>
                </c:pt>
                <c:pt idx="23">
                  <c:v>45</c:v>
                </c:pt>
                <c:pt idx="24">
                  <c:v>45.13</c:v>
                </c:pt>
                <c:pt idx="25">
                  <c:v>45.2</c:v>
                </c:pt>
                <c:pt idx="26">
                  <c:v>45.35</c:v>
                </c:pt>
                <c:pt idx="27">
                  <c:v>45.4</c:v>
                </c:pt>
                <c:pt idx="28">
                  <c:v>45.51</c:v>
                </c:pt>
                <c:pt idx="29">
                  <c:v>45.58</c:v>
                </c:pt>
                <c:pt idx="30">
                  <c:v>45.68</c:v>
                </c:pt>
                <c:pt idx="31">
                  <c:v>45.8</c:v>
                </c:pt>
                <c:pt idx="32">
                  <c:v>45.87</c:v>
                </c:pt>
                <c:pt idx="33">
                  <c:v>45.98</c:v>
                </c:pt>
                <c:pt idx="34">
                  <c:v>46.05</c:v>
                </c:pt>
                <c:pt idx="35">
                  <c:v>46.08</c:v>
                </c:pt>
                <c:pt idx="36">
                  <c:v>46.23</c:v>
                </c:pt>
                <c:pt idx="37">
                  <c:v>46.27</c:v>
                </c:pt>
                <c:pt idx="38">
                  <c:v>46.36</c:v>
                </c:pt>
                <c:pt idx="39">
                  <c:v>46.45</c:v>
                </c:pt>
                <c:pt idx="40">
                  <c:v>46.53</c:v>
                </c:pt>
                <c:pt idx="41">
                  <c:v>46.53</c:v>
                </c:pt>
                <c:pt idx="42">
                  <c:v>46.71</c:v>
                </c:pt>
                <c:pt idx="43">
                  <c:v>46.77</c:v>
                </c:pt>
                <c:pt idx="44">
                  <c:v>46.83</c:v>
                </c:pt>
                <c:pt idx="45">
                  <c:v>46.91</c:v>
                </c:pt>
                <c:pt idx="46">
                  <c:v>46.99</c:v>
                </c:pt>
                <c:pt idx="47">
                  <c:v>47.04</c:v>
                </c:pt>
                <c:pt idx="48">
                  <c:v>47.09</c:v>
                </c:pt>
                <c:pt idx="49">
                  <c:v>47.16</c:v>
                </c:pt>
                <c:pt idx="50">
                  <c:v>47.26</c:v>
                </c:pt>
                <c:pt idx="51">
                  <c:v>47.34</c:v>
                </c:pt>
                <c:pt idx="52">
                  <c:v>47.39</c:v>
                </c:pt>
                <c:pt idx="53">
                  <c:v>47.47</c:v>
                </c:pt>
                <c:pt idx="54">
                  <c:v>47.7</c:v>
                </c:pt>
                <c:pt idx="55">
                  <c:v>48.7</c:v>
                </c:pt>
                <c:pt idx="56">
                  <c:v>50.25</c:v>
                </c:pt>
                <c:pt idx="57">
                  <c:v>51.93</c:v>
                </c:pt>
                <c:pt idx="58">
                  <c:v>53.6</c:v>
                </c:pt>
                <c:pt idx="59">
                  <c:v>55.19</c:v>
                </c:pt>
                <c:pt idx="60">
                  <c:v>56.54</c:v>
                </c:pt>
                <c:pt idx="61">
                  <c:v>57.8</c:v>
                </c:pt>
                <c:pt idx="62">
                  <c:v>58.69</c:v>
                </c:pt>
                <c:pt idx="63">
                  <c:v>59.52</c:v>
                </c:pt>
                <c:pt idx="64">
                  <c:v>60.05</c:v>
                </c:pt>
                <c:pt idx="65">
                  <c:v>60.59</c:v>
                </c:pt>
                <c:pt idx="66">
                  <c:v>60.94</c:v>
                </c:pt>
                <c:pt idx="67">
                  <c:v>61.18</c:v>
                </c:pt>
                <c:pt idx="68">
                  <c:v>61.4</c:v>
                </c:pt>
                <c:pt idx="69">
                  <c:v>61.72</c:v>
                </c:pt>
                <c:pt idx="70">
                  <c:v>61.92</c:v>
                </c:pt>
                <c:pt idx="71">
                  <c:v>62.17</c:v>
                </c:pt>
                <c:pt idx="72">
                  <c:v>62.4</c:v>
                </c:pt>
                <c:pt idx="73">
                  <c:v>62.65</c:v>
                </c:pt>
                <c:pt idx="74">
                  <c:v>62.94</c:v>
                </c:pt>
                <c:pt idx="75">
                  <c:v>63.17</c:v>
                </c:pt>
                <c:pt idx="76">
                  <c:v>63.45</c:v>
                </c:pt>
                <c:pt idx="77">
                  <c:v>63.69</c:v>
                </c:pt>
                <c:pt idx="78">
                  <c:v>63.96</c:v>
                </c:pt>
                <c:pt idx="79">
                  <c:v>64.19</c:v>
                </c:pt>
                <c:pt idx="80">
                  <c:v>64.5</c:v>
                </c:pt>
                <c:pt idx="81">
                  <c:v>64.83</c:v>
                </c:pt>
                <c:pt idx="82">
                  <c:v>65.150000000000006</c:v>
                </c:pt>
                <c:pt idx="83">
                  <c:v>65.459999999999994</c:v>
                </c:pt>
                <c:pt idx="84">
                  <c:v>65.739999999999995</c:v>
                </c:pt>
                <c:pt idx="85">
                  <c:v>66.06</c:v>
                </c:pt>
                <c:pt idx="86">
                  <c:v>66.38</c:v>
                </c:pt>
                <c:pt idx="87">
                  <c:v>66.7</c:v>
                </c:pt>
                <c:pt idx="88">
                  <c:v>67.05</c:v>
                </c:pt>
                <c:pt idx="89">
                  <c:v>67.38</c:v>
                </c:pt>
                <c:pt idx="90">
                  <c:v>67.739999999999995</c:v>
                </c:pt>
                <c:pt idx="91">
                  <c:v>68.03</c:v>
                </c:pt>
                <c:pt idx="92">
                  <c:v>68.33</c:v>
                </c:pt>
                <c:pt idx="93">
                  <c:v>68.66</c:v>
                </c:pt>
                <c:pt idx="94">
                  <c:v>69.010000000000005</c:v>
                </c:pt>
                <c:pt idx="95">
                  <c:v>69.36</c:v>
                </c:pt>
                <c:pt idx="96">
                  <c:v>69.67</c:v>
                </c:pt>
                <c:pt idx="97">
                  <c:v>70.03</c:v>
                </c:pt>
                <c:pt idx="98">
                  <c:v>70.33</c:v>
                </c:pt>
                <c:pt idx="99">
                  <c:v>70.62</c:v>
                </c:pt>
                <c:pt idx="100">
                  <c:v>70.98</c:v>
                </c:pt>
                <c:pt idx="101">
                  <c:v>71.290000000000006</c:v>
                </c:pt>
                <c:pt idx="102">
                  <c:v>71.62</c:v>
                </c:pt>
                <c:pt idx="103">
                  <c:v>71.989999999999995</c:v>
                </c:pt>
                <c:pt idx="104">
                  <c:v>72.37</c:v>
                </c:pt>
                <c:pt idx="105">
                  <c:v>72.69</c:v>
                </c:pt>
                <c:pt idx="106">
                  <c:v>73</c:v>
                </c:pt>
                <c:pt idx="107">
                  <c:v>73.319999999999993</c:v>
                </c:pt>
                <c:pt idx="108">
                  <c:v>73.650000000000006</c:v>
                </c:pt>
                <c:pt idx="109">
                  <c:v>74.040000000000006</c:v>
                </c:pt>
                <c:pt idx="110">
                  <c:v>74.39</c:v>
                </c:pt>
                <c:pt idx="111">
                  <c:v>74.680000000000007</c:v>
                </c:pt>
                <c:pt idx="112">
                  <c:v>75.069999999999993</c:v>
                </c:pt>
                <c:pt idx="113">
                  <c:v>75.44</c:v>
                </c:pt>
                <c:pt idx="114">
                  <c:v>75.78</c:v>
                </c:pt>
                <c:pt idx="115">
                  <c:v>76.08</c:v>
                </c:pt>
                <c:pt idx="116">
                  <c:v>76.41</c:v>
                </c:pt>
                <c:pt idx="117">
                  <c:v>76.849999999999994</c:v>
                </c:pt>
                <c:pt idx="118">
                  <c:v>77.14</c:v>
                </c:pt>
                <c:pt idx="119">
                  <c:v>77.39</c:v>
                </c:pt>
                <c:pt idx="120">
                  <c:v>77.84</c:v>
                </c:pt>
                <c:pt idx="121">
                  <c:v>78.11</c:v>
                </c:pt>
                <c:pt idx="122">
                  <c:v>78.489999999999995</c:v>
                </c:pt>
                <c:pt idx="123">
                  <c:v>78.78</c:v>
                </c:pt>
                <c:pt idx="124">
                  <c:v>79.05</c:v>
                </c:pt>
                <c:pt idx="125">
                  <c:v>79.430000000000007</c:v>
                </c:pt>
                <c:pt idx="126">
                  <c:v>79.78</c:v>
                </c:pt>
                <c:pt idx="127">
                  <c:v>80.05</c:v>
                </c:pt>
                <c:pt idx="128">
                  <c:v>80.42</c:v>
                </c:pt>
                <c:pt idx="129">
                  <c:v>80.77</c:v>
                </c:pt>
                <c:pt idx="130">
                  <c:v>81.09</c:v>
                </c:pt>
                <c:pt idx="131">
                  <c:v>81.45</c:v>
                </c:pt>
                <c:pt idx="132">
                  <c:v>81.83</c:v>
                </c:pt>
                <c:pt idx="133">
                  <c:v>82.21</c:v>
                </c:pt>
                <c:pt idx="134">
                  <c:v>82.5</c:v>
                </c:pt>
                <c:pt idx="135">
                  <c:v>82.82</c:v>
                </c:pt>
                <c:pt idx="136">
                  <c:v>82.89</c:v>
                </c:pt>
                <c:pt idx="137">
                  <c:v>82.83</c:v>
                </c:pt>
                <c:pt idx="138">
                  <c:v>82.63</c:v>
                </c:pt>
                <c:pt idx="139">
                  <c:v>82.39</c:v>
                </c:pt>
                <c:pt idx="140">
                  <c:v>82.19</c:v>
                </c:pt>
                <c:pt idx="141">
                  <c:v>82.02</c:v>
                </c:pt>
                <c:pt idx="142">
                  <c:v>81.81</c:v>
                </c:pt>
                <c:pt idx="143">
                  <c:v>81.69</c:v>
                </c:pt>
                <c:pt idx="144">
                  <c:v>81.56</c:v>
                </c:pt>
                <c:pt idx="145">
                  <c:v>81.44</c:v>
                </c:pt>
                <c:pt idx="146">
                  <c:v>81.34</c:v>
                </c:pt>
                <c:pt idx="147">
                  <c:v>81.31</c:v>
                </c:pt>
                <c:pt idx="148">
                  <c:v>81.23</c:v>
                </c:pt>
                <c:pt idx="149">
                  <c:v>81.17</c:v>
                </c:pt>
                <c:pt idx="150">
                  <c:v>81.17</c:v>
                </c:pt>
                <c:pt idx="151">
                  <c:v>81.180000000000007</c:v>
                </c:pt>
                <c:pt idx="152">
                  <c:v>81.19</c:v>
                </c:pt>
                <c:pt idx="153">
                  <c:v>81.13</c:v>
                </c:pt>
                <c:pt idx="154">
                  <c:v>81.12</c:v>
                </c:pt>
                <c:pt idx="155">
                  <c:v>81.05</c:v>
                </c:pt>
                <c:pt idx="156">
                  <c:v>81.069999999999993</c:v>
                </c:pt>
                <c:pt idx="157">
                  <c:v>81.08</c:v>
                </c:pt>
                <c:pt idx="158">
                  <c:v>81.069999999999993</c:v>
                </c:pt>
                <c:pt idx="159">
                  <c:v>80.98</c:v>
                </c:pt>
                <c:pt idx="160">
                  <c:v>81.08</c:v>
                </c:pt>
                <c:pt idx="161">
                  <c:v>81.11</c:v>
                </c:pt>
                <c:pt idx="162">
                  <c:v>81.09</c:v>
                </c:pt>
                <c:pt idx="163">
                  <c:v>81.05</c:v>
                </c:pt>
                <c:pt idx="164">
                  <c:v>81.040000000000006</c:v>
                </c:pt>
                <c:pt idx="165">
                  <c:v>81.06</c:v>
                </c:pt>
                <c:pt idx="166">
                  <c:v>81.03</c:v>
                </c:pt>
                <c:pt idx="167">
                  <c:v>81.09</c:v>
                </c:pt>
                <c:pt idx="168">
                  <c:v>81.05</c:v>
                </c:pt>
                <c:pt idx="169">
                  <c:v>81.02</c:v>
                </c:pt>
                <c:pt idx="170">
                  <c:v>81.05</c:v>
                </c:pt>
                <c:pt idx="171">
                  <c:v>81.010000000000005</c:v>
                </c:pt>
                <c:pt idx="172">
                  <c:v>81</c:v>
                </c:pt>
                <c:pt idx="173">
                  <c:v>81.03</c:v>
                </c:pt>
                <c:pt idx="174">
                  <c:v>81.040000000000006</c:v>
                </c:pt>
                <c:pt idx="175">
                  <c:v>81.03</c:v>
                </c:pt>
                <c:pt idx="176">
                  <c:v>80.98</c:v>
                </c:pt>
                <c:pt idx="177">
                  <c:v>81.010000000000005</c:v>
                </c:pt>
                <c:pt idx="178">
                  <c:v>81</c:v>
                </c:pt>
                <c:pt idx="179">
                  <c:v>81.290000000000006</c:v>
                </c:pt>
              </c:numCache>
            </c:numRef>
          </c:val>
          <c:smooth val="0"/>
          <c:extLst>
            <c:ext xmlns:c16="http://schemas.microsoft.com/office/drawing/2014/chart" uri="{C3380CC4-5D6E-409C-BE32-E72D297353CC}">
              <c16:uniqueId val="{00000003-7814-40D7-A60F-BB007AD3A6AD}"/>
            </c:ext>
          </c:extLst>
        </c:ser>
        <c:ser>
          <c:idx val="4"/>
          <c:order val="4"/>
          <c:tx>
            <c:strRef>
              <c:f>'transfert 80'!$J$1</c:f>
              <c:strCache>
                <c:ptCount val="1"/>
                <c:pt idx="0">
                  <c:v>Connecteur 9</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80'!$J$2:$J$181</c:f>
              <c:numCache>
                <c:formatCode>General</c:formatCode>
                <c:ptCount val="180"/>
                <c:pt idx="0">
                  <c:v>41.69</c:v>
                </c:pt>
                <c:pt idx="1">
                  <c:v>41.97</c:v>
                </c:pt>
                <c:pt idx="2">
                  <c:v>42.19</c:v>
                </c:pt>
                <c:pt idx="3">
                  <c:v>42.34</c:v>
                </c:pt>
                <c:pt idx="4">
                  <c:v>42.56</c:v>
                </c:pt>
                <c:pt idx="5">
                  <c:v>42.67</c:v>
                </c:pt>
                <c:pt idx="6">
                  <c:v>42.82</c:v>
                </c:pt>
                <c:pt idx="7">
                  <c:v>42.98</c:v>
                </c:pt>
                <c:pt idx="8">
                  <c:v>43.11</c:v>
                </c:pt>
                <c:pt idx="9">
                  <c:v>43.26</c:v>
                </c:pt>
                <c:pt idx="10">
                  <c:v>43.41</c:v>
                </c:pt>
                <c:pt idx="11">
                  <c:v>43.52</c:v>
                </c:pt>
                <c:pt idx="12">
                  <c:v>43.64</c:v>
                </c:pt>
                <c:pt idx="13">
                  <c:v>43.76</c:v>
                </c:pt>
                <c:pt idx="14">
                  <c:v>43.85</c:v>
                </c:pt>
                <c:pt idx="15">
                  <c:v>43.99</c:v>
                </c:pt>
                <c:pt idx="16">
                  <c:v>44.12</c:v>
                </c:pt>
                <c:pt idx="17">
                  <c:v>44.27</c:v>
                </c:pt>
                <c:pt idx="18">
                  <c:v>44.36</c:v>
                </c:pt>
                <c:pt idx="19">
                  <c:v>44.5</c:v>
                </c:pt>
                <c:pt idx="20">
                  <c:v>44.6</c:v>
                </c:pt>
                <c:pt idx="21">
                  <c:v>44.7</c:v>
                </c:pt>
                <c:pt idx="22">
                  <c:v>44.76</c:v>
                </c:pt>
                <c:pt idx="23">
                  <c:v>44.9</c:v>
                </c:pt>
                <c:pt idx="24">
                  <c:v>44.99</c:v>
                </c:pt>
                <c:pt idx="25">
                  <c:v>45.05</c:v>
                </c:pt>
                <c:pt idx="26">
                  <c:v>45.18</c:v>
                </c:pt>
                <c:pt idx="27">
                  <c:v>45.27</c:v>
                </c:pt>
                <c:pt idx="28">
                  <c:v>45.39</c:v>
                </c:pt>
                <c:pt idx="29">
                  <c:v>45.47</c:v>
                </c:pt>
                <c:pt idx="30">
                  <c:v>45.55</c:v>
                </c:pt>
                <c:pt idx="31">
                  <c:v>45.64</c:v>
                </c:pt>
                <c:pt idx="32">
                  <c:v>45.73</c:v>
                </c:pt>
                <c:pt idx="33">
                  <c:v>45.84</c:v>
                </c:pt>
                <c:pt idx="34">
                  <c:v>45.93</c:v>
                </c:pt>
                <c:pt idx="35">
                  <c:v>46.03</c:v>
                </c:pt>
                <c:pt idx="36">
                  <c:v>46.12</c:v>
                </c:pt>
                <c:pt idx="37">
                  <c:v>46.17</c:v>
                </c:pt>
                <c:pt idx="38">
                  <c:v>46.26</c:v>
                </c:pt>
                <c:pt idx="39">
                  <c:v>46.36</c:v>
                </c:pt>
                <c:pt idx="40">
                  <c:v>46.39</c:v>
                </c:pt>
                <c:pt idx="41">
                  <c:v>46.44</c:v>
                </c:pt>
                <c:pt idx="42">
                  <c:v>46.61</c:v>
                </c:pt>
                <c:pt idx="43">
                  <c:v>46.68</c:v>
                </c:pt>
                <c:pt idx="44">
                  <c:v>46.74</c:v>
                </c:pt>
                <c:pt idx="45">
                  <c:v>46.81</c:v>
                </c:pt>
                <c:pt idx="46">
                  <c:v>46.86</c:v>
                </c:pt>
                <c:pt idx="47">
                  <c:v>46.97</c:v>
                </c:pt>
                <c:pt idx="48">
                  <c:v>47.03</c:v>
                </c:pt>
                <c:pt idx="49">
                  <c:v>47.07</c:v>
                </c:pt>
                <c:pt idx="50">
                  <c:v>47.16</c:v>
                </c:pt>
                <c:pt idx="51">
                  <c:v>47.26</c:v>
                </c:pt>
                <c:pt idx="52">
                  <c:v>47.29</c:v>
                </c:pt>
                <c:pt idx="53">
                  <c:v>47.38</c:v>
                </c:pt>
                <c:pt idx="54">
                  <c:v>47.56</c:v>
                </c:pt>
                <c:pt idx="55">
                  <c:v>48.29</c:v>
                </c:pt>
                <c:pt idx="56">
                  <c:v>49.67</c:v>
                </c:pt>
                <c:pt idx="57">
                  <c:v>51.1</c:v>
                </c:pt>
                <c:pt idx="58">
                  <c:v>52.61</c:v>
                </c:pt>
                <c:pt idx="59">
                  <c:v>54.1</c:v>
                </c:pt>
                <c:pt idx="60">
                  <c:v>55.51</c:v>
                </c:pt>
                <c:pt idx="61">
                  <c:v>56.57</c:v>
                </c:pt>
                <c:pt idx="62">
                  <c:v>57.44</c:v>
                </c:pt>
                <c:pt idx="63">
                  <c:v>58.38</c:v>
                </c:pt>
                <c:pt idx="64">
                  <c:v>58.92</c:v>
                </c:pt>
                <c:pt idx="65">
                  <c:v>59.44</c:v>
                </c:pt>
                <c:pt idx="66">
                  <c:v>59.78</c:v>
                </c:pt>
                <c:pt idx="67">
                  <c:v>60.15</c:v>
                </c:pt>
                <c:pt idx="68">
                  <c:v>60.45</c:v>
                </c:pt>
                <c:pt idx="69">
                  <c:v>60.79</c:v>
                </c:pt>
                <c:pt idx="70">
                  <c:v>61.1</c:v>
                </c:pt>
                <c:pt idx="71">
                  <c:v>61.38</c:v>
                </c:pt>
                <c:pt idx="72">
                  <c:v>61.66</c:v>
                </c:pt>
                <c:pt idx="73">
                  <c:v>61.89</c:v>
                </c:pt>
                <c:pt idx="74">
                  <c:v>62.19</c:v>
                </c:pt>
                <c:pt idx="75">
                  <c:v>62.4</c:v>
                </c:pt>
                <c:pt idx="76">
                  <c:v>62.75</c:v>
                </c:pt>
                <c:pt idx="77">
                  <c:v>63.01</c:v>
                </c:pt>
                <c:pt idx="78">
                  <c:v>63.25</c:v>
                </c:pt>
                <c:pt idx="79">
                  <c:v>63.56</c:v>
                </c:pt>
                <c:pt idx="80">
                  <c:v>63.85</c:v>
                </c:pt>
                <c:pt idx="81">
                  <c:v>64.260000000000005</c:v>
                </c:pt>
                <c:pt idx="82">
                  <c:v>64.5</c:v>
                </c:pt>
                <c:pt idx="83">
                  <c:v>64.81</c:v>
                </c:pt>
                <c:pt idx="84">
                  <c:v>65.180000000000007</c:v>
                </c:pt>
                <c:pt idx="85">
                  <c:v>65.400000000000006</c:v>
                </c:pt>
                <c:pt idx="86">
                  <c:v>65.739999999999995</c:v>
                </c:pt>
                <c:pt idx="87">
                  <c:v>66.03</c:v>
                </c:pt>
                <c:pt idx="88">
                  <c:v>66.48</c:v>
                </c:pt>
                <c:pt idx="89">
                  <c:v>66.77</c:v>
                </c:pt>
                <c:pt idx="90">
                  <c:v>67.069999999999993</c:v>
                </c:pt>
                <c:pt idx="91">
                  <c:v>67.38</c:v>
                </c:pt>
                <c:pt idx="92">
                  <c:v>67.72</c:v>
                </c:pt>
                <c:pt idx="93">
                  <c:v>68.05</c:v>
                </c:pt>
                <c:pt idx="94">
                  <c:v>68.37</c:v>
                </c:pt>
                <c:pt idx="95">
                  <c:v>68.73</c:v>
                </c:pt>
                <c:pt idx="96">
                  <c:v>69.02</c:v>
                </c:pt>
                <c:pt idx="97">
                  <c:v>69.39</c:v>
                </c:pt>
                <c:pt idx="98">
                  <c:v>69.72</c:v>
                </c:pt>
                <c:pt idx="99">
                  <c:v>70.03</c:v>
                </c:pt>
                <c:pt idx="100">
                  <c:v>70.37</c:v>
                </c:pt>
                <c:pt idx="101">
                  <c:v>70.66</c:v>
                </c:pt>
                <c:pt idx="102">
                  <c:v>70.900000000000006</c:v>
                </c:pt>
                <c:pt idx="103">
                  <c:v>71.37</c:v>
                </c:pt>
                <c:pt idx="104">
                  <c:v>71.7</c:v>
                </c:pt>
                <c:pt idx="105">
                  <c:v>72</c:v>
                </c:pt>
                <c:pt idx="106">
                  <c:v>72.349999999999994</c:v>
                </c:pt>
                <c:pt idx="107">
                  <c:v>72.72</c:v>
                </c:pt>
                <c:pt idx="108">
                  <c:v>73.02</c:v>
                </c:pt>
                <c:pt idx="109">
                  <c:v>73.38</c:v>
                </c:pt>
                <c:pt idx="110">
                  <c:v>73.69</c:v>
                </c:pt>
                <c:pt idx="111">
                  <c:v>74.040000000000006</c:v>
                </c:pt>
                <c:pt idx="112">
                  <c:v>74.37</c:v>
                </c:pt>
                <c:pt idx="113">
                  <c:v>74.790000000000006</c:v>
                </c:pt>
                <c:pt idx="114">
                  <c:v>75.05</c:v>
                </c:pt>
                <c:pt idx="115">
                  <c:v>75.430000000000007</c:v>
                </c:pt>
                <c:pt idx="116">
                  <c:v>75.7</c:v>
                </c:pt>
                <c:pt idx="117">
                  <c:v>76.09</c:v>
                </c:pt>
                <c:pt idx="118">
                  <c:v>76.45</c:v>
                </c:pt>
                <c:pt idx="119">
                  <c:v>76.709999999999994</c:v>
                </c:pt>
                <c:pt idx="120">
                  <c:v>77.08</c:v>
                </c:pt>
                <c:pt idx="121">
                  <c:v>77.42</c:v>
                </c:pt>
                <c:pt idx="122">
                  <c:v>77.8</c:v>
                </c:pt>
                <c:pt idx="123">
                  <c:v>78.12</c:v>
                </c:pt>
                <c:pt idx="124">
                  <c:v>78.349999999999994</c:v>
                </c:pt>
                <c:pt idx="125">
                  <c:v>78.75</c:v>
                </c:pt>
                <c:pt idx="126">
                  <c:v>79</c:v>
                </c:pt>
                <c:pt idx="127">
                  <c:v>79.400000000000006</c:v>
                </c:pt>
                <c:pt idx="128">
                  <c:v>79.75</c:v>
                </c:pt>
                <c:pt idx="129">
                  <c:v>80.08</c:v>
                </c:pt>
                <c:pt idx="130">
                  <c:v>80.37</c:v>
                </c:pt>
                <c:pt idx="131">
                  <c:v>80.709999999999994</c:v>
                </c:pt>
                <c:pt idx="132">
                  <c:v>81.09</c:v>
                </c:pt>
                <c:pt idx="133">
                  <c:v>81.47</c:v>
                </c:pt>
                <c:pt idx="134">
                  <c:v>81.790000000000006</c:v>
                </c:pt>
                <c:pt idx="135">
                  <c:v>82.09</c:v>
                </c:pt>
                <c:pt idx="136">
                  <c:v>82.24</c:v>
                </c:pt>
                <c:pt idx="137">
                  <c:v>82.2</c:v>
                </c:pt>
                <c:pt idx="138">
                  <c:v>82.13</c:v>
                </c:pt>
                <c:pt idx="139">
                  <c:v>81.96</c:v>
                </c:pt>
                <c:pt idx="140">
                  <c:v>81.8</c:v>
                </c:pt>
                <c:pt idx="141">
                  <c:v>81.66</c:v>
                </c:pt>
                <c:pt idx="142">
                  <c:v>81.510000000000005</c:v>
                </c:pt>
                <c:pt idx="143">
                  <c:v>81.39</c:v>
                </c:pt>
                <c:pt idx="144">
                  <c:v>81.31</c:v>
                </c:pt>
                <c:pt idx="145">
                  <c:v>81.23</c:v>
                </c:pt>
                <c:pt idx="146">
                  <c:v>81.13</c:v>
                </c:pt>
                <c:pt idx="147">
                  <c:v>81.09</c:v>
                </c:pt>
                <c:pt idx="148">
                  <c:v>81.06</c:v>
                </c:pt>
                <c:pt idx="149">
                  <c:v>81.05</c:v>
                </c:pt>
                <c:pt idx="150">
                  <c:v>80.98</c:v>
                </c:pt>
                <c:pt idx="151">
                  <c:v>80.94</c:v>
                </c:pt>
                <c:pt idx="152">
                  <c:v>80.959999999999994</c:v>
                </c:pt>
                <c:pt idx="153">
                  <c:v>80.989999999999995</c:v>
                </c:pt>
                <c:pt idx="154">
                  <c:v>80.95</c:v>
                </c:pt>
                <c:pt idx="155">
                  <c:v>80.930000000000007</c:v>
                </c:pt>
                <c:pt idx="156">
                  <c:v>80.94</c:v>
                </c:pt>
                <c:pt idx="157">
                  <c:v>80.94</c:v>
                </c:pt>
                <c:pt idx="158">
                  <c:v>80.91</c:v>
                </c:pt>
                <c:pt idx="159">
                  <c:v>80.89</c:v>
                </c:pt>
                <c:pt idx="160">
                  <c:v>80.930000000000007</c:v>
                </c:pt>
                <c:pt idx="161">
                  <c:v>81.010000000000005</c:v>
                </c:pt>
                <c:pt idx="162">
                  <c:v>81</c:v>
                </c:pt>
                <c:pt idx="163">
                  <c:v>80.92</c:v>
                </c:pt>
                <c:pt idx="164">
                  <c:v>80.92</c:v>
                </c:pt>
                <c:pt idx="165">
                  <c:v>80.91</c:v>
                </c:pt>
                <c:pt idx="166">
                  <c:v>80.930000000000007</c:v>
                </c:pt>
                <c:pt idx="167">
                  <c:v>80.98</c:v>
                </c:pt>
                <c:pt idx="168">
                  <c:v>80.900000000000006</c:v>
                </c:pt>
                <c:pt idx="169">
                  <c:v>80.91</c:v>
                </c:pt>
                <c:pt idx="170">
                  <c:v>80.91</c:v>
                </c:pt>
                <c:pt idx="171">
                  <c:v>80.89</c:v>
                </c:pt>
                <c:pt idx="172">
                  <c:v>80.88</c:v>
                </c:pt>
                <c:pt idx="173">
                  <c:v>80.87</c:v>
                </c:pt>
                <c:pt idx="174">
                  <c:v>80.88</c:v>
                </c:pt>
                <c:pt idx="175">
                  <c:v>80.930000000000007</c:v>
                </c:pt>
                <c:pt idx="176">
                  <c:v>80.91</c:v>
                </c:pt>
                <c:pt idx="177">
                  <c:v>80.92</c:v>
                </c:pt>
                <c:pt idx="178">
                  <c:v>80.87</c:v>
                </c:pt>
                <c:pt idx="179">
                  <c:v>80.97</c:v>
                </c:pt>
              </c:numCache>
            </c:numRef>
          </c:val>
          <c:smooth val="0"/>
          <c:extLst>
            <c:ext xmlns:c16="http://schemas.microsoft.com/office/drawing/2014/chart" uri="{C3380CC4-5D6E-409C-BE32-E72D297353CC}">
              <c16:uniqueId val="{00000004-7814-40D7-A60F-BB007AD3A6A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0921737227"/>
        </c:manualLayout>
      </c:layout>
      <c:lineChart>
        <c:grouping val="standard"/>
        <c:varyColors val="0"/>
        <c:ser>
          <c:idx val="0"/>
          <c:order val="0"/>
          <c:tx>
            <c:strRef>
              <c:f>'transfert 200'!$B$1</c:f>
              <c:strCache>
                <c:ptCount val="1"/>
                <c:pt idx="0">
                  <c:v>Connecteur 1</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200'!$B$2:$B$98</c:f>
              <c:numCache>
                <c:formatCode>General</c:formatCode>
                <c:ptCount val="97"/>
                <c:pt idx="0">
                  <c:v>163.13</c:v>
                </c:pt>
                <c:pt idx="1">
                  <c:v>167.17</c:v>
                </c:pt>
                <c:pt idx="2">
                  <c:v>171.44</c:v>
                </c:pt>
                <c:pt idx="3">
                  <c:v>175.88</c:v>
                </c:pt>
                <c:pt idx="4">
                  <c:v>180.2</c:v>
                </c:pt>
                <c:pt idx="5">
                  <c:v>184.61</c:v>
                </c:pt>
                <c:pt idx="6">
                  <c:v>188.2</c:v>
                </c:pt>
                <c:pt idx="7">
                  <c:v>191.69</c:v>
                </c:pt>
                <c:pt idx="8">
                  <c:v>192.59</c:v>
                </c:pt>
                <c:pt idx="9">
                  <c:v>192.62</c:v>
                </c:pt>
                <c:pt idx="10">
                  <c:v>192.61</c:v>
                </c:pt>
                <c:pt idx="11">
                  <c:v>192.43</c:v>
                </c:pt>
                <c:pt idx="12">
                  <c:v>191.96</c:v>
                </c:pt>
                <c:pt idx="13">
                  <c:v>191.79</c:v>
                </c:pt>
                <c:pt idx="14">
                  <c:v>191.75</c:v>
                </c:pt>
                <c:pt idx="15">
                  <c:v>191.62</c:v>
                </c:pt>
                <c:pt idx="16">
                  <c:v>191.5</c:v>
                </c:pt>
                <c:pt idx="17">
                  <c:v>191.32</c:v>
                </c:pt>
                <c:pt idx="18">
                  <c:v>191.34</c:v>
                </c:pt>
                <c:pt idx="19">
                  <c:v>191.24</c:v>
                </c:pt>
                <c:pt idx="20">
                  <c:v>191.38</c:v>
                </c:pt>
                <c:pt idx="21">
                  <c:v>191.3</c:v>
                </c:pt>
                <c:pt idx="22">
                  <c:v>191.26</c:v>
                </c:pt>
                <c:pt idx="23">
                  <c:v>191.08</c:v>
                </c:pt>
                <c:pt idx="24">
                  <c:v>191.18</c:v>
                </c:pt>
                <c:pt idx="25">
                  <c:v>191.13</c:v>
                </c:pt>
                <c:pt idx="26">
                  <c:v>191.12</c:v>
                </c:pt>
                <c:pt idx="27">
                  <c:v>191.2</c:v>
                </c:pt>
                <c:pt idx="28">
                  <c:v>191.2</c:v>
                </c:pt>
                <c:pt idx="29">
                  <c:v>191.32</c:v>
                </c:pt>
                <c:pt idx="30">
                  <c:v>191.21</c:v>
                </c:pt>
                <c:pt idx="31">
                  <c:v>191.22</c:v>
                </c:pt>
                <c:pt idx="32">
                  <c:v>191.16</c:v>
                </c:pt>
                <c:pt idx="33">
                  <c:v>191.28</c:v>
                </c:pt>
                <c:pt idx="34">
                  <c:v>191.44</c:v>
                </c:pt>
                <c:pt idx="35">
                  <c:v>191.21</c:v>
                </c:pt>
                <c:pt idx="36">
                  <c:v>191.19</c:v>
                </c:pt>
                <c:pt idx="37">
                  <c:v>191.35</c:v>
                </c:pt>
                <c:pt idx="38">
                  <c:v>191.35</c:v>
                </c:pt>
                <c:pt idx="39">
                  <c:v>192.39</c:v>
                </c:pt>
                <c:pt idx="40">
                  <c:v>193.88</c:v>
                </c:pt>
                <c:pt idx="41">
                  <c:v>195.32</c:v>
                </c:pt>
                <c:pt idx="42">
                  <c:v>196.38</c:v>
                </c:pt>
                <c:pt idx="43">
                  <c:v>197.61</c:v>
                </c:pt>
                <c:pt idx="44">
                  <c:v>198.69</c:v>
                </c:pt>
                <c:pt idx="45">
                  <c:v>199.86</c:v>
                </c:pt>
                <c:pt idx="46">
                  <c:v>200.76</c:v>
                </c:pt>
                <c:pt idx="47">
                  <c:v>201.18</c:v>
                </c:pt>
                <c:pt idx="48">
                  <c:v>201.25</c:v>
                </c:pt>
                <c:pt idx="49">
                  <c:v>201.33</c:v>
                </c:pt>
                <c:pt idx="50">
                  <c:v>201.62</c:v>
                </c:pt>
                <c:pt idx="51">
                  <c:v>201.86</c:v>
                </c:pt>
                <c:pt idx="52">
                  <c:v>202.06</c:v>
                </c:pt>
                <c:pt idx="53">
                  <c:v>202.16</c:v>
                </c:pt>
                <c:pt idx="54">
                  <c:v>201.94</c:v>
                </c:pt>
                <c:pt idx="55">
                  <c:v>201.71</c:v>
                </c:pt>
                <c:pt idx="56">
                  <c:v>201.6</c:v>
                </c:pt>
                <c:pt idx="57">
                  <c:v>201.51</c:v>
                </c:pt>
                <c:pt idx="58">
                  <c:v>201.45</c:v>
                </c:pt>
                <c:pt idx="59">
                  <c:v>201.51</c:v>
                </c:pt>
                <c:pt idx="60">
                  <c:v>201.46</c:v>
                </c:pt>
                <c:pt idx="61">
                  <c:v>201.5</c:v>
                </c:pt>
                <c:pt idx="62">
                  <c:v>201.42</c:v>
                </c:pt>
                <c:pt idx="63">
                  <c:v>201.39</c:v>
                </c:pt>
                <c:pt idx="64">
                  <c:v>201.36</c:v>
                </c:pt>
                <c:pt idx="65">
                  <c:v>201.49</c:v>
                </c:pt>
                <c:pt idx="66">
                  <c:v>201.46</c:v>
                </c:pt>
                <c:pt idx="67">
                  <c:v>201.36</c:v>
                </c:pt>
                <c:pt idx="68">
                  <c:v>201.33</c:v>
                </c:pt>
                <c:pt idx="69">
                  <c:v>201.4</c:v>
                </c:pt>
                <c:pt idx="70">
                  <c:v>201.47</c:v>
                </c:pt>
                <c:pt idx="71">
                  <c:v>201.43</c:v>
                </c:pt>
                <c:pt idx="72">
                  <c:v>201.41</c:v>
                </c:pt>
                <c:pt idx="73">
                  <c:v>201.44</c:v>
                </c:pt>
                <c:pt idx="74">
                  <c:v>201.39</c:v>
                </c:pt>
                <c:pt idx="75">
                  <c:v>201.44</c:v>
                </c:pt>
                <c:pt idx="76">
                  <c:v>201.39</c:v>
                </c:pt>
                <c:pt idx="77">
                  <c:v>201.46</c:v>
                </c:pt>
                <c:pt idx="78">
                  <c:v>201.48</c:v>
                </c:pt>
                <c:pt idx="79">
                  <c:v>201.45</c:v>
                </c:pt>
                <c:pt idx="80">
                  <c:v>201.47</c:v>
                </c:pt>
                <c:pt idx="81">
                  <c:v>201.5</c:v>
                </c:pt>
                <c:pt idx="82">
                  <c:v>201.43</c:v>
                </c:pt>
                <c:pt idx="83">
                  <c:v>201.36</c:v>
                </c:pt>
                <c:pt idx="84">
                  <c:v>201.38</c:v>
                </c:pt>
                <c:pt idx="85">
                  <c:v>201.46</c:v>
                </c:pt>
                <c:pt idx="86">
                  <c:v>201.47</c:v>
                </c:pt>
                <c:pt idx="87">
                  <c:v>201.48</c:v>
                </c:pt>
                <c:pt idx="88">
                  <c:v>201.41</c:v>
                </c:pt>
                <c:pt idx="89">
                  <c:v>201.51</c:v>
                </c:pt>
                <c:pt idx="90">
                  <c:v>201.46</c:v>
                </c:pt>
                <c:pt idx="91">
                  <c:v>201.52</c:v>
                </c:pt>
                <c:pt idx="92">
                  <c:v>201.4</c:v>
                </c:pt>
                <c:pt idx="93">
                  <c:v>201.52</c:v>
                </c:pt>
                <c:pt idx="94">
                  <c:v>201.38</c:v>
                </c:pt>
                <c:pt idx="95">
                  <c:v>201.42</c:v>
                </c:pt>
                <c:pt idx="96">
                  <c:v>201.38</c:v>
                </c:pt>
              </c:numCache>
            </c:numRef>
          </c:val>
          <c:smooth val="0"/>
          <c:extLst xmlns:c15="http://schemas.microsoft.com/office/drawing/2012/chart">
            <c:ext xmlns:c16="http://schemas.microsoft.com/office/drawing/2014/chart" uri="{C3380CC4-5D6E-409C-BE32-E72D297353CC}">
              <c16:uniqueId val="{00000000-6260-4F7F-95A0-5BFE1F90FF3D}"/>
            </c:ext>
          </c:extLst>
        </c:ser>
        <c:ser>
          <c:idx val="1"/>
          <c:order val="1"/>
          <c:tx>
            <c:strRef>
              <c:f>'transfert 200'!$C$1</c:f>
              <c:strCache>
                <c:ptCount val="1"/>
                <c:pt idx="0">
                  <c:v>Connecteur 2</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200'!$C$2:$C$98</c:f>
              <c:numCache>
                <c:formatCode>General</c:formatCode>
                <c:ptCount val="97"/>
                <c:pt idx="0">
                  <c:v>163.51</c:v>
                </c:pt>
                <c:pt idx="1">
                  <c:v>167.41</c:v>
                </c:pt>
                <c:pt idx="2">
                  <c:v>172.08</c:v>
                </c:pt>
                <c:pt idx="3">
                  <c:v>176.39</c:v>
                </c:pt>
                <c:pt idx="4">
                  <c:v>180.15</c:v>
                </c:pt>
                <c:pt idx="5">
                  <c:v>184.68</c:v>
                </c:pt>
                <c:pt idx="6">
                  <c:v>188.8</c:v>
                </c:pt>
                <c:pt idx="7">
                  <c:v>192.37</c:v>
                </c:pt>
                <c:pt idx="8">
                  <c:v>192.99</c:v>
                </c:pt>
                <c:pt idx="9">
                  <c:v>192.81</c:v>
                </c:pt>
                <c:pt idx="10">
                  <c:v>192.79</c:v>
                </c:pt>
                <c:pt idx="11">
                  <c:v>192.27</c:v>
                </c:pt>
                <c:pt idx="12">
                  <c:v>192.04</c:v>
                </c:pt>
                <c:pt idx="13">
                  <c:v>191.96</c:v>
                </c:pt>
                <c:pt idx="14">
                  <c:v>191.83</c:v>
                </c:pt>
                <c:pt idx="15">
                  <c:v>191.61</c:v>
                </c:pt>
                <c:pt idx="16">
                  <c:v>191.29</c:v>
                </c:pt>
                <c:pt idx="17">
                  <c:v>191.23</c:v>
                </c:pt>
                <c:pt idx="18">
                  <c:v>191.19</c:v>
                </c:pt>
                <c:pt idx="19">
                  <c:v>191.14</c:v>
                </c:pt>
                <c:pt idx="20">
                  <c:v>191.22</c:v>
                </c:pt>
                <c:pt idx="21">
                  <c:v>191.19</c:v>
                </c:pt>
                <c:pt idx="22">
                  <c:v>191.1</c:v>
                </c:pt>
                <c:pt idx="23">
                  <c:v>190.93</c:v>
                </c:pt>
                <c:pt idx="24">
                  <c:v>191.03</c:v>
                </c:pt>
                <c:pt idx="25">
                  <c:v>190.99</c:v>
                </c:pt>
                <c:pt idx="26">
                  <c:v>190.99</c:v>
                </c:pt>
                <c:pt idx="27">
                  <c:v>191.1</c:v>
                </c:pt>
                <c:pt idx="28">
                  <c:v>191.11</c:v>
                </c:pt>
                <c:pt idx="29">
                  <c:v>191.13</c:v>
                </c:pt>
                <c:pt idx="30">
                  <c:v>191.09</c:v>
                </c:pt>
                <c:pt idx="31">
                  <c:v>191.04</c:v>
                </c:pt>
                <c:pt idx="32">
                  <c:v>190.98</c:v>
                </c:pt>
                <c:pt idx="33">
                  <c:v>191.09</c:v>
                </c:pt>
                <c:pt idx="34">
                  <c:v>191.27</c:v>
                </c:pt>
                <c:pt idx="35">
                  <c:v>191.02</c:v>
                </c:pt>
                <c:pt idx="36">
                  <c:v>191.03</c:v>
                </c:pt>
                <c:pt idx="37">
                  <c:v>191.17</c:v>
                </c:pt>
                <c:pt idx="38">
                  <c:v>191.2</c:v>
                </c:pt>
                <c:pt idx="39">
                  <c:v>192.17</c:v>
                </c:pt>
                <c:pt idx="40">
                  <c:v>193.68</c:v>
                </c:pt>
                <c:pt idx="41">
                  <c:v>195.06</c:v>
                </c:pt>
                <c:pt idx="42">
                  <c:v>196.23</c:v>
                </c:pt>
                <c:pt idx="43">
                  <c:v>197.53</c:v>
                </c:pt>
                <c:pt idx="44">
                  <c:v>198.58</c:v>
                </c:pt>
                <c:pt idx="45">
                  <c:v>199.68</c:v>
                </c:pt>
                <c:pt idx="46">
                  <c:v>200.62</c:v>
                </c:pt>
                <c:pt idx="47">
                  <c:v>201.13</c:v>
                </c:pt>
                <c:pt idx="48">
                  <c:v>201.17</c:v>
                </c:pt>
                <c:pt idx="49">
                  <c:v>201.29</c:v>
                </c:pt>
                <c:pt idx="50">
                  <c:v>201.52</c:v>
                </c:pt>
                <c:pt idx="51">
                  <c:v>201.77</c:v>
                </c:pt>
                <c:pt idx="52">
                  <c:v>201.99</c:v>
                </c:pt>
                <c:pt idx="53">
                  <c:v>202.04</c:v>
                </c:pt>
                <c:pt idx="54">
                  <c:v>201.84</c:v>
                </c:pt>
                <c:pt idx="55">
                  <c:v>201.55</c:v>
                </c:pt>
                <c:pt idx="56">
                  <c:v>201.47</c:v>
                </c:pt>
                <c:pt idx="57">
                  <c:v>201.35</c:v>
                </c:pt>
                <c:pt idx="58">
                  <c:v>201.26</c:v>
                </c:pt>
                <c:pt idx="59">
                  <c:v>201.31</c:v>
                </c:pt>
                <c:pt idx="60">
                  <c:v>201.29</c:v>
                </c:pt>
                <c:pt idx="61">
                  <c:v>201.3</c:v>
                </c:pt>
                <c:pt idx="62">
                  <c:v>201.22</c:v>
                </c:pt>
                <c:pt idx="63">
                  <c:v>201.19</c:v>
                </c:pt>
                <c:pt idx="64">
                  <c:v>201.19</c:v>
                </c:pt>
                <c:pt idx="65">
                  <c:v>201.31</c:v>
                </c:pt>
                <c:pt idx="66">
                  <c:v>201.26</c:v>
                </c:pt>
                <c:pt idx="67">
                  <c:v>201.19</c:v>
                </c:pt>
                <c:pt idx="68">
                  <c:v>201.18</c:v>
                </c:pt>
                <c:pt idx="69">
                  <c:v>201.18</c:v>
                </c:pt>
                <c:pt idx="70">
                  <c:v>201.26</c:v>
                </c:pt>
                <c:pt idx="71">
                  <c:v>201.27</c:v>
                </c:pt>
                <c:pt idx="72">
                  <c:v>201.24</c:v>
                </c:pt>
                <c:pt idx="73">
                  <c:v>201.24</c:v>
                </c:pt>
                <c:pt idx="74">
                  <c:v>201.16</c:v>
                </c:pt>
                <c:pt idx="75">
                  <c:v>201.3</c:v>
                </c:pt>
                <c:pt idx="76">
                  <c:v>201.23</c:v>
                </c:pt>
                <c:pt idx="77">
                  <c:v>201.32</c:v>
                </c:pt>
                <c:pt idx="78">
                  <c:v>201.32</c:v>
                </c:pt>
                <c:pt idx="79">
                  <c:v>201.27</c:v>
                </c:pt>
                <c:pt idx="80">
                  <c:v>201.27</c:v>
                </c:pt>
                <c:pt idx="81">
                  <c:v>201.36</c:v>
                </c:pt>
                <c:pt idx="82">
                  <c:v>201.25</c:v>
                </c:pt>
                <c:pt idx="83">
                  <c:v>201.18</c:v>
                </c:pt>
                <c:pt idx="84">
                  <c:v>201.14</c:v>
                </c:pt>
                <c:pt idx="85">
                  <c:v>201.3</c:v>
                </c:pt>
                <c:pt idx="86">
                  <c:v>201.29</c:v>
                </c:pt>
                <c:pt idx="87">
                  <c:v>201.26</c:v>
                </c:pt>
                <c:pt idx="88">
                  <c:v>201.22</c:v>
                </c:pt>
                <c:pt idx="89">
                  <c:v>201.31</c:v>
                </c:pt>
                <c:pt idx="90">
                  <c:v>201.27</c:v>
                </c:pt>
                <c:pt idx="91">
                  <c:v>201.33</c:v>
                </c:pt>
                <c:pt idx="92">
                  <c:v>201.21</c:v>
                </c:pt>
                <c:pt idx="93">
                  <c:v>201.31</c:v>
                </c:pt>
                <c:pt idx="94">
                  <c:v>201.21</c:v>
                </c:pt>
                <c:pt idx="95">
                  <c:v>201.21</c:v>
                </c:pt>
                <c:pt idx="96">
                  <c:v>201.22</c:v>
                </c:pt>
              </c:numCache>
            </c:numRef>
          </c:val>
          <c:smooth val="0"/>
          <c:extLst>
            <c:ext xmlns:c16="http://schemas.microsoft.com/office/drawing/2014/chart" uri="{C3380CC4-5D6E-409C-BE32-E72D297353CC}">
              <c16:uniqueId val="{00000001-6260-4F7F-95A0-5BFE1F90FF3D}"/>
            </c:ext>
          </c:extLst>
        </c:ser>
        <c:ser>
          <c:idx val="2"/>
          <c:order val="2"/>
          <c:tx>
            <c:strRef>
              <c:f>'transfert 200'!$D$1</c:f>
              <c:strCache>
                <c:ptCount val="1"/>
                <c:pt idx="0">
                  <c:v>Connecteur 3</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200'!$D$2:$D$98</c:f>
              <c:numCache>
                <c:formatCode>General</c:formatCode>
                <c:ptCount val="97"/>
                <c:pt idx="0">
                  <c:v>159.65</c:v>
                </c:pt>
                <c:pt idx="1">
                  <c:v>164.07</c:v>
                </c:pt>
                <c:pt idx="2">
                  <c:v>168.3</c:v>
                </c:pt>
                <c:pt idx="3">
                  <c:v>172.91</c:v>
                </c:pt>
                <c:pt idx="4">
                  <c:v>177.07</c:v>
                </c:pt>
                <c:pt idx="5">
                  <c:v>181.28</c:v>
                </c:pt>
                <c:pt idx="6">
                  <c:v>185.37</c:v>
                </c:pt>
                <c:pt idx="7">
                  <c:v>188.84</c:v>
                </c:pt>
                <c:pt idx="8">
                  <c:v>190.12</c:v>
                </c:pt>
                <c:pt idx="9">
                  <c:v>190.46</c:v>
                </c:pt>
                <c:pt idx="10">
                  <c:v>190.73</c:v>
                </c:pt>
                <c:pt idx="11">
                  <c:v>190.7</c:v>
                </c:pt>
                <c:pt idx="12">
                  <c:v>190.57</c:v>
                </c:pt>
                <c:pt idx="13">
                  <c:v>190.65</c:v>
                </c:pt>
                <c:pt idx="14">
                  <c:v>190.64</c:v>
                </c:pt>
                <c:pt idx="15">
                  <c:v>190.67</c:v>
                </c:pt>
                <c:pt idx="16">
                  <c:v>190.64</c:v>
                </c:pt>
                <c:pt idx="17">
                  <c:v>190.52</c:v>
                </c:pt>
                <c:pt idx="18">
                  <c:v>190.52</c:v>
                </c:pt>
                <c:pt idx="19">
                  <c:v>190.61</c:v>
                </c:pt>
                <c:pt idx="20">
                  <c:v>190.75</c:v>
                </c:pt>
                <c:pt idx="21">
                  <c:v>190.74</c:v>
                </c:pt>
                <c:pt idx="22">
                  <c:v>190.69</c:v>
                </c:pt>
                <c:pt idx="23">
                  <c:v>190.64</c:v>
                </c:pt>
                <c:pt idx="24">
                  <c:v>190.76</c:v>
                </c:pt>
                <c:pt idx="25">
                  <c:v>190.67</c:v>
                </c:pt>
                <c:pt idx="26">
                  <c:v>190.69</c:v>
                </c:pt>
                <c:pt idx="27">
                  <c:v>190.85</c:v>
                </c:pt>
                <c:pt idx="28">
                  <c:v>190.84</c:v>
                </c:pt>
                <c:pt idx="29">
                  <c:v>190.89</c:v>
                </c:pt>
                <c:pt idx="30">
                  <c:v>190.87</c:v>
                </c:pt>
                <c:pt idx="31">
                  <c:v>190.85</c:v>
                </c:pt>
                <c:pt idx="32">
                  <c:v>190.83</c:v>
                </c:pt>
                <c:pt idx="33">
                  <c:v>190.91</c:v>
                </c:pt>
                <c:pt idx="34">
                  <c:v>191.1</c:v>
                </c:pt>
                <c:pt idx="35">
                  <c:v>190.92</c:v>
                </c:pt>
                <c:pt idx="36">
                  <c:v>190.92</c:v>
                </c:pt>
                <c:pt idx="37">
                  <c:v>191.02</c:v>
                </c:pt>
                <c:pt idx="38">
                  <c:v>191.05</c:v>
                </c:pt>
                <c:pt idx="39">
                  <c:v>191.96</c:v>
                </c:pt>
                <c:pt idx="40">
                  <c:v>193.31</c:v>
                </c:pt>
                <c:pt idx="41">
                  <c:v>194.62</c:v>
                </c:pt>
                <c:pt idx="42">
                  <c:v>195.68</c:v>
                </c:pt>
                <c:pt idx="43">
                  <c:v>196.8</c:v>
                </c:pt>
                <c:pt idx="44">
                  <c:v>197.87</c:v>
                </c:pt>
                <c:pt idx="45">
                  <c:v>198.97</c:v>
                </c:pt>
                <c:pt idx="46">
                  <c:v>199.97</c:v>
                </c:pt>
                <c:pt idx="47">
                  <c:v>200.45</c:v>
                </c:pt>
                <c:pt idx="48">
                  <c:v>200.62</c:v>
                </c:pt>
                <c:pt idx="49">
                  <c:v>200.77</c:v>
                </c:pt>
                <c:pt idx="50">
                  <c:v>201.01</c:v>
                </c:pt>
                <c:pt idx="51">
                  <c:v>201.28</c:v>
                </c:pt>
                <c:pt idx="52">
                  <c:v>201.57</c:v>
                </c:pt>
                <c:pt idx="53">
                  <c:v>201.66</c:v>
                </c:pt>
                <c:pt idx="54">
                  <c:v>201.54</c:v>
                </c:pt>
                <c:pt idx="55">
                  <c:v>201.37</c:v>
                </c:pt>
                <c:pt idx="56">
                  <c:v>201.27</c:v>
                </c:pt>
                <c:pt idx="57">
                  <c:v>201.15</c:v>
                </c:pt>
                <c:pt idx="58">
                  <c:v>201.14</c:v>
                </c:pt>
                <c:pt idx="59">
                  <c:v>201.18</c:v>
                </c:pt>
                <c:pt idx="60">
                  <c:v>201.19</c:v>
                </c:pt>
                <c:pt idx="61">
                  <c:v>201.21</c:v>
                </c:pt>
                <c:pt idx="62">
                  <c:v>201.12</c:v>
                </c:pt>
                <c:pt idx="63">
                  <c:v>201.09</c:v>
                </c:pt>
                <c:pt idx="64">
                  <c:v>201.08</c:v>
                </c:pt>
                <c:pt idx="65">
                  <c:v>201.22</c:v>
                </c:pt>
                <c:pt idx="66">
                  <c:v>201.21</c:v>
                </c:pt>
                <c:pt idx="67">
                  <c:v>201.18</c:v>
                </c:pt>
                <c:pt idx="68">
                  <c:v>201.12</c:v>
                </c:pt>
                <c:pt idx="69">
                  <c:v>201.14</c:v>
                </c:pt>
                <c:pt idx="70">
                  <c:v>201.19</c:v>
                </c:pt>
                <c:pt idx="71">
                  <c:v>201.21</c:v>
                </c:pt>
                <c:pt idx="72">
                  <c:v>201.19</c:v>
                </c:pt>
                <c:pt idx="73">
                  <c:v>201.2</c:v>
                </c:pt>
                <c:pt idx="74">
                  <c:v>201.16</c:v>
                </c:pt>
                <c:pt idx="75">
                  <c:v>201.22</c:v>
                </c:pt>
                <c:pt idx="76">
                  <c:v>201.18</c:v>
                </c:pt>
                <c:pt idx="77">
                  <c:v>201.21</c:v>
                </c:pt>
                <c:pt idx="78">
                  <c:v>201.27</c:v>
                </c:pt>
                <c:pt idx="79">
                  <c:v>201.2</c:v>
                </c:pt>
                <c:pt idx="80">
                  <c:v>201.23</c:v>
                </c:pt>
                <c:pt idx="81">
                  <c:v>201.29</c:v>
                </c:pt>
                <c:pt idx="82">
                  <c:v>201.2</c:v>
                </c:pt>
                <c:pt idx="83">
                  <c:v>201.18</c:v>
                </c:pt>
                <c:pt idx="84">
                  <c:v>201.13</c:v>
                </c:pt>
                <c:pt idx="85">
                  <c:v>201.25</c:v>
                </c:pt>
                <c:pt idx="86">
                  <c:v>201.26</c:v>
                </c:pt>
                <c:pt idx="87">
                  <c:v>201.23</c:v>
                </c:pt>
                <c:pt idx="88">
                  <c:v>201.21</c:v>
                </c:pt>
                <c:pt idx="89">
                  <c:v>201.27</c:v>
                </c:pt>
                <c:pt idx="90">
                  <c:v>201.25</c:v>
                </c:pt>
                <c:pt idx="91">
                  <c:v>201.29</c:v>
                </c:pt>
                <c:pt idx="92">
                  <c:v>201.22</c:v>
                </c:pt>
                <c:pt idx="93">
                  <c:v>201.27</c:v>
                </c:pt>
                <c:pt idx="94">
                  <c:v>201.18</c:v>
                </c:pt>
                <c:pt idx="95">
                  <c:v>201.21</c:v>
                </c:pt>
                <c:pt idx="96">
                  <c:v>201.21</c:v>
                </c:pt>
              </c:numCache>
            </c:numRef>
          </c:val>
          <c:smooth val="0"/>
          <c:extLst>
            <c:ext xmlns:c16="http://schemas.microsoft.com/office/drawing/2014/chart" uri="{C3380CC4-5D6E-409C-BE32-E72D297353CC}">
              <c16:uniqueId val="{00000002-6260-4F7F-95A0-5BFE1F90FF3D}"/>
            </c:ext>
          </c:extLst>
        </c:ser>
        <c:ser>
          <c:idx val="3"/>
          <c:order val="3"/>
          <c:tx>
            <c:strRef>
              <c:f>'transfert 200'!$E$1</c:f>
              <c:strCache>
                <c:ptCount val="1"/>
                <c:pt idx="0">
                  <c:v>Connecteur 4</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200'!$E$2:$E$98</c:f>
              <c:numCache>
                <c:formatCode>General</c:formatCode>
                <c:ptCount val="97"/>
                <c:pt idx="0">
                  <c:v>165.95</c:v>
                </c:pt>
                <c:pt idx="1">
                  <c:v>170.34</c:v>
                </c:pt>
                <c:pt idx="2">
                  <c:v>174.62</c:v>
                </c:pt>
                <c:pt idx="3">
                  <c:v>178.8</c:v>
                </c:pt>
                <c:pt idx="4">
                  <c:v>183.03</c:v>
                </c:pt>
                <c:pt idx="5">
                  <c:v>187.17</c:v>
                </c:pt>
                <c:pt idx="6">
                  <c:v>191.39</c:v>
                </c:pt>
                <c:pt idx="7">
                  <c:v>194.52</c:v>
                </c:pt>
                <c:pt idx="8">
                  <c:v>194.9</c:v>
                </c:pt>
                <c:pt idx="9">
                  <c:v>194.69</c:v>
                </c:pt>
                <c:pt idx="10">
                  <c:v>194.33</c:v>
                </c:pt>
                <c:pt idx="11">
                  <c:v>193.55</c:v>
                </c:pt>
                <c:pt idx="12">
                  <c:v>193.15</c:v>
                </c:pt>
                <c:pt idx="13">
                  <c:v>192.89</c:v>
                </c:pt>
                <c:pt idx="14">
                  <c:v>192.62</c:v>
                </c:pt>
                <c:pt idx="15">
                  <c:v>192.35</c:v>
                </c:pt>
                <c:pt idx="16">
                  <c:v>192.05</c:v>
                </c:pt>
                <c:pt idx="17">
                  <c:v>191.8</c:v>
                </c:pt>
                <c:pt idx="18">
                  <c:v>191.72</c:v>
                </c:pt>
                <c:pt idx="19">
                  <c:v>191.6</c:v>
                </c:pt>
                <c:pt idx="20">
                  <c:v>191.68</c:v>
                </c:pt>
                <c:pt idx="21">
                  <c:v>191.58</c:v>
                </c:pt>
                <c:pt idx="22">
                  <c:v>191.42</c:v>
                </c:pt>
                <c:pt idx="23">
                  <c:v>191.29</c:v>
                </c:pt>
                <c:pt idx="24">
                  <c:v>191.34</c:v>
                </c:pt>
                <c:pt idx="25">
                  <c:v>191.22</c:v>
                </c:pt>
                <c:pt idx="26">
                  <c:v>191.18</c:v>
                </c:pt>
                <c:pt idx="27">
                  <c:v>191.29</c:v>
                </c:pt>
                <c:pt idx="28">
                  <c:v>191.22</c:v>
                </c:pt>
                <c:pt idx="29">
                  <c:v>191.3</c:v>
                </c:pt>
                <c:pt idx="30">
                  <c:v>191.23</c:v>
                </c:pt>
                <c:pt idx="31">
                  <c:v>191.19</c:v>
                </c:pt>
                <c:pt idx="32">
                  <c:v>191.1</c:v>
                </c:pt>
                <c:pt idx="33">
                  <c:v>191.26</c:v>
                </c:pt>
                <c:pt idx="34">
                  <c:v>191.42</c:v>
                </c:pt>
                <c:pt idx="35">
                  <c:v>191.15</c:v>
                </c:pt>
                <c:pt idx="36">
                  <c:v>191.16</c:v>
                </c:pt>
                <c:pt idx="37">
                  <c:v>191.27</c:v>
                </c:pt>
                <c:pt idx="38">
                  <c:v>191.31</c:v>
                </c:pt>
                <c:pt idx="39">
                  <c:v>192.38</c:v>
                </c:pt>
                <c:pt idx="40">
                  <c:v>194.03</c:v>
                </c:pt>
                <c:pt idx="41">
                  <c:v>195.52</c:v>
                </c:pt>
                <c:pt idx="42">
                  <c:v>196.68</c:v>
                </c:pt>
                <c:pt idx="43">
                  <c:v>197.91</c:v>
                </c:pt>
                <c:pt idx="44">
                  <c:v>199.11</c:v>
                </c:pt>
                <c:pt idx="45">
                  <c:v>200.22</c:v>
                </c:pt>
                <c:pt idx="46">
                  <c:v>201.19</c:v>
                </c:pt>
                <c:pt idx="47">
                  <c:v>201.56</c:v>
                </c:pt>
                <c:pt idx="48">
                  <c:v>201.62</c:v>
                </c:pt>
                <c:pt idx="49">
                  <c:v>201.64</c:v>
                </c:pt>
                <c:pt idx="50">
                  <c:v>201.85</c:v>
                </c:pt>
                <c:pt idx="51">
                  <c:v>202.12</c:v>
                </c:pt>
                <c:pt idx="52">
                  <c:v>202.3</c:v>
                </c:pt>
                <c:pt idx="53">
                  <c:v>202.31</c:v>
                </c:pt>
                <c:pt idx="54">
                  <c:v>201.99</c:v>
                </c:pt>
                <c:pt idx="55">
                  <c:v>201.76</c:v>
                </c:pt>
                <c:pt idx="56">
                  <c:v>201.62</c:v>
                </c:pt>
                <c:pt idx="57">
                  <c:v>201.47</c:v>
                </c:pt>
                <c:pt idx="58">
                  <c:v>201.42</c:v>
                </c:pt>
                <c:pt idx="59">
                  <c:v>201.47</c:v>
                </c:pt>
                <c:pt idx="60">
                  <c:v>201.38</c:v>
                </c:pt>
                <c:pt idx="61">
                  <c:v>201.41</c:v>
                </c:pt>
                <c:pt idx="62">
                  <c:v>201.32</c:v>
                </c:pt>
                <c:pt idx="63">
                  <c:v>201.27</c:v>
                </c:pt>
                <c:pt idx="64">
                  <c:v>201.24</c:v>
                </c:pt>
                <c:pt idx="65">
                  <c:v>201.39</c:v>
                </c:pt>
                <c:pt idx="66">
                  <c:v>201.35</c:v>
                </c:pt>
                <c:pt idx="67">
                  <c:v>201.25</c:v>
                </c:pt>
                <c:pt idx="68">
                  <c:v>201.27</c:v>
                </c:pt>
                <c:pt idx="69">
                  <c:v>201.23</c:v>
                </c:pt>
                <c:pt idx="70">
                  <c:v>201.32</c:v>
                </c:pt>
                <c:pt idx="71">
                  <c:v>201.33</c:v>
                </c:pt>
                <c:pt idx="72">
                  <c:v>201.28</c:v>
                </c:pt>
                <c:pt idx="73">
                  <c:v>201.27</c:v>
                </c:pt>
                <c:pt idx="74">
                  <c:v>201.23</c:v>
                </c:pt>
                <c:pt idx="75">
                  <c:v>201.34</c:v>
                </c:pt>
                <c:pt idx="76">
                  <c:v>201.29</c:v>
                </c:pt>
                <c:pt idx="77">
                  <c:v>201.37</c:v>
                </c:pt>
                <c:pt idx="78">
                  <c:v>201.39</c:v>
                </c:pt>
                <c:pt idx="79">
                  <c:v>201.29</c:v>
                </c:pt>
                <c:pt idx="80">
                  <c:v>201.31</c:v>
                </c:pt>
                <c:pt idx="81">
                  <c:v>201.4</c:v>
                </c:pt>
                <c:pt idx="82">
                  <c:v>201.27</c:v>
                </c:pt>
                <c:pt idx="83">
                  <c:v>201.22</c:v>
                </c:pt>
                <c:pt idx="84">
                  <c:v>201.22</c:v>
                </c:pt>
                <c:pt idx="85">
                  <c:v>201.31</c:v>
                </c:pt>
                <c:pt idx="86">
                  <c:v>201.31</c:v>
                </c:pt>
                <c:pt idx="87">
                  <c:v>201.29</c:v>
                </c:pt>
                <c:pt idx="88">
                  <c:v>201.3</c:v>
                </c:pt>
                <c:pt idx="89">
                  <c:v>201.35</c:v>
                </c:pt>
                <c:pt idx="90">
                  <c:v>201.31</c:v>
                </c:pt>
                <c:pt idx="91">
                  <c:v>201.37</c:v>
                </c:pt>
                <c:pt idx="92">
                  <c:v>201.27</c:v>
                </c:pt>
                <c:pt idx="93">
                  <c:v>201.34</c:v>
                </c:pt>
                <c:pt idx="94">
                  <c:v>201.23</c:v>
                </c:pt>
                <c:pt idx="95">
                  <c:v>201.26</c:v>
                </c:pt>
                <c:pt idx="96">
                  <c:v>201.23</c:v>
                </c:pt>
              </c:numCache>
            </c:numRef>
          </c:val>
          <c:smooth val="0"/>
          <c:extLst>
            <c:ext xmlns:c16="http://schemas.microsoft.com/office/drawing/2014/chart" uri="{C3380CC4-5D6E-409C-BE32-E72D297353CC}">
              <c16:uniqueId val="{00000003-6260-4F7F-95A0-5BFE1F90FF3D}"/>
            </c:ext>
          </c:extLst>
        </c:ser>
        <c:ser>
          <c:idx val="4"/>
          <c:order val="4"/>
          <c:tx>
            <c:strRef>
              <c:f>'transfert 200'!$F$1</c:f>
              <c:strCache>
                <c:ptCount val="1"/>
                <c:pt idx="0">
                  <c:v>Connecteur 5</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200'!$F$2:$F$98</c:f>
              <c:numCache>
                <c:formatCode>General</c:formatCode>
                <c:ptCount val="97"/>
                <c:pt idx="0">
                  <c:v>165.79</c:v>
                </c:pt>
                <c:pt idx="1">
                  <c:v>170.05</c:v>
                </c:pt>
                <c:pt idx="2">
                  <c:v>174.4</c:v>
                </c:pt>
                <c:pt idx="3">
                  <c:v>178.58</c:v>
                </c:pt>
                <c:pt idx="4">
                  <c:v>182.83</c:v>
                </c:pt>
                <c:pt idx="5">
                  <c:v>187.14</c:v>
                </c:pt>
                <c:pt idx="6">
                  <c:v>190.95</c:v>
                </c:pt>
                <c:pt idx="7">
                  <c:v>194.24</c:v>
                </c:pt>
                <c:pt idx="8">
                  <c:v>194.68</c:v>
                </c:pt>
                <c:pt idx="9">
                  <c:v>194.42</c:v>
                </c:pt>
                <c:pt idx="10">
                  <c:v>194.25</c:v>
                </c:pt>
                <c:pt idx="11">
                  <c:v>193.82</c:v>
                </c:pt>
                <c:pt idx="12">
                  <c:v>193.22</c:v>
                </c:pt>
                <c:pt idx="13">
                  <c:v>192.94</c:v>
                </c:pt>
                <c:pt idx="14">
                  <c:v>192.77</c:v>
                </c:pt>
                <c:pt idx="15">
                  <c:v>192.49</c:v>
                </c:pt>
                <c:pt idx="16">
                  <c:v>192.31</c:v>
                </c:pt>
                <c:pt idx="17">
                  <c:v>191.95</c:v>
                </c:pt>
                <c:pt idx="18">
                  <c:v>191.91</c:v>
                </c:pt>
                <c:pt idx="19">
                  <c:v>191.87</c:v>
                </c:pt>
                <c:pt idx="20">
                  <c:v>191.84</c:v>
                </c:pt>
                <c:pt idx="21">
                  <c:v>191.78</c:v>
                </c:pt>
                <c:pt idx="22">
                  <c:v>191.48</c:v>
                </c:pt>
                <c:pt idx="23">
                  <c:v>191.43</c:v>
                </c:pt>
                <c:pt idx="24">
                  <c:v>191.48</c:v>
                </c:pt>
                <c:pt idx="25">
                  <c:v>191.36</c:v>
                </c:pt>
                <c:pt idx="26">
                  <c:v>191.25</c:v>
                </c:pt>
                <c:pt idx="27">
                  <c:v>191.38</c:v>
                </c:pt>
                <c:pt idx="28">
                  <c:v>191.42</c:v>
                </c:pt>
                <c:pt idx="29">
                  <c:v>191.39</c:v>
                </c:pt>
                <c:pt idx="30">
                  <c:v>191.27</c:v>
                </c:pt>
                <c:pt idx="31">
                  <c:v>191.35</c:v>
                </c:pt>
                <c:pt idx="32">
                  <c:v>191.17</c:v>
                </c:pt>
                <c:pt idx="33">
                  <c:v>191.34</c:v>
                </c:pt>
                <c:pt idx="34">
                  <c:v>191.49</c:v>
                </c:pt>
                <c:pt idx="35">
                  <c:v>191.33</c:v>
                </c:pt>
                <c:pt idx="36">
                  <c:v>191.21</c:v>
                </c:pt>
                <c:pt idx="37">
                  <c:v>191.4</c:v>
                </c:pt>
                <c:pt idx="38">
                  <c:v>191.52</c:v>
                </c:pt>
                <c:pt idx="39">
                  <c:v>192.43</c:v>
                </c:pt>
                <c:pt idx="40">
                  <c:v>193.98</c:v>
                </c:pt>
                <c:pt idx="41">
                  <c:v>195.5</c:v>
                </c:pt>
                <c:pt idx="42">
                  <c:v>196.61</c:v>
                </c:pt>
                <c:pt idx="43">
                  <c:v>197.85</c:v>
                </c:pt>
                <c:pt idx="44">
                  <c:v>199.02</c:v>
                </c:pt>
                <c:pt idx="45">
                  <c:v>200.09</c:v>
                </c:pt>
                <c:pt idx="46">
                  <c:v>201.03</c:v>
                </c:pt>
                <c:pt idx="47">
                  <c:v>201.44</c:v>
                </c:pt>
                <c:pt idx="48">
                  <c:v>201.56</c:v>
                </c:pt>
                <c:pt idx="49">
                  <c:v>201.62</c:v>
                </c:pt>
                <c:pt idx="50">
                  <c:v>201.75</c:v>
                </c:pt>
                <c:pt idx="51">
                  <c:v>202.06</c:v>
                </c:pt>
                <c:pt idx="52">
                  <c:v>202.26</c:v>
                </c:pt>
                <c:pt idx="53">
                  <c:v>202.36</c:v>
                </c:pt>
                <c:pt idx="54">
                  <c:v>202.1</c:v>
                </c:pt>
                <c:pt idx="55">
                  <c:v>201.8</c:v>
                </c:pt>
                <c:pt idx="56">
                  <c:v>201.69</c:v>
                </c:pt>
                <c:pt idx="57">
                  <c:v>201.52</c:v>
                </c:pt>
                <c:pt idx="58">
                  <c:v>201.57</c:v>
                </c:pt>
                <c:pt idx="59">
                  <c:v>201.54</c:v>
                </c:pt>
                <c:pt idx="60">
                  <c:v>201.47</c:v>
                </c:pt>
                <c:pt idx="61">
                  <c:v>201.43</c:v>
                </c:pt>
                <c:pt idx="62">
                  <c:v>201.45</c:v>
                </c:pt>
                <c:pt idx="63">
                  <c:v>201.28</c:v>
                </c:pt>
                <c:pt idx="64">
                  <c:v>201.37</c:v>
                </c:pt>
                <c:pt idx="65">
                  <c:v>201.52</c:v>
                </c:pt>
                <c:pt idx="66">
                  <c:v>201.34</c:v>
                </c:pt>
                <c:pt idx="67">
                  <c:v>201.45</c:v>
                </c:pt>
                <c:pt idx="68">
                  <c:v>201.33</c:v>
                </c:pt>
                <c:pt idx="69">
                  <c:v>201.17</c:v>
                </c:pt>
                <c:pt idx="70">
                  <c:v>201.36</c:v>
                </c:pt>
                <c:pt idx="71">
                  <c:v>201.33</c:v>
                </c:pt>
                <c:pt idx="72">
                  <c:v>201.36</c:v>
                </c:pt>
                <c:pt idx="73">
                  <c:v>201.42</c:v>
                </c:pt>
                <c:pt idx="74">
                  <c:v>201.3</c:v>
                </c:pt>
                <c:pt idx="75">
                  <c:v>201.33</c:v>
                </c:pt>
                <c:pt idx="76">
                  <c:v>201.29</c:v>
                </c:pt>
                <c:pt idx="77">
                  <c:v>201.4</c:v>
                </c:pt>
                <c:pt idx="78">
                  <c:v>201.42</c:v>
                </c:pt>
                <c:pt idx="79">
                  <c:v>201.33</c:v>
                </c:pt>
                <c:pt idx="80">
                  <c:v>201.33</c:v>
                </c:pt>
                <c:pt idx="81">
                  <c:v>201.43</c:v>
                </c:pt>
                <c:pt idx="82">
                  <c:v>201.36</c:v>
                </c:pt>
                <c:pt idx="83">
                  <c:v>201.3</c:v>
                </c:pt>
                <c:pt idx="84">
                  <c:v>201.24</c:v>
                </c:pt>
                <c:pt idx="85">
                  <c:v>201.44</c:v>
                </c:pt>
                <c:pt idx="86">
                  <c:v>201.07</c:v>
                </c:pt>
                <c:pt idx="87">
                  <c:v>201.34</c:v>
                </c:pt>
                <c:pt idx="88">
                  <c:v>201.26</c:v>
                </c:pt>
                <c:pt idx="89">
                  <c:v>201.34</c:v>
                </c:pt>
                <c:pt idx="90">
                  <c:v>201.41</c:v>
                </c:pt>
                <c:pt idx="91">
                  <c:v>201.34</c:v>
                </c:pt>
                <c:pt idx="92">
                  <c:v>201.32</c:v>
                </c:pt>
                <c:pt idx="93">
                  <c:v>201.37</c:v>
                </c:pt>
                <c:pt idx="94">
                  <c:v>201.36</c:v>
                </c:pt>
                <c:pt idx="95">
                  <c:v>201.31</c:v>
                </c:pt>
                <c:pt idx="96">
                  <c:v>201.33</c:v>
                </c:pt>
              </c:numCache>
            </c:numRef>
          </c:val>
          <c:smooth val="0"/>
          <c:extLst>
            <c:ext xmlns:c16="http://schemas.microsoft.com/office/drawing/2014/chart" uri="{C3380CC4-5D6E-409C-BE32-E72D297353CC}">
              <c16:uniqueId val="{00000004-6260-4F7F-95A0-5BFE1F90FF3D}"/>
            </c:ext>
          </c:extLst>
        </c:ser>
        <c:ser>
          <c:idx val="5"/>
          <c:order val="5"/>
          <c:tx>
            <c:strRef>
              <c:f>'transfert 200'!$G$1</c:f>
              <c:strCache>
                <c:ptCount val="1"/>
                <c:pt idx="0">
                  <c:v>Connecteur 6</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200'!$G$2:$G$98</c:f>
              <c:numCache>
                <c:formatCode>General</c:formatCode>
                <c:ptCount val="97"/>
                <c:pt idx="0">
                  <c:v>166.71</c:v>
                </c:pt>
                <c:pt idx="1">
                  <c:v>171.2</c:v>
                </c:pt>
                <c:pt idx="2">
                  <c:v>175.49</c:v>
                </c:pt>
                <c:pt idx="3">
                  <c:v>179.7</c:v>
                </c:pt>
                <c:pt idx="4">
                  <c:v>184.18</c:v>
                </c:pt>
                <c:pt idx="5">
                  <c:v>188.46</c:v>
                </c:pt>
                <c:pt idx="6">
                  <c:v>192.71</c:v>
                </c:pt>
                <c:pt idx="7">
                  <c:v>195.48</c:v>
                </c:pt>
                <c:pt idx="8">
                  <c:v>196.11</c:v>
                </c:pt>
                <c:pt idx="9">
                  <c:v>195.85</c:v>
                </c:pt>
                <c:pt idx="10">
                  <c:v>195.5</c:v>
                </c:pt>
                <c:pt idx="11">
                  <c:v>194.99</c:v>
                </c:pt>
                <c:pt idx="12">
                  <c:v>194.42</c:v>
                </c:pt>
                <c:pt idx="13">
                  <c:v>194.14</c:v>
                </c:pt>
                <c:pt idx="14">
                  <c:v>193.89</c:v>
                </c:pt>
                <c:pt idx="15">
                  <c:v>193.62</c:v>
                </c:pt>
                <c:pt idx="16">
                  <c:v>193.37</c:v>
                </c:pt>
                <c:pt idx="17">
                  <c:v>193.04</c:v>
                </c:pt>
                <c:pt idx="18">
                  <c:v>192.97</c:v>
                </c:pt>
                <c:pt idx="19">
                  <c:v>192.87</c:v>
                </c:pt>
                <c:pt idx="20">
                  <c:v>192.91</c:v>
                </c:pt>
                <c:pt idx="21">
                  <c:v>192.8</c:v>
                </c:pt>
                <c:pt idx="22">
                  <c:v>192.53</c:v>
                </c:pt>
                <c:pt idx="23">
                  <c:v>192.49</c:v>
                </c:pt>
                <c:pt idx="24">
                  <c:v>192.46</c:v>
                </c:pt>
                <c:pt idx="25">
                  <c:v>192.4</c:v>
                </c:pt>
                <c:pt idx="26">
                  <c:v>192.25</c:v>
                </c:pt>
                <c:pt idx="27">
                  <c:v>192.42</c:v>
                </c:pt>
                <c:pt idx="28">
                  <c:v>192.28</c:v>
                </c:pt>
                <c:pt idx="29">
                  <c:v>192.42</c:v>
                </c:pt>
                <c:pt idx="30">
                  <c:v>192.25</c:v>
                </c:pt>
                <c:pt idx="31">
                  <c:v>192.18</c:v>
                </c:pt>
                <c:pt idx="32">
                  <c:v>192.08</c:v>
                </c:pt>
                <c:pt idx="33">
                  <c:v>192.24</c:v>
                </c:pt>
                <c:pt idx="34">
                  <c:v>192.38</c:v>
                </c:pt>
                <c:pt idx="35">
                  <c:v>192.15</c:v>
                </c:pt>
                <c:pt idx="36">
                  <c:v>192.18</c:v>
                </c:pt>
                <c:pt idx="37">
                  <c:v>192.24</c:v>
                </c:pt>
                <c:pt idx="38">
                  <c:v>192.39</c:v>
                </c:pt>
                <c:pt idx="39">
                  <c:v>193.54</c:v>
                </c:pt>
                <c:pt idx="40">
                  <c:v>195.19</c:v>
                </c:pt>
                <c:pt idx="41">
                  <c:v>196.65</c:v>
                </c:pt>
                <c:pt idx="42">
                  <c:v>197.82</c:v>
                </c:pt>
                <c:pt idx="43">
                  <c:v>198.98</c:v>
                </c:pt>
                <c:pt idx="44">
                  <c:v>200.29</c:v>
                </c:pt>
                <c:pt idx="45">
                  <c:v>201.33</c:v>
                </c:pt>
                <c:pt idx="46">
                  <c:v>202.2</c:v>
                </c:pt>
                <c:pt idx="47">
                  <c:v>202.62</c:v>
                </c:pt>
                <c:pt idx="48">
                  <c:v>202.57</c:v>
                </c:pt>
                <c:pt idx="49">
                  <c:v>202.62</c:v>
                </c:pt>
                <c:pt idx="50">
                  <c:v>202.77</c:v>
                </c:pt>
                <c:pt idx="51">
                  <c:v>203.12</c:v>
                </c:pt>
                <c:pt idx="52">
                  <c:v>203.3</c:v>
                </c:pt>
                <c:pt idx="53">
                  <c:v>203.27</c:v>
                </c:pt>
                <c:pt idx="54">
                  <c:v>202.98</c:v>
                </c:pt>
                <c:pt idx="55">
                  <c:v>202.7</c:v>
                </c:pt>
                <c:pt idx="56">
                  <c:v>202.57</c:v>
                </c:pt>
                <c:pt idx="57">
                  <c:v>202.41</c:v>
                </c:pt>
                <c:pt idx="58">
                  <c:v>202.36</c:v>
                </c:pt>
                <c:pt idx="59">
                  <c:v>202.42</c:v>
                </c:pt>
                <c:pt idx="60">
                  <c:v>202.3</c:v>
                </c:pt>
                <c:pt idx="61">
                  <c:v>202.39</c:v>
                </c:pt>
                <c:pt idx="62">
                  <c:v>202.26</c:v>
                </c:pt>
                <c:pt idx="63">
                  <c:v>202.16</c:v>
                </c:pt>
                <c:pt idx="64">
                  <c:v>202.15</c:v>
                </c:pt>
                <c:pt idx="65">
                  <c:v>202.32</c:v>
                </c:pt>
                <c:pt idx="66">
                  <c:v>202.23</c:v>
                </c:pt>
                <c:pt idx="67">
                  <c:v>202.14</c:v>
                </c:pt>
                <c:pt idx="68">
                  <c:v>202.09</c:v>
                </c:pt>
                <c:pt idx="69">
                  <c:v>202.09</c:v>
                </c:pt>
                <c:pt idx="70">
                  <c:v>202.21</c:v>
                </c:pt>
                <c:pt idx="71">
                  <c:v>202.18</c:v>
                </c:pt>
                <c:pt idx="72">
                  <c:v>202.15</c:v>
                </c:pt>
                <c:pt idx="73">
                  <c:v>202.14</c:v>
                </c:pt>
                <c:pt idx="74">
                  <c:v>202.11</c:v>
                </c:pt>
                <c:pt idx="75">
                  <c:v>202.18</c:v>
                </c:pt>
                <c:pt idx="76">
                  <c:v>202.1</c:v>
                </c:pt>
                <c:pt idx="77">
                  <c:v>202.19</c:v>
                </c:pt>
                <c:pt idx="78">
                  <c:v>202.23</c:v>
                </c:pt>
                <c:pt idx="79">
                  <c:v>202.14</c:v>
                </c:pt>
                <c:pt idx="80">
                  <c:v>202.15</c:v>
                </c:pt>
                <c:pt idx="81">
                  <c:v>202.29</c:v>
                </c:pt>
                <c:pt idx="82">
                  <c:v>202.1</c:v>
                </c:pt>
                <c:pt idx="83">
                  <c:v>202.07</c:v>
                </c:pt>
                <c:pt idx="84">
                  <c:v>202.01</c:v>
                </c:pt>
                <c:pt idx="85">
                  <c:v>202.15</c:v>
                </c:pt>
                <c:pt idx="86">
                  <c:v>202.11</c:v>
                </c:pt>
                <c:pt idx="87">
                  <c:v>202.17</c:v>
                </c:pt>
                <c:pt idx="88">
                  <c:v>202.12</c:v>
                </c:pt>
                <c:pt idx="89">
                  <c:v>202.11</c:v>
                </c:pt>
                <c:pt idx="90">
                  <c:v>202.1</c:v>
                </c:pt>
                <c:pt idx="91">
                  <c:v>202.14</c:v>
                </c:pt>
                <c:pt idx="92">
                  <c:v>202.07</c:v>
                </c:pt>
                <c:pt idx="93">
                  <c:v>202.12</c:v>
                </c:pt>
                <c:pt idx="94">
                  <c:v>202.02</c:v>
                </c:pt>
                <c:pt idx="95">
                  <c:v>202.04</c:v>
                </c:pt>
                <c:pt idx="96">
                  <c:v>201.98</c:v>
                </c:pt>
              </c:numCache>
            </c:numRef>
          </c:val>
          <c:smooth val="0"/>
          <c:extLst>
            <c:ext xmlns:c16="http://schemas.microsoft.com/office/drawing/2014/chart" uri="{C3380CC4-5D6E-409C-BE32-E72D297353CC}">
              <c16:uniqueId val="{00000005-6260-4F7F-95A0-5BFE1F90FF3D}"/>
            </c:ext>
          </c:extLst>
        </c:ser>
        <c:ser>
          <c:idx val="6"/>
          <c:order val="6"/>
          <c:tx>
            <c:strRef>
              <c:f>'transfert 200'!$H$1</c:f>
              <c:strCache>
                <c:ptCount val="1"/>
                <c:pt idx="0">
                  <c:v>Connecteur 7</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200'!$H$2:$H$98</c:f>
              <c:numCache>
                <c:formatCode>General</c:formatCode>
                <c:ptCount val="97"/>
                <c:pt idx="0">
                  <c:v>149.13</c:v>
                </c:pt>
                <c:pt idx="1">
                  <c:v>153.75</c:v>
                </c:pt>
                <c:pt idx="2">
                  <c:v>158.44</c:v>
                </c:pt>
                <c:pt idx="3">
                  <c:v>162.55000000000001</c:v>
                </c:pt>
                <c:pt idx="4">
                  <c:v>166.83</c:v>
                </c:pt>
                <c:pt idx="5">
                  <c:v>171.71</c:v>
                </c:pt>
                <c:pt idx="6">
                  <c:v>175.64</c:v>
                </c:pt>
                <c:pt idx="7">
                  <c:v>180.03</c:v>
                </c:pt>
                <c:pt idx="8">
                  <c:v>182.31</c:v>
                </c:pt>
                <c:pt idx="9">
                  <c:v>184.18</c:v>
                </c:pt>
                <c:pt idx="10">
                  <c:v>185.47</c:v>
                </c:pt>
                <c:pt idx="11">
                  <c:v>186.49</c:v>
                </c:pt>
                <c:pt idx="12">
                  <c:v>187.23</c:v>
                </c:pt>
                <c:pt idx="13">
                  <c:v>187.9</c:v>
                </c:pt>
                <c:pt idx="14">
                  <c:v>188.45</c:v>
                </c:pt>
                <c:pt idx="15">
                  <c:v>188.95</c:v>
                </c:pt>
                <c:pt idx="16">
                  <c:v>189.15</c:v>
                </c:pt>
                <c:pt idx="17">
                  <c:v>189.45</c:v>
                </c:pt>
                <c:pt idx="18">
                  <c:v>189.78</c:v>
                </c:pt>
                <c:pt idx="19">
                  <c:v>189.86</c:v>
                </c:pt>
                <c:pt idx="20">
                  <c:v>190.06</c:v>
                </c:pt>
                <c:pt idx="21">
                  <c:v>190.21</c:v>
                </c:pt>
                <c:pt idx="22">
                  <c:v>190.32</c:v>
                </c:pt>
                <c:pt idx="23">
                  <c:v>190.29</c:v>
                </c:pt>
                <c:pt idx="24">
                  <c:v>190.45</c:v>
                </c:pt>
                <c:pt idx="25">
                  <c:v>190.45</c:v>
                </c:pt>
                <c:pt idx="26">
                  <c:v>190.5</c:v>
                </c:pt>
                <c:pt idx="27">
                  <c:v>190.57</c:v>
                </c:pt>
                <c:pt idx="28">
                  <c:v>190.55</c:v>
                </c:pt>
                <c:pt idx="29">
                  <c:v>190.78</c:v>
                </c:pt>
                <c:pt idx="30">
                  <c:v>190.65</c:v>
                </c:pt>
                <c:pt idx="31">
                  <c:v>190.66</c:v>
                </c:pt>
                <c:pt idx="32">
                  <c:v>190.65</c:v>
                </c:pt>
                <c:pt idx="33">
                  <c:v>190.71</c:v>
                </c:pt>
                <c:pt idx="34">
                  <c:v>190.86</c:v>
                </c:pt>
                <c:pt idx="35">
                  <c:v>190.71</c:v>
                </c:pt>
                <c:pt idx="36">
                  <c:v>190.7</c:v>
                </c:pt>
                <c:pt idx="37">
                  <c:v>190.76</c:v>
                </c:pt>
                <c:pt idx="38">
                  <c:v>190.83</c:v>
                </c:pt>
                <c:pt idx="39">
                  <c:v>191.44</c:v>
                </c:pt>
                <c:pt idx="40">
                  <c:v>192.32</c:v>
                </c:pt>
                <c:pt idx="41">
                  <c:v>193.38</c:v>
                </c:pt>
                <c:pt idx="42">
                  <c:v>194.13</c:v>
                </c:pt>
                <c:pt idx="43">
                  <c:v>195.2</c:v>
                </c:pt>
                <c:pt idx="44">
                  <c:v>196.14</c:v>
                </c:pt>
                <c:pt idx="45">
                  <c:v>197.12</c:v>
                </c:pt>
                <c:pt idx="46">
                  <c:v>197.91</c:v>
                </c:pt>
                <c:pt idx="47">
                  <c:v>198.6</c:v>
                </c:pt>
                <c:pt idx="48">
                  <c:v>199.2</c:v>
                </c:pt>
                <c:pt idx="49">
                  <c:v>199.42</c:v>
                </c:pt>
                <c:pt idx="50">
                  <c:v>199.84</c:v>
                </c:pt>
                <c:pt idx="51">
                  <c:v>200.28</c:v>
                </c:pt>
                <c:pt idx="52">
                  <c:v>200.47</c:v>
                </c:pt>
                <c:pt idx="53">
                  <c:v>200.71</c:v>
                </c:pt>
                <c:pt idx="54">
                  <c:v>200.77</c:v>
                </c:pt>
                <c:pt idx="55">
                  <c:v>200.77</c:v>
                </c:pt>
                <c:pt idx="56">
                  <c:v>200.82</c:v>
                </c:pt>
                <c:pt idx="57">
                  <c:v>200.72</c:v>
                </c:pt>
                <c:pt idx="58">
                  <c:v>200.79</c:v>
                </c:pt>
                <c:pt idx="59">
                  <c:v>200.84</c:v>
                </c:pt>
                <c:pt idx="60">
                  <c:v>200.83</c:v>
                </c:pt>
                <c:pt idx="61">
                  <c:v>200.9</c:v>
                </c:pt>
                <c:pt idx="62">
                  <c:v>200.87</c:v>
                </c:pt>
                <c:pt idx="63">
                  <c:v>200.84</c:v>
                </c:pt>
                <c:pt idx="64">
                  <c:v>200.79</c:v>
                </c:pt>
                <c:pt idx="65">
                  <c:v>200.9</c:v>
                </c:pt>
                <c:pt idx="66">
                  <c:v>200.92</c:v>
                </c:pt>
                <c:pt idx="67">
                  <c:v>200.92</c:v>
                </c:pt>
                <c:pt idx="68">
                  <c:v>200.87</c:v>
                </c:pt>
                <c:pt idx="69">
                  <c:v>200.87</c:v>
                </c:pt>
                <c:pt idx="70">
                  <c:v>200.9</c:v>
                </c:pt>
                <c:pt idx="71">
                  <c:v>200.91</c:v>
                </c:pt>
                <c:pt idx="72">
                  <c:v>200.91</c:v>
                </c:pt>
                <c:pt idx="73">
                  <c:v>200.92</c:v>
                </c:pt>
                <c:pt idx="74">
                  <c:v>200.88</c:v>
                </c:pt>
                <c:pt idx="75">
                  <c:v>200.94</c:v>
                </c:pt>
                <c:pt idx="76">
                  <c:v>200.94</c:v>
                </c:pt>
                <c:pt idx="77">
                  <c:v>201</c:v>
                </c:pt>
                <c:pt idx="78">
                  <c:v>200.99</c:v>
                </c:pt>
                <c:pt idx="79">
                  <c:v>200.96</c:v>
                </c:pt>
                <c:pt idx="80">
                  <c:v>200.95</c:v>
                </c:pt>
                <c:pt idx="81">
                  <c:v>200.98</c:v>
                </c:pt>
                <c:pt idx="82">
                  <c:v>200.97</c:v>
                </c:pt>
                <c:pt idx="83">
                  <c:v>200.92</c:v>
                </c:pt>
                <c:pt idx="84">
                  <c:v>200.9</c:v>
                </c:pt>
                <c:pt idx="85">
                  <c:v>200.99</c:v>
                </c:pt>
                <c:pt idx="86">
                  <c:v>201.01</c:v>
                </c:pt>
                <c:pt idx="87">
                  <c:v>200.99</c:v>
                </c:pt>
                <c:pt idx="88">
                  <c:v>201</c:v>
                </c:pt>
                <c:pt idx="89">
                  <c:v>200.97</c:v>
                </c:pt>
                <c:pt idx="90">
                  <c:v>201</c:v>
                </c:pt>
                <c:pt idx="91">
                  <c:v>201.01</c:v>
                </c:pt>
                <c:pt idx="92">
                  <c:v>200.95</c:v>
                </c:pt>
                <c:pt idx="93">
                  <c:v>201.05</c:v>
                </c:pt>
                <c:pt idx="94">
                  <c:v>201</c:v>
                </c:pt>
                <c:pt idx="95">
                  <c:v>200.95</c:v>
                </c:pt>
                <c:pt idx="96">
                  <c:v>200.96</c:v>
                </c:pt>
              </c:numCache>
            </c:numRef>
          </c:val>
          <c:smooth val="0"/>
          <c:extLst>
            <c:ext xmlns:c16="http://schemas.microsoft.com/office/drawing/2014/chart" uri="{C3380CC4-5D6E-409C-BE32-E72D297353CC}">
              <c16:uniqueId val="{00000006-6260-4F7F-95A0-5BFE1F90FF3D}"/>
            </c:ext>
          </c:extLst>
        </c:ser>
        <c:ser>
          <c:idx val="7"/>
          <c:order val="7"/>
          <c:tx>
            <c:strRef>
              <c:f>'transfert 200'!$I$1</c:f>
              <c:strCache>
                <c:ptCount val="1"/>
                <c:pt idx="0">
                  <c:v>Connecteur 8</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200'!$I$2:$I$98</c:f>
              <c:numCache>
                <c:formatCode>General</c:formatCode>
                <c:ptCount val="97"/>
                <c:pt idx="0">
                  <c:v>169.38</c:v>
                </c:pt>
                <c:pt idx="1">
                  <c:v>173.71</c:v>
                </c:pt>
                <c:pt idx="2">
                  <c:v>178.02</c:v>
                </c:pt>
                <c:pt idx="3">
                  <c:v>182.17</c:v>
                </c:pt>
                <c:pt idx="4">
                  <c:v>186.35</c:v>
                </c:pt>
                <c:pt idx="5">
                  <c:v>190.44</c:v>
                </c:pt>
                <c:pt idx="6">
                  <c:v>194.71</c:v>
                </c:pt>
                <c:pt idx="7">
                  <c:v>197.6</c:v>
                </c:pt>
                <c:pt idx="8">
                  <c:v>197.52</c:v>
                </c:pt>
                <c:pt idx="9">
                  <c:v>196.94</c:v>
                </c:pt>
                <c:pt idx="10">
                  <c:v>196.39</c:v>
                </c:pt>
                <c:pt idx="11">
                  <c:v>195.2</c:v>
                </c:pt>
                <c:pt idx="12">
                  <c:v>194.71</c:v>
                </c:pt>
                <c:pt idx="13">
                  <c:v>194.3</c:v>
                </c:pt>
                <c:pt idx="14">
                  <c:v>193.86</c:v>
                </c:pt>
                <c:pt idx="15">
                  <c:v>193.4</c:v>
                </c:pt>
                <c:pt idx="16">
                  <c:v>193.08</c:v>
                </c:pt>
                <c:pt idx="17">
                  <c:v>192.71</c:v>
                </c:pt>
                <c:pt idx="18">
                  <c:v>192.51</c:v>
                </c:pt>
                <c:pt idx="19">
                  <c:v>192.42</c:v>
                </c:pt>
                <c:pt idx="20">
                  <c:v>192.44</c:v>
                </c:pt>
                <c:pt idx="21">
                  <c:v>192.23</c:v>
                </c:pt>
                <c:pt idx="22">
                  <c:v>191.92</c:v>
                </c:pt>
                <c:pt idx="23">
                  <c:v>191.86</c:v>
                </c:pt>
                <c:pt idx="24">
                  <c:v>191.86</c:v>
                </c:pt>
                <c:pt idx="25">
                  <c:v>191.75</c:v>
                </c:pt>
                <c:pt idx="26">
                  <c:v>191.65</c:v>
                </c:pt>
                <c:pt idx="27">
                  <c:v>191.72</c:v>
                </c:pt>
                <c:pt idx="28">
                  <c:v>191.57</c:v>
                </c:pt>
                <c:pt idx="29">
                  <c:v>191.78</c:v>
                </c:pt>
                <c:pt idx="30">
                  <c:v>191.54</c:v>
                </c:pt>
                <c:pt idx="31">
                  <c:v>191.54</c:v>
                </c:pt>
                <c:pt idx="32">
                  <c:v>191.41</c:v>
                </c:pt>
                <c:pt idx="33">
                  <c:v>191.56</c:v>
                </c:pt>
                <c:pt idx="34">
                  <c:v>191.72</c:v>
                </c:pt>
                <c:pt idx="35">
                  <c:v>191.46</c:v>
                </c:pt>
                <c:pt idx="36">
                  <c:v>191.45</c:v>
                </c:pt>
                <c:pt idx="37">
                  <c:v>191.49</c:v>
                </c:pt>
                <c:pt idx="38">
                  <c:v>191.63</c:v>
                </c:pt>
                <c:pt idx="39">
                  <c:v>192.94</c:v>
                </c:pt>
                <c:pt idx="40">
                  <c:v>194.69</c:v>
                </c:pt>
                <c:pt idx="41">
                  <c:v>196.22</c:v>
                </c:pt>
                <c:pt idx="42">
                  <c:v>197.42</c:v>
                </c:pt>
                <c:pt idx="43">
                  <c:v>198.72</c:v>
                </c:pt>
                <c:pt idx="44">
                  <c:v>199.9</c:v>
                </c:pt>
                <c:pt idx="45">
                  <c:v>201.12</c:v>
                </c:pt>
                <c:pt idx="46">
                  <c:v>202.01</c:v>
                </c:pt>
                <c:pt idx="47">
                  <c:v>202.32</c:v>
                </c:pt>
                <c:pt idx="48">
                  <c:v>202.24</c:v>
                </c:pt>
                <c:pt idx="49">
                  <c:v>202.24</c:v>
                </c:pt>
                <c:pt idx="50">
                  <c:v>202.42</c:v>
                </c:pt>
                <c:pt idx="51">
                  <c:v>202.67</c:v>
                </c:pt>
                <c:pt idx="52">
                  <c:v>202.86</c:v>
                </c:pt>
                <c:pt idx="53">
                  <c:v>202.78</c:v>
                </c:pt>
                <c:pt idx="54">
                  <c:v>202.41</c:v>
                </c:pt>
                <c:pt idx="55">
                  <c:v>202.08</c:v>
                </c:pt>
                <c:pt idx="56">
                  <c:v>201.96</c:v>
                </c:pt>
                <c:pt idx="57">
                  <c:v>201.8</c:v>
                </c:pt>
                <c:pt idx="58">
                  <c:v>201.77</c:v>
                </c:pt>
                <c:pt idx="59">
                  <c:v>201.74</c:v>
                </c:pt>
                <c:pt idx="60">
                  <c:v>201.67</c:v>
                </c:pt>
                <c:pt idx="61">
                  <c:v>201.65</c:v>
                </c:pt>
                <c:pt idx="62">
                  <c:v>201.51</c:v>
                </c:pt>
                <c:pt idx="63">
                  <c:v>201.45</c:v>
                </c:pt>
                <c:pt idx="64">
                  <c:v>201.48</c:v>
                </c:pt>
                <c:pt idx="65">
                  <c:v>201.63</c:v>
                </c:pt>
                <c:pt idx="66">
                  <c:v>201.54</c:v>
                </c:pt>
                <c:pt idx="67">
                  <c:v>201.42</c:v>
                </c:pt>
                <c:pt idx="68">
                  <c:v>201.43</c:v>
                </c:pt>
                <c:pt idx="69">
                  <c:v>201.42</c:v>
                </c:pt>
                <c:pt idx="70">
                  <c:v>201.48</c:v>
                </c:pt>
                <c:pt idx="71">
                  <c:v>201.47</c:v>
                </c:pt>
                <c:pt idx="72">
                  <c:v>201.5</c:v>
                </c:pt>
                <c:pt idx="73">
                  <c:v>201.46</c:v>
                </c:pt>
                <c:pt idx="74">
                  <c:v>201.4</c:v>
                </c:pt>
                <c:pt idx="75">
                  <c:v>201.44</c:v>
                </c:pt>
                <c:pt idx="76">
                  <c:v>201.46</c:v>
                </c:pt>
                <c:pt idx="77">
                  <c:v>201.57</c:v>
                </c:pt>
                <c:pt idx="78">
                  <c:v>201.53</c:v>
                </c:pt>
                <c:pt idx="79">
                  <c:v>201.48</c:v>
                </c:pt>
                <c:pt idx="80">
                  <c:v>201.45</c:v>
                </c:pt>
                <c:pt idx="81">
                  <c:v>201.53</c:v>
                </c:pt>
                <c:pt idx="82">
                  <c:v>201.42</c:v>
                </c:pt>
                <c:pt idx="83">
                  <c:v>201.37</c:v>
                </c:pt>
                <c:pt idx="84">
                  <c:v>201.33</c:v>
                </c:pt>
                <c:pt idx="85">
                  <c:v>201.5</c:v>
                </c:pt>
                <c:pt idx="86">
                  <c:v>201.38</c:v>
                </c:pt>
                <c:pt idx="87">
                  <c:v>201.43</c:v>
                </c:pt>
                <c:pt idx="88">
                  <c:v>201.41</c:v>
                </c:pt>
                <c:pt idx="89">
                  <c:v>201.4</c:v>
                </c:pt>
                <c:pt idx="90">
                  <c:v>201.43</c:v>
                </c:pt>
                <c:pt idx="91">
                  <c:v>201.51</c:v>
                </c:pt>
                <c:pt idx="92">
                  <c:v>201.4</c:v>
                </c:pt>
                <c:pt idx="93">
                  <c:v>201.49</c:v>
                </c:pt>
                <c:pt idx="94">
                  <c:v>201.36</c:v>
                </c:pt>
                <c:pt idx="95">
                  <c:v>201.35</c:v>
                </c:pt>
                <c:pt idx="96">
                  <c:v>201.35</c:v>
                </c:pt>
              </c:numCache>
            </c:numRef>
          </c:val>
          <c:smooth val="0"/>
          <c:extLst>
            <c:ext xmlns:c16="http://schemas.microsoft.com/office/drawing/2014/chart" uri="{C3380CC4-5D6E-409C-BE32-E72D297353CC}">
              <c16:uniqueId val="{00000007-6260-4F7F-95A0-5BFE1F90FF3D}"/>
            </c:ext>
          </c:extLst>
        </c:ser>
        <c:ser>
          <c:idx val="8"/>
          <c:order val="8"/>
          <c:tx>
            <c:strRef>
              <c:f>'transfert 200'!$J$1</c:f>
              <c:strCache>
                <c:ptCount val="1"/>
                <c:pt idx="0">
                  <c:v>Connecteur 9</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200'!$J$2:$J$98</c:f>
              <c:numCache>
                <c:formatCode>General</c:formatCode>
                <c:ptCount val="97"/>
                <c:pt idx="0">
                  <c:v>164.55</c:v>
                </c:pt>
                <c:pt idx="1">
                  <c:v>168.51</c:v>
                </c:pt>
                <c:pt idx="2">
                  <c:v>172.82</c:v>
                </c:pt>
                <c:pt idx="3">
                  <c:v>177.29</c:v>
                </c:pt>
                <c:pt idx="4">
                  <c:v>181.44</c:v>
                </c:pt>
                <c:pt idx="5">
                  <c:v>185.58</c:v>
                </c:pt>
                <c:pt idx="6">
                  <c:v>189.75</c:v>
                </c:pt>
                <c:pt idx="7">
                  <c:v>192.97</c:v>
                </c:pt>
                <c:pt idx="8">
                  <c:v>193.71</c:v>
                </c:pt>
                <c:pt idx="9">
                  <c:v>193.76</c:v>
                </c:pt>
                <c:pt idx="10">
                  <c:v>193.49</c:v>
                </c:pt>
                <c:pt idx="11">
                  <c:v>193.13</c:v>
                </c:pt>
                <c:pt idx="12">
                  <c:v>192.72</c:v>
                </c:pt>
                <c:pt idx="13">
                  <c:v>192.52</c:v>
                </c:pt>
                <c:pt idx="14">
                  <c:v>192.27</c:v>
                </c:pt>
                <c:pt idx="15">
                  <c:v>192.08</c:v>
                </c:pt>
                <c:pt idx="16">
                  <c:v>191.9</c:v>
                </c:pt>
                <c:pt idx="17">
                  <c:v>191.64</c:v>
                </c:pt>
                <c:pt idx="18">
                  <c:v>191.53</c:v>
                </c:pt>
                <c:pt idx="19">
                  <c:v>191.46</c:v>
                </c:pt>
                <c:pt idx="20">
                  <c:v>191.54</c:v>
                </c:pt>
                <c:pt idx="21">
                  <c:v>191.43</c:v>
                </c:pt>
                <c:pt idx="22">
                  <c:v>191.29</c:v>
                </c:pt>
                <c:pt idx="23">
                  <c:v>191.2</c:v>
                </c:pt>
                <c:pt idx="24">
                  <c:v>191.22</c:v>
                </c:pt>
                <c:pt idx="25">
                  <c:v>191.15</c:v>
                </c:pt>
                <c:pt idx="26">
                  <c:v>191.08</c:v>
                </c:pt>
                <c:pt idx="27">
                  <c:v>191.2</c:v>
                </c:pt>
                <c:pt idx="28">
                  <c:v>191.08</c:v>
                </c:pt>
                <c:pt idx="29">
                  <c:v>191.23</c:v>
                </c:pt>
                <c:pt idx="30">
                  <c:v>191.09</c:v>
                </c:pt>
                <c:pt idx="31">
                  <c:v>191.05</c:v>
                </c:pt>
                <c:pt idx="32">
                  <c:v>191.04</c:v>
                </c:pt>
                <c:pt idx="33">
                  <c:v>191.13</c:v>
                </c:pt>
                <c:pt idx="34">
                  <c:v>191.28</c:v>
                </c:pt>
                <c:pt idx="35">
                  <c:v>191.11</c:v>
                </c:pt>
                <c:pt idx="36">
                  <c:v>191.07</c:v>
                </c:pt>
                <c:pt idx="37">
                  <c:v>191.17</c:v>
                </c:pt>
                <c:pt idx="38">
                  <c:v>191.2</c:v>
                </c:pt>
                <c:pt idx="39">
                  <c:v>192.2</c:v>
                </c:pt>
                <c:pt idx="40">
                  <c:v>193.78</c:v>
                </c:pt>
                <c:pt idx="41">
                  <c:v>195.14</c:v>
                </c:pt>
                <c:pt idx="42">
                  <c:v>196.29</c:v>
                </c:pt>
                <c:pt idx="43">
                  <c:v>197.51</c:v>
                </c:pt>
                <c:pt idx="44">
                  <c:v>198.75</c:v>
                </c:pt>
                <c:pt idx="45">
                  <c:v>199.78</c:v>
                </c:pt>
                <c:pt idx="46">
                  <c:v>200.73</c:v>
                </c:pt>
                <c:pt idx="47">
                  <c:v>201.16</c:v>
                </c:pt>
                <c:pt idx="48">
                  <c:v>201.29</c:v>
                </c:pt>
                <c:pt idx="49">
                  <c:v>201.34</c:v>
                </c:pt>
                <c:pt idx="50">
                  <c:v>201.55</c:v>
                </c:pt>
                <c:pt idx="51">
                  <c:v>201.83</c:v>
                </c:pt>
                <c:pt idx="52">
                  <c:v>202.08</c:v>
                </c:pt>
                <c:pt idx="53">
                  <c:v>202.15</c:v>
                </c:pt>
                <c:pt idx="54">
                  <c:v>201.89</c:v>
                </c:pt>
                <c:pt idx="55">
                  <c:v>201.62</c:v>
                </c:pt>
                <c:pt idx="56">
                  <c:v>201.52</c:v>
                </c:pt>
                <c:pt idx="57">
                  <c:v>201.36</c:v>
                </c:pt>
                <c:pt idx="58">
                  <c:v>201.29</c:v>
                </c:pt>
                <c:pt idx="59">
                  <c:v>201.36</c:v>
                </c:pt>
                <c:pt idx="60">
                  <c:v>201.28</c:v>
                </c:pt>
                <c:pt idx="61">
                  <c:v>201.33</c:v>
                </c:pt>
                <c:pt idx="62">
                  <c:v>201.25</c:v>
                </c:pt>
                <c:pt idx="63">
                  <c:v>201.18</c:v>
                </c:pt>
                <c:pt idx="64">
                  <c:v>201.15</c:v>
                </c:pt>
                <c:pt idx="65">
                  <c:v>201.28</c:v>
                </c:pt>
                <c:pt idx="66">
                  <c:v>201.28</c:v>
                </c:pt>
                <c:pt idx="67">
                  <c:v>201.22</c:v>
                </c:pt>
                <c:pt idx="68">
                  <c:v>201.17</c:v>
                </c:pt>
                <c:pt idx="69">
                  <c:v>201.11</c:v>
                </c:pt>
                <c:pt idx="70">
                  <c:v>201.23</c:v>
                </c:pt>
                <c:pt idx="71">
                  <c:v>201.22</c:v>
                </c:pt>
                <c:pt idx="72">
                  <c:v>201.2</c:v>
                </c:pt>
                <c:pt idx="73">
                  <c:v>201.21</c:v>
                </c:pt>
                <c:pt idx="74">
                  <c:v>201.16</c:v>
                </c:pt>
                <c:pt idx="75">
                  <c:v>201.22</c:v>
                </c:pt>
                <c:pt idx="76">
                  <c:v>201.15</c:v>
                </c:pt>
                <c:pt idx="77">
                  <c:v>201.25</c:v>
                </c:pt>
                <c:pt idx="78">
                  <c:v>201.28</c:v>
                </c:pt>
                <c:pt idx="79">
                  <c:v>201.22</c:v>
                </c:pt>
                <c:pt idx="80">
                  <c:v>201.18</c:v>
                </c:pt>
                <c:pt idx="81">
                  <c:v>201.32</c:v>
                </c:pt>
                <c:pt idx="82">
                  <c:v>201.16</c:v>
                </c:pt>
                <c:pt idx="83">
                  <c:v>201.16</c:v>
                </c:pt>
                <c:pt idx="84">
                  <c:v>201.12</c:v>
                </c:pt>
                <c:pt idx="85">
                  <c:v>201.2</c:v>
                </c:pt>
                <c:pt idx="86">
                  <c:v>201.17</c:v>
                </c:pt>
                <c:pt idx="87">
                  <c:v>201.21</c:v>
                </c:pt>
                <c:pt idx="88">
                  <c:v>201.21</c:v>
                </c:pt>
                <c:pt idx="89">
                  <c:v>201.18</c:v>
                </c:pt>
                <c:pt idx="90">
                  <c:v>201.21</c:v>
                </c:pt>
                <c:pt idx="91">
                  <c:v>201.29</c:v>
                </c:pt>
                <c:pt idx="92">
                  <c:v>201.17</c:v>
                </c:pt>
                <c:pt idx="93">
                  <c:v>201.23</c:v>
                </c:pt>
                <c:pt idx="94">
                  <c:v>201.14</c:v>
                </c:pt>
                <c:pt idx="95">
                  <c:v>201.18</c:v>
                </c:pt>
                <c:pt idx="96">
                  <c:v>201.15</c:v>
                </c:pt>
              </c:numCache>
            </c:numRef>
          </c:val>
          <c:smooth val="0"/>
          <c:extLst>
            <c:ext xmlns:c16="http://schemas.microsoft.com/office/drawing/2014/chart" uri="{C3380CC4-5D6E-409C-BE32-E72D297353CC}">
              <c16:uniqueId val="{00000008-6260-4F7F-95A0-5BFE1F90FF3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3396105590315928"/>
          <c:h val="0.87729964343500444"/>
        </c:manualLayout>
      </c:layout>
      <c:lineChart>
        <c:grouping val="standard"/>
        <c:varyColors val="0"/>
        <c:ser>
          <c:idx val="0"/>
          <c:order val="0"/>
          <c:tx>
            <c:strRef>
              <c:f>'transfert 385'!$B$1</c:f>
              <c:strCache>
                <c:ptCount val="1"/>
                <c:pt idx="0">
                  <c:v>Connecteur 1</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385'!$B$2:$B$61</c:f>
              <c:numCache>
                <c:formatCode>General</c:formatCode>
                <c:ptCount val="60"/>
                <c:pt idx="0">
                  <c:v>343.14</c:v>
                </c:pt>
                <c:pt idx="1">
                  <c:v>346.21</c:v>
                </c:pt>
                <c:pt idx="2">
                  <c:v>349.37</c:v>
                </c:pt>
                <c:pt idx="3">
                  <c:v>352.54</c:v>
                </c:pt>
                <c:pt idx="4">
                  <c:v>355.6</c:v>
                </c:pt>
                <c:pt idx="5">
                  <c:v>358.47</c:v>
                </c:pt>
                <c:pt idx="6">
                  <c:v>361.68</c:v>
                </c:pt>
                <c:pt idx="7">
                  <c:v>364.74</c:v>
                </c:pt>
                <c:pt idx="8">
                  <c:v>367.49</c:v>
                </c:pt>
                <c:pt idx="9">
                  <c:v>370.5</c:v>
                </c:pt>
                <c:pt idx="10">
                  <c:v>373.41</c:v>
                </c:pt>
                <c:pt idx="11">
                  <c:v>376.48</c:v>
                </c:pt>
                <c:pt idx="12">
                  <c:v>379.35</c:v>
                </c:pt>
                <c:pt idx="13">
                  <c:v>382.08</c:v>
                </c:pt>
                <c:pt idx="14">
                  <c:v>383.49</c:v>
                </c:pt>
                <c:pt idx="15">
                  <c:v>384.75</c:v>
                </c:pt>
                <c:pt idx="16">
                  <c:v>385.32</c:v>
                </c:pt>
                <c:pt idx="17">
                  <c:v>385.78</c:v>
                </c:pt>
                <c:pt idx="18">
                  <c:v>386.18</c:v>
                </c:pt>
                <c:pt idx="19">
                  <c:v>386.33</c:v>
                </c:pt>
                <c:pt idx="20">
                  <c:v>386.33</c:v>
                </c:pt>
                <c:pt idx="21">
                  <c:v>386.54</c:v>
                </c:pt>
                <c:pt idx="22">
                  <c:v>386.59</c:v>
                </c:pt>
                <c:pt idx="23">
                  <c:v>386.58</c:v>
                </c:pt>
                <c:pt idx="24">
                  <c:v>386.56</c:v>
                </c:pt>
                <c:pt idx="25">
                  <c:v>386.62</c:v>
                </c:pt>
                <c:pt idx="26">
                  <c:v>386.64</c:v>
                </c:pt>
                <c:pt idx="27">
                  <c:v>386.66</c:v>
                </c:pt>
                <c:pt idx="28">
                  <c:v>386.63</c:v>
                </c:pt>
                <c:pt idx="29">
                  <c:v>386.6</c:v>
                </c:pt>
                <c:pt idx="30">
                  <c:v>386.71</c:v>
                </c:pt>
                <c:pt idx="31">
                  <c:v>386.72</c:v>
                </c:pt>
                <c:pt idx="32">
                  <c:v>386.7</c:v>
                </c:pt>
                <c:pt idx="33">
                  <c:v>386.71</c:v>
                </c:pt>
                <c:pt idx="34">
                  <c:v>386.76</c:v>
                </c:pt>
                <c:pt idx="35">
                  <c:v>386.77</c:v>
                </c:pt>
                <c:pt idx="36">
                  <c:v>387.09</c:v>
                </c:pt>
                <c:pt idx="37">
                  <c:v>386.88</c:v>
                </c:pt>
                <c:pt idx="38">
                  <c:v>386.84</c:v>
                </c:pt>
                <c:pt idx="39">
                  <c:v>386.95</c:v>
                </c:pt>
                <c:pt idx="40">
                  <c:v>386.85</c:v>
                </c:pt>
                <c:pt idx="41">
                  <c:v>386.71</c:v>
                </c:pt>
                <c:pt idx="42">
                  <c:v>386.82</c:v>
                </c:pt>
                <c:pt idx="43">
                  <c:v>387.05</c:v>
                </c:pt>
                <c:pt idx="44">
                  <c:v>386.91</c:v>
                </c:pt>
                <c:pt idx="45">
                  <c:v>386.87</c:v>
                </c:pt>
                <c:pt idx="46">
                  <c:v>387.01</c:v>
                </c:pt>
                <c:pt idx="47">
                  <c:v>386.97</c:v>
                </c:pt>
                <c:pt idx="48">
                  <c:v>386.87</c:v>
                </c:pt>
                <c:pt idx="49">
                  <c:v>386.85</c:v>
                </c:pt>
                <c:pt idx="50">
                  <c:v>386.94</c:v>
                </c:pt>
                <c:pt idx="51">
                  <c:v>386.85</c:v>
                </c:pt>
                <c:pt idx="52">
                  <c:v>387</c:v>
                </c:pt>
                <c:pt idx="53">
                  <c:v>386.83</c:v>
                </c:pt>
                <c:pt idx="54">
                  <c:v>386.78</c:v>
                </c:pt>
                <c:pt idx="55">
                  <c:v>386.78</c:v>
                </c:pt>
                <c:pt idx="56">
                  <c:v>386.86</c:v>
                </c:pt>
                <c:pt idx="57">
                  <c:v>386.92</c:v>
                </c:pt>
                <c:pt idx="58">
                  <c:v>386.97</c:v>
                </c:pt>
                <c:pt idx="59">
                  <c:v>386.93</c:v>
                </c:pt>
              </c:numCache>
            </c:numRef>
          </c:val>
          <c:smooth val="0"/>
          <c:extLst xmlns:c15="http://schemas.microsoft.com/office/drawing/2012/chart">
            <c:ext xmlns:c16="http://schemas.microsoft.com/office/drawing/2014/chart" uri="{C3380CC4-5D6E-409C-BE32-E72D297353CC}">
              <c16:uniqueId val="{00000000-E90B-483E-ADED-3A45553A7F03}"/>
            </c:ext>
          </c:extLst>
        </c:ser>
        <c:ser>
          <c:idx val="1"/>
          <c:order val="1"/>
          <c:tx>
            <c:strRef>
              <c:f>'transfert 385'!$C$1</c:f>
              <c:strCache>
                <c:ptCount val="1"/>
                <c:pt idx="0">
                  <c:v>Connecteur 2</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385'!$C$2:$C$61</c:f>
              <c:numCache>
                <c:formatCode>General</c:formatCode>
                <c:ptCount val="60"/>
                <c:pt idx="0">
                  <c:v>341.83</c:v>
                </c:pt>
                <c:pt idx="1">
                  <c:v>345.27</c:v>
                </c:pt>
                <c:pt idx="2">
                  <c:v>348.13</c:v>
                </c:pt>
                <c:pt idx="3">
                  <c:v>351.35</c:v>
                </c:pt>
                <c:pt idx="4">
                  <c:v>354.24</c:v>
                </c:pt>
                <c:pt idx="5">
                  <c:v>357.05</c:v>
                </c:pt>
                <c:pt idx="6">
                  <c:v>360.17</c:v>
                </c:pt>
                <c:pt idx="7">
                  <c:v>363.23</c:v>
                </c:pt>
                <c:pt idx="8">
                  <c:v>365.93</c:v>
                </c:pt>
                <c:pt idx="9">
                  <c:v>369.05</c:v>
                </c:pt>
                <c:pt idx="10">
                  <c:v>371.79</c:v>
                </c:pt>
                <c:pt idx="11">
                  <c:v>374.77</c:v>
                </c:pt>
                <c:pt idx="12">
                  <c:v>378.01</c:v>
                </c:pt>
                <c:pt idx="13">
                  <c:v>380.64</c:v>
                </c:pt>
                <c:pt idx="14">
                  <c:v>382.27</c:v>
                </c:pt>
                <c:pt idx="15">
                  <c:v>383.57</c:v>
                </c:pt>
                <c:pt idx="16">
                  <c:v>384.37</c:v>
                </c:pt>
                <c:pt idx="17">
                  <c:v>384.69</c:v>
                </c:pt>
                <c:pt idx="18">
                  <c:v>385.34</c:v>
                </c:pt>
                <c:pt idx="19">
                  <c:v>385.56</c:v>
                </c:pt>
                <c:pt idx="20">
                  <c:v>385.69</c:v>
                </c:pt>
                <c:pt idx="21">
                  <c:v>385.89</c:v>
                </c:pt>
                <c:pt idx="22">
                  <c:v>386</c:v>
                </c:pt>
                <c:pt idx="23">
                  <c:v>386.05</c:v>
                </c:pt>
                <c:pt idx="24">
                  <c:v>386.03</c:v>
                </c:pt>
                <c:pt idx="25">
                  <c:v>386.15</c:v>
                </c:pt>
                <c:pt idx="26">
                  <c:v>386.16</c:v>
                </c:pt>
                <c:pt idx="27">
                  <c:v>386.21</c:v>
                </c:pt>
                <c:pt idx="28">
                  <c:v>386.17</c:v>
                </c:pt>
                <c:pt idx="29">
                  <c:v>386.22</c:v>
                </c:pt>
                <c:pt idx="30">
                  <c:v>386.24</c:v>
                </c:pt>
                <c:pt idx="31">
                  <c:v>386.3</c:v>
                </c:pt>
                <c:pt idx="32">
                  <c:v>386.32</c:v>
                </c:pt>
                <c:pt idx="33">
                  <c:v>386.39</c:v>
                </c:pt>
                <c:pt idx="34">
                  <c:v>386.39</c:v>
                </c:pt>
                <c:pt idx="35">
                  <c:v>386.5</c:v>
                </c:pt>
                <c:pt idx="36">
                  <c:v>386.66</c:v>
                </c:pt>
                <c:pt idx="37">
                  <c:v>386.52</c:v>
                </c:pt>
                <c:pt idx="38">
                  <c:v>386.49</c:v>
                </c:pt>
                <c:pt idx="39">
                  <c:v>386.57</c:v>
                </c:pt>
                <c:pt idx="40">
                  <c:v>386.47</c:v>
                </c:pt>
                <c:pt idx="41">
                  <c:v>386.37</c:v>
                </c:pt>
                <c:pt idx="42">
                  <c:v>386.44</c:v>
                </c:pt>
                <c:pt idx="43">
                  <c:v>386.67</c:v>
                </c:pt>
                <c:pt idx="44">
                  <c:v>386.64</c:v>
                </c:pt>
                <c:pt idx="45">
                  <c:v>386.48</c:v>
                </c:pt>
                <c:pt idx="46">
                  <c:v>386.65</c:v>
                </c:pt>
                <c:pt idx="47">
                  <c:v>386.62</c:v>
                </c:pt>
                <c:pt idx="48">
                  <c:v>386.58</c:v>
                </c:pt>
                <c:pt idx="49">
                  <c:v>386.58</c:v>
                </c:pt>
                <c:pt idx="50">
                  <c:v>386.56</c:v>
                </c:pt>
                <c:pt idx="51">
                  <c:v>386.59</c:v>
                </c:pt>
                <c:pt idx="52">
                  <c:v>386.69</c:v>
                </c:pt>
                <c:pt idx="53">
                  <c:v>386.55</c:v>
                </c:pt>
                <c:pt idx="54">
                  <c:v>386.45</c:v>
                </c:pt>
                <c:pt idx="55">
                  <c:v>386.46</c:v>
                </c:pt>
                <c:pt idx="56">
                  <c:v>386.51</c:v>
                </c:pt>
                <c:pt idx="57">
                  <c:v>386.57</c:v>
                </c:pt>
                <c:pt idx="58">
                  <c:v>386.67</c:v>
                </c:pt>
                <c:pt idx="59">
                  <c:v>386.62</c:v>
                </c:pt>
              </c:numCache>
            </c:numRef>
          </c:val>
          <c:smooth val="0"/>
          <c:extLst>
            <c:ext xmlns:c16="http://schemas.microsoft.com/office/drawing/2014/chart" uri="{C3380CC4-5D6E-409C-BE32-E72D297353CC}">
              <c16:uniqueId val="{00000001-E90B-483E-ADED-3A45553A7F03}"/>
            </c:ext>
          </c:extLst>
        </c:ser>
        <c:ser>
          <c:idx val="2"/>
          <c:order val="2"/>
          <c:tx>
            <c:strRef>
              <c:f>'transfert 385'!$D$1</c:f>
              <c:strCache>
                <c:ptCount val="1"/>
                <c:pt idx="0">
                  <c:v>Connecteur 3</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385'!$D$2:$D$61</c:f>
              <c:numCache>
                <c:formatCode>General</c:formatCode>
                <c:ptCount val="60"/>
                <c:pt idx="0">
                  <c:v>340.21</c:v>
                </c:pt>
                <c:pt idx="1">
                  <c:v>343.37</c:v>
                </c:pt>
                <c:pt idx="2">
                  <c:v>346.48</c:v>
                </c:pt>
                <c:pt idx="3">
                  <c:v>349.58</c:v>
                </c:pt>
                <c:pt idx="4">
                  <c:v>352.66</c:v>
                </c:pt>
                <c:pt idx="5">
                  <c:v>355.68</c:v>
                </c:pt>
                <c:pt idx="6">
                  <c:v>358.78</c:v>
                </c:pt>
                <c:pt idx="7">
                  <c:v>361.72</c:v>
                </c:pt>
                <c:pt idx="8">
                  <c:v>364.73</c:v>
                </c:pt>
                <c:pt idx="9">
                  <c:v>367.77</c:v>
                </c:pt>
                <c:pt idx="10">
                  <c:v>370.6</c:v>
                </c:pt>
                <c:pt idx="11">
                  <c:v>373.6</c:v>
                </c:pt>
                <c:pt idx="12">
                  <c:v>376.5</c:v>
                </c:pt>
                <c:pt idx="13">
                  <c:v>379.47</c:v>
                </c:pt>
                <c:pt idx="14">
                  <c:v>381.1</c:v>
                </c:pt>
                <c:pt idx="15">
                  <c:v>382.42</c:v>
                </c:pt>
                <c:pt idx="16">
                  <c:v>383.36</c:v>
                </c:pt>
                <c:pt idx="17">
                  <c:v>384.02</c:v>
                </c:pt>
                <c:pt idx="18">
                  <c:v>384.6</c:v>
                </c:pt>
                <c:pt idx="19">
                  <c:v>384.92</c:v>
                </c:pt>
                <c:pt idx="20">
                  <c:v>385.16</c:v>
                </c:pt>
                <c:pt idx="21">
                  <c:v>385.41</c:v>
                </c:pt>
                <c:pt idx="22">
                  <c:v>385.56</c:v>
                </c:pt>
                <c:pt idx="23">
                  <c:v>385.69</c:v>
                </c:pt>
                <c:pt idx="24">
                  <c:v>385.68</c:v>
                </c:pt>
                <c:pt idx="25">
                  <c:v>385.83</c:v>
                </c:pt>
                <c:pt idx="26">
                  <c:v>385.87</c:v>
                </c:pt>
                <c:pt idx="27">
                  <c:v>385.92</c:v>
                </c:pt>
                <c:pt idx="28">
                  <c:v>385.94</c:v>
                </c:pt>
                <c:pt idx="29">
                  <c:v>385.92</c:v>
                </c:pt>
                <c:pt idx="30">
                  <c:v>386.07</c:v>
                </c:pt>
                <c:pt idx="31">
                  <c:v>386.1</c:v>
                </c:pt>
                <c:pt idx="32">
                  <c:v>386.07</c:v>
                </c:pt>
                <c:pt idx="33">
                  <c:v>386.17</c:v>
                </c:pt>
                <c:pt idx="34">
                  <c:v>386.21</c:v>
                </c:pt>
                <c:pt idx="35">
                  <c:v>386.19</c:v>
                </c:pt>
                <c:pt idx="36">
                  <c:v>386.46</c:v>
                </c:pt>
                <c:pt idx="37">
                  <c:v>386.34</c:v>
                </c:pt>
                <c:pt idx="38">
                  <c:v>386.39</c:v>
                </c:pt>
                <c:pt idx="39">
                  <c:v>386.38</c:v>
                </c:pt>
                <c:pt idx="40">
                  <c:v>386.35</c:v>
                </c:pt>
                <c:pt idx="41">
                  <c:v>386.27</c:v>
                </c:pt>
                <c:pt idx="42">
                  <c:v>386.34</c:v>
                </c:pt>
                <c:pt idx="43">
                  <c:v>386.53</c:v>
                </c:pt>
                <c:pt idx="44">
                  <c:v>386.45</c:v>
                </c:pt>
                <c:pt idx="45">
                  <c:v>386.41</c:v>
                </c:pt>
                <c:pt idx="46">
                  <c:v>386.51</c:v>
                </c:pt>
                <c:pt idx="47">
                  <c:v>386.47</c:v>
                </c:pt>
                <c:pt idx="48">
                  <c:v>386.41</c:v>
                </c:pt>
                <c:pt idx="49">
                  <c:v>386.4</c:v>
                </c:pt>
                <c:pt idx="50">
                  <c:v>386.45</c:v>
                </c:pt>
                <c:pt idx="51">
                  <c:v>386.44</c:v>
                </c:pt>
                <c:pt idx="52">
                  <c:v>386.53</c:v>
                </c:pt>
                <c:pt idx="53">
                  <c:v>386.45</c:v>
                </c:pt>
                <c:pt idx="54">
                  <c:v>386.38</c:v>
                </c:pt>
                <c:pt idx="55">
                  <c:v>386.33</c:v>
                </c:pt>
                <c:pt idx="56">
                  <c:v>386.44</c:v>
                </c:pt>
                <c:pt idx="57">
                  <c:v>386.45</c:v>
                </c:pt>
                <c:pt idx="58">
                  <c:v>386.48</c:v>
                </c:pt>
                <c:pt idx="59">
                  <c:v>386.48</c:v>
                </c:pt>
              </c:numCache>
            </c:numRef>
          </c:val>
          <c:smooth val="0"/>
          <c:extLst>
            <c:ext xmlns:c16="http://schemas.microsoft.com/office/drawing/2014/chart" uri="{C3380CC4-5D6E-409C-BE32-E72D297353CC}">
              <c16:uniqueId val="{00000002-E90B-483E-ADED-3A45553A7F03}"/>
            </c:ext>
          </c:extLst>
        </c:ser>
        <c:ser>
          <c:idx val="3"/>
          <c:order val="3"/>
          <c:tx>
            <c:strRef>
              <c:f>'transfert 385'!$E$1</c:f>
              <c:strCache>
                <c:ptCount val="1"/>
                <c:pt idx="0">
                  <c:v>Connecteur 4</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385'!$E$2:$E$61</c:f>
              <c:numCache>
                <c:formatCode>General</c:formatCode>
                <c:ptCount val="60"/>
                <c:pt idx="0">
                  <c:v>344.7</c:v>
                </c:pt>
                <c:pt idx="1">
                  <c:v>347.75</c:v>
                </c:pt>
                <c:pt idx="2">
                  <c:v>350.94</c:v>
                </c:pt>
                <c:pt idx="3">
                  <c:v>353.99</c:v>
                </c:pt>
                <c:pt idx="4">
                  <c:v>357.01</c:v>
                </c:pt>
                <c:pt idx="5">
                  <c:v>359.97</c:v>
                </c:pt>
                <c:pt idx="6">
                  <c:v>363.09</c:v>
                </c:pt>
                <c:pt idx="7">
                  <c:v>365.83</c:v>
                </c:pt>
                <c:pt idx="8">
                  <c:v>368.91</c:v>
                </c:pt>
                <c:pt idx="9">
                  <c:v>371.8</c:v>
                </c:pt>
                <c:pt idx="10">
                  <c:v>374.65</c:v>
                </c:pt>
                <c:pt idx="11">
                  <c:v>377.61</c:v>
                </c:pt>
                <c:pt idx="12">
                  <c:v>380.55</c:v>
                </c:pt>
                <c:pt idx="13">
                  <c:v>383.33</c:v>
                </c:pt>
                <c:pt idx="14">
                  <c:v>384.61</c:v>
                </c:pt>
                <c:pt idx="15">
                  <c:v>385.61</c:v>
                </c:pt>
                <c:pt idx="16">
                  <c:v>386.13</c:v>
                </c:pt>
                <c:pt idx="17">
                  <c:v>386.27</c:v>
                </c:pt>
                <c:pt idx="18">
                  <c:v>386.6</c:v>
                </c:pt>
                <c:pt idx="19">
                  <c:v>386.66</c:v>
                </c:pt>
                <c:pt idx="20">
                  <c:v>386.56</c:v>
                </c:pt>
                <c:pt idx="21">
                  <c:v>386.66</c:v>
                </c:pt>
                <c:pt idx="22">
                  <c:v>386.64</c:v>
                </c:pt>
                <c:pt idx="23">
                  <c:v>386.61</c:v>
                </c:pt>
                <c:pt idx="24">
                  <c:v>386.43</c:v>
                </c:pt>
                <c:pt idx="25">
                  <c:v>386.52</c:v>
                </c:pt>
                <c:pt idx="26">
                  <c:v>386.48</c:v>
                </c:pt>
                <c:pt idx="27">
                  <c:v>386.45</c:v>
                </c:pt>
                <c:pt idx="28">
                  <c:v>386.4</c:v>
                </c:pt>
                <c:pt idx="29">
                  <c:v>386.3</c:v>
                </c:pt>
                <c:pt idx="30">
                  <c:v>386.49</c:v>
                </c:pt>
                <c:pt idx="31">
                  <c:v>386.42</c:v>
                </c:pt>
                <c:pt idx="32">
                  <c:v>386.37</c:v>
                </c:pt>
                <c:pt idx="33">
                  <c:v>386.38</c:v>
                </c:pt>
                <c:pt idx="34">
                  <c:v>386.44</c:v>
                </c:pt>
                <c:pt idx="35">
                  <c:v>386.46</c:v>
                </c:pt>
                <c:pt idx="36">
                  <c:v>386.74</c:v>
                </c:pt>
                <c:pt idx="37">
                  <c:v>386.55</c:v>
                </c:pt>
                <c:pt idx="38">
                  <c:v>386.54</c:v>
                </c:pt>
                <c:pt idx="39">
                  <c:v>386.55</c:v>
                </c:pt>
                <c:pt idx="40">
                  <c:v>386.46</c:v>
                </c:pt>
                <c:pt idx="41">
                  <c:v>386.35</c:v>
                </c:pt>
                <c:pt idx="42">
                  <c:v>386.44</c:v>
                </c:pt>
                <c:pt idx="43">
                  <c:v>386.66</c:v>
                </c:pt>
                <c:pt idx="44">
                  <c:v>386.53</c:v>
                </c:pt>
                <c:pt idx="45">
                  <c:v>386.49</c:v>
                </c:pt>
                <c:pt idx="46">
                  <c:v>386.65</c:v>
                </c:pt>
                <c:pt idx="47">
                  <c:v>386.61</c:v>
                </c:pt>
                <c:pt idx="48">
                  <c:v>386.46</c:v>
                </c:pt>
                <c:pt idx="49">
                  <c:v>386.49</c:v>
                </c:pt>
                <c:pt idx="50">
                  <c:v>386.54</c:v>
                </c:pt>
                <c:pt idx="51">
                  <c:v>386.45</c:v>
                </c:pt>
                <c:pt idx="52">
                  <c:v>386.61</c:v>
                </c:pt>
                <c:pt idx="53">
                  <c:v>386.48</c:v>
                </c:pt>
                <c:pt idx="54">
                  <c:v>386.4</c:v>
                </c:pt>
                <c:pt idx="55">
                  <c:v>386.39</c:v>
                </c:pt>
                <c:pt idx="56">
                  <c:v>386.47</c:v>
                </c:pt>
                <c:pt idx="57">
                  <c:v>386.55</c:v>
                </c:pt>
                <c:pt idx="58">
                  <c:v>386.55</c:v>
                </c:pt>
                <c:pt idx="59">
                  <c:v>386.5</c:v>
                </c:pt>
              </c:numCache>
            </c:numRef>
          </c:val>
          <c:smooth val="0"/>
          <c:extLst>
            <c:ext xmlns:c16="http://schemas.microsoft.com/office/drawing/2014/chart" uri="{C3380CC4-5D6E-409C-BE32-E72D297353CC}">
              <c16:uniqueId val="{00000003-E90B-483E-ADED-3A45553A7F03}"/>
            </c:ext>
          </c:extLst>
        </c:ser>
        <c:ser>
          <c:idx val="4"/>
          <c:order val="4"/>
          <c:tx>
            <c:strRef>
              <c:f>'transfert 385'!$F$1</c:f>
              <c:strCache>
                <c:ptCount val="1"/>
                <c:pt idx="0">
                  <c:v>Connecteur 5</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385'!$F$2:$F$61</c:f>
              <c:numCache>
                <c:formatCode>General</c:formatCode>
                <c:ptCount val="60"/>
                <c:pt idx="0">
                  <c:v>344.75</c:v>
                </c:pt>
                <c:pt idx="1">
                  <c:v>348.12</c:v>
                </c:pt>
                <c:pt idx="2">
                  <c:v>350.95</c:v>
                </c:pt>
                <c:pt idx="3">
                  <c:v>354.17</c:v>
                </c:pt>
                <c:pt idx="4">
                  <c:v>356.91</c:v>
                </c:pt>
                <c:pt idx="5">
                  <c:v>360.16</c:v>
                </c:pt>
                <c:pt idx="6">
                  <c:v>363.2</c:v>
                </c:pt>
                <c:pt idx="7">
                  <c:v>365.85</c:v>
                </c:pt>
                <c:pt idx="8">
                  <c:v>369.06</c:v>
                </c:pt>
                <c:pt idx="9">
                  <c:v>372.13</c:v>
                </c:pt>
                <c:pt idx="10">
                  <c:v>375.05</c:v>
                </c:pt>
                <c:pt idx="11">
                  <c:v>377.86</c:v>
                </c:pt>
                <c:pt idx="12">
                  <c:v>380.82</c:v>
                </c:pt>
                <c:pt idx="13">
                  <c:v>383.71</c:v>
                </c:pt>
                <c:pt idx="14">
                  <c:v>384.77</c:v>
                </c:pt>
                <c:pt idx="15">
                  <c:v>385.67</c:v>
                </c:pt>
                <c:pt idx="16">
                  <c:v>386.46</c:v>
                </c:pt>
                <c:pt idx="17">
                  <c:v>386.44</c:v>
                </c:pt>
                <c:pt idx="18">
                  <c:v>387.03</c:v>
                </c:pt>
                <c:pt idx="19">
                  <c:v>386.9</c:v>
                </c:pt>
                <c:pt idx="20">
                  <c:v>386.68</c:v>
                </c:pt>
                <c:pt idx="21">
                  <c:v>386.78</c:v>
                </c:pt>
                <c:pt idx="22">
                  <c:v>386.84</c:v>
                </c:pt>
                <c:pt idx="23">
                  <c:v>386.71</c:v>
                </c:pt>
                <c:pt idx="24">
                  <c:v>386.52</c:v>
                </c:pt>
                <c:pt idx="25">
                  <c:v>386.54</c:v>
                </c:pt>
                <c:pt idx="26">
                  <c:v>386.69</c:v>
                </c:pt>
                <c:pt idx="27">
                  <c:v>386.41</c:v>
                </c:pt>
                <c:pt idx="28">
                  <c:v>386.33</c:v>
                </c:pt>
                <c:pt idx="29">
                  <c:v>386.3</c:v>
                </c:pt>
                <c:pt idx="30">
                  <c:v>386.32</c:v>
                </c:pt>
                <c:pt idx="31">
                  <c:v>386.21</c:v>
                </c:pt>
                <c:pt idx="32">
                  <c:v>386.18</c:v>
                </c:pt>
                <c:pt idx="33">
                  <c:v>386.47</c:v>
                </c:pt>
                <c:pt idx="34">
                  <c:v>386.4</c:v>
                </c:pt>
                <c:pt idx="35">
                  <c:v>386.39</c:v>
                </c:pt>
                <c:pt idx="36">
                  <c:v>386.39</c:v>
                </c:pt>
                <c:pt idx="37">
                  <c:v>386.25</c:v>
                </c:pt>
                <c:pt idx="38">
                  <c:v>386.23</c:v>
                </c:pt>
                <c:pt idx="39">
                  <c:v>386.52</c:v>
                </c:pt>
                <c:pt idx="40">
                  <c:v>386.14</c:v>
                </c:pt>
                <c:pt idx="41">
                  <c:v>385.92</c:v>
                </c:pt>
                <c:pt idx="42">
                  <c:v>386.03</c:v>
                </c:pt>
                <c:pt idx="43">
                  <c:v>386.41</c:v>
                </c:pt>
                <c:pt idx="44">
                  <c:v>386.14</c:v>
                </c:pt>
                <c:pt idx="45">
                  <c:v>386.1</c:v>
                </c:pt>
                <c:pt idx="46">
                  <c:v>386.23</c:v>
                </c:pt>
                <c:pt idx="47">
                  <c:v>386.32</c:v>
                </c:pt>
                <c:pt idx="48">
                  <c:v>386.09</c:v>
                </c:pt>
                <c:pt idx="49">
                  <c:v>385.99</c:v>
                </c:pt>
                <c:pt idx="50">
                  <c:v>386.15</c:v>
                </c:pt>
                <c:pt idx="51">
                  <c:v>386.15</c:v>
                </c:pt>
                <c:pt idx="52">
                  <c:v>386.32</c:v>
                </c:pt>
                <c:pt idx="53">
                  <c:v>386.08</c:v>
                </c:pt>
                <c:pt idx="54">
                  <c:v>385.75</c:v>
                </c:pt>
                <c:pt idx="55">
                  <c:v>385.99</c:v>
                </c:pt>
                <c:pt idx="56">
                  <c:v>386</c:v>
                </c:pt>
                <c:pt idx="57">
                  <c:v>385.88</c:v>
                </c:pt>
                <c:pt idx="58">
                  <c:v>386.38</c:v>
                </c:pt>
                <c:pt idx="59">
                  <c:v>386.08</c:v>
                </c:pt>
              </c:numCache>
            </c:numRef>
          </c:val>
          <c:smooth val="0"/>
          <c:extLst>
            <c:ext xmlns:c16="http://schemas.microsoft.com/office/drawing/2014/chart" uri="{C3380CC4-5D6E-409C-BE32-E72D297353CC}">
              <c16:uniqueId val="{00000004-E90B-483E-ADED-3A45553A7F03}"/>
            </c:ext>
          </c:extLst>
        </c:ser>
        <c:ser>
          <c:idx val="5"/>
          <c:order val="5"/>
          <c:tx>
            <c:strRef>
              <c:f>'transfert 385'!$G$1</c:f>
              <c:strCache>
                <c:ptCount val="1"/>
                <c:pt idx="0">
                  <c:v>Connecteur 6</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385'!$G$2:$G$61</c:f>
              <c:numCache>
                <c:formatCode>General</c:formatCode>
                <c:ptCount val="60"/>
                <c:pt idx="0">
                  <c:v>348.01</c:v>
                </c:pt>
                <c:pt idx="1">
                  <c:v>351</c:v>
                </c:pt>
                <c:pt idx="2">
                  <c:v>354.16</c:v>
                </c:pt>
                <c:pt idx="3">
                  <c:v>357.07</c:v>
                </c:pt>
                <c:pt idx="4">
                  <c:v>360.28</c:v>
                </c:pt>
                <c:pt idx="5">
                  <c:v>363.32</c:v>
                </c:pt>
                <c:pt idx="6">
                  <c:v>366.18</c:v>
                </c:pt>
                <c:pt idx="7">
                  <c:v>369.07</c:v>
                </c:pt>
                <c:pt idx="8">
                  <c:v>372.09</c:v>
                </c:pt>
                <c:pt idx="9">
                  <c:v>375.03</c:v>
                </c:pt>
                <c:pt idx="10">
                  <c:v>377.77</c:v>
                </c:pt>
                <c:pt idx="11">
                  <c:v>380.84</c:v>
                </c:pt>
                <c:pt idx="12">
                  <c:v>383.55</c:v>
                </c:pt>
                <c:pt idx="13">
                  <c:v>386.47</c:v>
                </c:pt>
                <c:pt idx="14">
                  <c:v>387.62</c:v>
                </c:pt>
                <c:pt idx="15">
                  <c:v>388.58</c:v>
                </c:pt>
                <c:pt idx="16">
                  <c:v>389.01</c:v>
                </c:pt>
                <c:pt idx="17">
                  <c:v>389.02</c:v>
                </c:pt>
                <c:pt idx="18">
                  <c:v>389.4</c:v>
                </c:pt>
                <c:pt idx="19">
                  <c:v>389.24</c:v>
                </c:pt>
                <c:pt idx="20">
                  <c:v>389.08</c:v>
                </c:pt>
                <c:pt idx="21">
                  <c:v>389.04</c:v>
                </c:pt>
                <c:pt idx="22">
                  <c:v>388.95</c:v>
                </c:pt>
                <c:pt idx="23">
                  <c:v>388.86</c:v>
                </c:pt>
                <c:pt idx="24">
                  <c:v>388.65</c:v>
                </c:pt>
                <c:pt idx="25">
                  <c:v>388.61</c:v>
                </c:pt>
                <c:pt idx="26">
                  <c:v>388.59</c:v>
                </c:pt>
                <c:pt idx="27">
                  <c:v>388.46</c:v>
                </c:pt>
                <c:pt idx="28">
                  <c:v>388.31</c:v>
                </c:pt>
                <c:pt idx="29">
                  <c:v>388.2</c:v>
                </c:pt>
                <c:pt idx="30">
                  <c:v>388.38</c:v>
                </c:pt>
                <c:pt idx="31">
                  <c:v>388.28</c:v>
                </c:pt>
                <c:pt idx="32">
                  <c:v>388.24</c:v>
                </c:pt>
                <c:pt idx="33">
                  <c:v>388.14</c:v>
                </c:pt>
                <c:pt idx="34">
                  <c:v>388.24</c:v>
                </c:pt>
                <c:pt idx="35">
                  <c:v>388.26</c:v>
                </c:pt>
                <c:pt idx="36">
                  <c:v>388.47</c:v>
                </c:pt>
                <c:pt idx="37">
                  <c:v>388.24</c:v>
                </c:pt>
                <c:pt idx="38">
                  <c:v>388.15</c:v>
                </c:pt>
                <c:pt idx="39">
                  <c:v>388.3</c:v>
                </c:pt>
                <c:pt idx="40">
                  <c:v>388.15</c:v>
                </c:pt>
                <c:pt idx="41">
                  <c:v>388.06</c:v>
                </c:pt>
                <c:pt idx="42">
                  <c:v>388.12</c:v>
                </c:pt>
                <c:pt idx="43">
                  <c:v>388.33</c:v>
                </c:pt>
                <c:pt idx="44">
                  <c:v>388.11</c:v>
                </c:pt>
                <c:pt idx="45">
                  <c:v>388.02</c:v>
                </c:pt>
                <c:pt idx="46">
                  <c:v>388.22</c:v>
                </c:pt>
                <c:pt idx="47">
                  <c:v>388.19</c:v>
                </c:pt>
                <c:pt idx="48">
                  <c:v>388.09</c:v>
                </c:pt>
                <c:pt idx="49">
                  <c:v>387.98</c:v>
                </c:pt>
                <c:pt idx="50">
                  <c:v>388.07</c:v>
                </c:pt>
                <c:pt idx="51">
                  <c:v>388</c:v>
                </c:pt>
                <c:pt idx="52">
                  <c:v>388.18</c:v>
                </c:pt>
                <c:pt idx="53">
                  <c:v>388.02</c:v>
                </c:pt>
                <c:pt idx="54">
                  <c:v>387.9</c:v>
                </c:pt>
                <c:pt idx="55">
                  <c:v>387.96</c:v>
                </c:pt>
                <c:pt idx="56">
                  <c:v>387.9</c:v>
                </c:pt>
                <c:pt idx="57">
                  <c:v>387.99</c:v>
                </c:pt>
                <c:pt idx="58">
                  <c:v>388.09</c:v>
                </c:pt>
                <c:pt idx="59">
                  <c:v>387.98</c:v>
                </c:pt>
              </c:numCache>
            </c:numRef>
          </c:val>
          <c:smooth val="0"/>
          <c:extLst>
            <c:ext xmlns:c16="http://schemas.microsoft.com/office/drawing/2014/chart" uri="{C3380CC4-5D6E-409C-BE32-E72D297353CC}">
              <c16:uniqueId val="{00000005-E90B-483E-ADED-3A45553A7F03}"/>
            </c:ext>
          </c:extLst>
        </c:ser>
        <c:ser>
          <c:idx val="6"/>
          <c:order val="6"/>
          <c:tx>
            <c:strRef>
              <c:f>'transfert 385'!$H$1</c:f>
              <c:strCache>
                <c:ptCount val="1"/>
                <c:pt idx="0">
                  <c:v>Connecteur 7</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385'!$H$2:$H$61</c:f>
              <c:numCache>
                <c:formatCode>General</c:formatCode>
                <c:ptCount val="60"/>
                <c:pt idx="0">
                  <c:v>335.86</c:v>
                </c:pt>
                <c:pt idx="1">
                  <c:v>338.91</c:v>
                </c:pt>
                <c:pt idx="2">
                  <c:v>342.24</c:v>
                </c:pt>
                <c:pt idx="3">
                  <c:v>345.51</c:v>
                </c:pt>
                <c:pt idx="4">
                  <c:v>348.41</c:v>
                </c:pt>
                <c:pt idx="5">
                  <c:v>351.69</c:v>
                </c:pt>
                <c:pt idx="6">
                  <c:v>354.6</c:v>
                </c:pt>
                <c:pt idx="7">
                  <c:v>357.74</c:v>
                </c:pt>
                <c:pt idx="8">
                  <c:v>360.51</c:v>
                </c:pt>
                <c:pt idx="9">
                  <c:v>363.03</c:v>
                </c:pt>
                <c:pt idx="10">
                  <c:v>366.81</c:v>
                </c:pt>
                <c:pt idx="11">
                  <c:v>369.54</c:v>
                </c:pt>
                <c:pt idx="12">
                  <c:v>372.41</c:v>
                </c:pt>
                <c:pt idx="13">
                  <c:v>375.04</c:v>
                </c:pt>
                <c:pt idx="14">
                  <c:v>377.32</c:v>
                </c:pt>
                <c:pt idx="15">
                  <c:v>379.26</c:v>
                </c:pt>
                <c:pt idx="16">
                  <c:v>380.63</c:v>
                </c:pt>
                <c:pt idx="17">
                  <c:v>381.54</c:v>
                </c:pt>
                <c:pt idx="18">
                  <c:v>382.57</c:v>
                </c:pt>
                <c:pt idx="19">
                  <c:v>383.24</c:v>
                </c:pt>
                <c:pt idx="20">
                  <c:v>383.47</c:v>
                </c:pt>
                <c:pt idx="21">
                  <c:v>384</c:v>
                </c:pt>
                <c:pt idx="22">
                  <c:v>384.25</c:v>
                </c:pt>
                <c:pt idx="23">
                  <c:v>384.49</c:v>
                </c:pt>
                <c:pt idx="24">
                  <c:v>384.62</c:v>
                </c:pt>
                <c:pt idx="25">
                  <c:v>384.81</c:v>
                </c:pt>
                <c:pt idx="26">
                  <c:v>384.81</c:v>
                </c:pt>
                <c:pt idx="27">
                  <c:v>384.89</c:v>
                </c:pt>
                <c:pt idx="28">
                  <c:v>384.89</c:v>
                </c:pt>
                <c:pt idx="29">
                  <c:v>385.01</c:v>
                </c:pt>
                <c:pt idx="30">
                  <c:v>385.06</c:v>
                </c:pt>
                <c:pt idx="31">
                  <c:v>385.04</c:v>
                </c:pt>
                <c:pt idx="32">
                  <c:v>385.15</c:v>
                </c:pt>
                <c:pt idx="33">
                  <c:v>384.99</c:v>
                </c:pt>
                <c:pt idx="34">
                  <c:v>385.03</c:v>
                </c:pt>
                <c:pt idx="35">
                  <c:v>385.12</c:v>
                </c:pt>
                <c:pt idx="36">
                  <c:v>385.27</c:v>
                </c:pt>
                <c:pt idx="37">
                  <c:v>385.19</c:v>
                </c:pt>
                <c:pt idx="38">
                  <c:v>385.15</c:v>
                </c:pt>
                <c:pt idx="39">
                  <c:v>385.21</c:v>
                </c:pt>
                <c:pt idx="40">
                  <c:v>385.29</c:v>
                </c:pt>
                <c:pt idx="41">
                  <c:v>385.11</c:v>
                </c:pt>
                <c:pt idx="42">
                  <c:v>385.2</c:v>
                </c:pt>
                <c:pt idx="43">
                  <c:v>385.3</c:v>
                </c:pt>
                <c:pt idx="44">
                  <c:v>385.32</c:v>
                </c:pt>
                <c:pt idx="45">
                  <c:v>385.18</c:v>
                </c:pt>
                <c:pt idx="46">
                  <c:v>385.33</c:v>
                </c:pt>
                <c:pt idx="47">
                  <c:v>385.25</c:v>
                </c:pt>
                <c:pt idx="48">
                  <c:v>385.25</c:v>
                </c:pt>
                <c:pt idx="49">
                  <c:v>385.33</c:v>
                </c:pt>
                <c:pt idx="50">
                  <c:v>385.34</c:v>
                </c:pt>
                <c:pt idx="51">
                  <c:v>385.17</c:v>
                </c:pt>
                <c:pt idx="52">
                  <c:v>385.4</c:v>
                </c:pt>
                <c:pt idx="53">
                  <c:v>385.3</c:v>
                </c:pt>
                <c:pt idx="54">
                  <c:v>385.19</c:v>
                </c:pt>
                <c:pt idx="55">
                  <c:v>385.21</c:v>
                </c:pt>
                <c:pt idx="56">
                  <c:v>385.24</c:v>
                </c:pt>
                <c:pt idx="57">
                  <c:v>385.33</c:v>
                </c:pt>
                <c:pt idx="58">
                  <c:v>385.29</c:v>
                </c:pt>
                <c:pt idx="59">
                  <c:v>385.34</c:v>
                </c:pt>
              </c:numCache>
            </c:numRef>
          </c:val>
          <c:smooth val="0"/>
          <c:extLst>
            <c:ext xmlns:c16="http://schemas.microsoft.com/office/drawing/2014/chart" uri="{C3380CC4-5D6E-409C-BE32-E72D297353CC}">
              <c16:uniqueId val="{00000006-E90B-483E-ADED-3A45553A7F03}"/>
            </c:ext>
          </c:extLst>
        </c:ser>
        <c:ser>
          <c:idx val="7"/>
          <c:order val="7"/>
          <c:tx>
            <c:strRef>
              <c:f>'transfert 385'!$I$1</c:f>
              <c:strCache>
                <c:ptCount val="1"/>
                <c:pt idx="0">
                  <c:v>Connecteur 8</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385'!$I$2:$I$61</c:f>
              <c:numCache>
                <c:formatCode>General</c:formatCode>
                <c:ptCount val="60"/>
                <c:pt idx="0">
                  <c:v>347.94</c:v>
                </c:pt>
                <c:pt idx="1">
                  <c:v>350.98</c:v>
                </c:pt>
                <c:pt idx="2">
                  <c:v>354.22</c:v>
                </c:pt>
                <c:pt idx="3">
                  <c:v>357.16</c:v>
                </c:pt>
                <c:pt idx="4">
                  <c:v>360.14</c:v>
                </c:pt>
                <c:pt idx="5">
                  <c:v>363.13</c:v>
                </c:pt>
                <c:pt idx="6">
                  <c:v>366.06</c:v>
                </c:pt>
                <c:pt idx="7">
                  <c:v>369.13</c:v>
                </c:pt>
                <c:pt idx="8">
                  <c:v>371.95</c:v>
                </c:pt>
                <c:pt idx="9">
                  <c:v>374.93</c:v>
                </c:pt>
                <c:pt idx="10">
                  <c:v>377.71</c:v>
                </c:pt>
                <c:pt idx="11">
                  <c:v>380.7</c:v>
                </c:pt>
                <c:pt idx="12">
                  <c:v>383.68</c:v>
                </c:pt>
                <c:pt idx="13">
                  <c:v>386.34</c:v>
                </c:pt>
                <c:pt idx="14">
                  <c:v>387.38</c:v>
                </c:pt>
                <c:pt idx="15">
                  <c:v>388.14</c:v>
                </c:pt>
                <c:pt idx="16">
                  <c:v>388.36</c:v>
                </c:pt>
                <c:pt idx="17">
                  <c:v>388.29</c:v>
                </c:pt>
                <c:pt idx="18">
                  <c:v>388.53</c:v>
                </c:pt>
                <c:pt idx="19">
                  <c:v>388.31</c:v>
                </c:pt>
                <c:pt idx="20">
                  <c:v>387.96</c:v>
                </c:pt>
                <c:pt idx="21">
                  <c:v>387.97</c:v>
                </c:pt>
                <c:pt idx="22">
                  <c:v>387.65</c:v>
                </c:pt>
                <c:pt idx="23">
                  <c:v>387.55</c:v>
                </c:pt>
                <c:pt idx="24">
                  <c:v>387.34</c:v>
                </c:pt>
                <c:pt idx="25">
                  <c:v>387.32</c:v>
                </c:pt>
                <c:pt idx="26">
                  <c:v>387.21</c:v>
                </c:pt>
                <c:pt idx="27">
                  <c:v>386.94</c:v>
                </c:pt>
                <c:pt idx="28">
                  <c:v>386.95</c:v>
                </c:pt>
                <c:pt idx="29">
                  <c:v>386.93</c:v>
                </c:pt>
                <c:pt idx="30">
                  <c:v>387.03</c:v>
                </c:pt>
                <c:pt idx="31">
                  <c:v>386.93</c:v>
                </c:pt>
                <c:pt idx="32">
                  <c:v>386.8</c:v>
                </c:pt>
                <c:pt idx="33">
                  <c:v>386.8</c:v>
                </c:pt>
                <c:pt idx="34">
                  <c:v>386.9</c:v>
                </c:pt>
                <c:pt idx="35">
                  <c:v>386.74</c:v>
                </c:pt>
                <c:pt idx="36">
                  <c:v>387.1</c:v>
                </c:pt>
                <c:pt idx="37">
                  <c:v>386.81</c:v>
                </c:pt>
                <c:pt idx="38">
                  <c:v>386.86</c:v>
                </c:pt>
                <c:pt idx="39">
                  <c:v>386.9</c:v>
                </c:pt>
                <c:pt idx="40">
                  <c:v>386.76</c:v>
                </c:pt>
                <c:pt idx="41">
                  <c:v>386.58</c:v>
                </c:pt>
                <c:pt idx="42">
                  <c:v>386.76</c:v>
                </c:pt>
                <c:pt idx="43">
                  <c:v>386.91</c:v>
                </c:pt>
                <c:pt idx="44">
                  <c:v>386.74</c:v>
                </c:pt>
                <c:pt idx="45">
                  <c:v>386.71</c:v>
                </c:pt>
                <c:pt idx="46">
                  <c:v>386.88</c:v>
                </c:pt>
                <c:pt idx="47">
                  <c:v>386.9</c:v>
                </c:pt>
                <c:pt idx="48">
                  <c:v>386.62</c:v>
                </c:pt>
                <c:pt idx="49">
                  <c:v>386.61</c:v>
                </c:pt>
                <c:pt idx="50">
                  <c:v>386.69</c:v>
                </c:pt>
                <c:pt idx="51">
                  <c:v>386.65</c:v>
                </c:pt>
                <c:pt idx="52">
                  <c:v>386.77</c:v>
                </c:pt>
                <c:pt idx="53">
                  <c:v>386.67</c:v>
                </c:pt>
                <c:pt idx="54">
                  <c:v>386.51</c:v>
                </c:pt>
                <c:pt idx="55">
                  <c:v>386.56</c:v>
                </c:pt>
                <c:pt idx="56">
                  <c:v>386.66</c:v>
                </c:pt>
                <c:pt idx="57">
                  <c:v>386.7</c:v>
                </c:pt>
                <c:pt idx="58">
                  <c:v>386.71</c:v>
                </c:pt>
                <c:pt idx="59">
                  <c:v>386.62</c:v>
                </c:pt>
              </c:numCache>
            </c:numRef>
          </c:val>
          <c:smooth val="0"/>
          <c:extLst>
            <c:ext xmlns:c16="http://schemas.microsoft.com/office/drawing/2014/chart" uri="{C3380CC4-5D6E-409C-BE32-E72D297353CC}">
              <c16:uniqueId val="{00000007-E90B-483E-ADED-3A45553A7F03}"/>
            </c:ext>
          </c:extLst>
        </c:ser>
        <c:ser>
          <c:idx val="8"/>
          <c:order val="8"/>
          <c:tx>
            <c:strRef>
              <c:f>'transfert 385'!$J$1</c:f>
              <c:strCache>
                <c:ptCount val="1"/>
                <c:pt idx="0">
                  <c:v>Connecteur 9</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385'!$J$2:$J$61</c:f>
              <c:numCache>
                <c:formatCode>General</c:formatCode>
                <c:ptCount val="60"/>
                <c:pt idx="0">
                  <c:v>343.69</c:v>
                </c:pt>
                <c:pt idx="1">
                  <c:v>346.84</c:v>
                </c:pt>
                <c:pt idx="2">
                  <c:v>350.12</c:v>
                </c:pt>
                <c:pt idx="3">
                  <c:v>353.08</c:v>
                </c:pt>
                <c:pt idx="4">
                  <c:v>356.21</c:v>
                </c:pt>
                <c:pt idx="5">
                  <c:v>359.07</c:v>
                </c:pt>
                <c:pt idx="6">
                  <c:v>362.08</c:v>
                </c:pt>
                <c:pt idx="7">
                  <c:v>364.99</c:v>
                </c:pt>
                <c:pt idx="8">
                  <c:v>367.99</c:v>
                </c:pt>
                <c:pt idx="9">
                  <c:v>370.97</c:v>
                </c:pt>
                <c:pt idx="10">
                  <c:v>373.83</c:v>
                </c:pt>
                <c:pt idx="11">
                  <c:v>376.77</c:v>
                </c:pt>
                <c:pt idx="12">
                  <c:v>379.78</c:v>
                </c:pt>
                <c:pt idx="13">
                  <c:v>382.42</c:v>
                </c:pt>
                <c:pt idx="14">
                  <c:v>383.99</c:v>
                </c:pt>
                <c:pt idx="15">
                  <c:v>385.01</c:v>
                </c:pt>
                <c:pt idx="16">
                  <c:v>385.7</c:v>
                </c:pt>
                <c:pt idx="17">
                  <c:v>385.85</c:v>
                </c:pt>
                <c:pt idx="18">
                  <c:v>386.26</c:v>
                </c:pt>
                <c:pt idx="19">
                  <c:v>386.36</c:v>
                </c:pt>
                <c:pt idx="20">
                  <c:v>386.34</c:v>
                </c:pt>
                <c:pt idx="21">
                  <c:v>386.48</c:v>
                </c:pt>
                <c:pt idx="22">
                  <c:v>386.47</c:v>
                </c:pt>
                <c:pt idx="23">
                  <c:v>386.41</c:v>
                </c:pt>
                <c:pt idx="24">
                  <c:v>386.33</c:v>
                </c:pt>
                <c:pt idx="25">
                  <c:v>386.43</c:v>
                </c:pt>
                <c:pt idx="26">
                  <c:v>386.34</c:v>
                </c:pt>
                <c:pt idx="27">
                  <c:v>386.33</c:v>
                </c:pt>
                <c:pt idx="28">
                  <c:v>386.27</c:v>
                </c:pt>
                <c:pt idx="29">
                  <c:v>386.21</c:v>
                </c:pt>
                <c:pt idx="30">
                  <c:v>386.33</c:v>
                </c:pt>
                <c:pt idx="31">
                  <c:v>386.26</c:v>
                </c:pt>
                <c:pt idx="32">
                  <c:v>386.26</c:v>
                </c:pt>
                <c:pt idx="33">
                  <c:v>386.24</c:v>
                </c:pt>
                <c:pt idx="34">
                  <c:v>386.31</c:v>
                </c:pt>
                <c:pt idx="35">
                  <c:v>386.26</c:v>
                </c:pt>
                <c:pt idx="36">
                  <c:v>386.57</c:v>
                </c:pt>
                <c:pt idx="37">
                  <c:v>386.39</c:v>
                </c:pt>
                <c:pt idx="38">
                  <c:v>386.36</c:v>
                </c:pt>
                <c:pt idx="39">
                  <c:v>386.43</c:v>
                </c:pt>
                <c:pt idx="40">
                  <c:v>386.35</c:v>
                </c:pt>
                <c:pt idx="41">
                  <c:v>386.17</c:v>
                </c:pt>
                <c:pt idx="42">
                  <c:v>386.28</c:v>
                </c:pt>
                <c:pt idx="43">
                  <c:v>386.46</c:v>
                </c:pt>
                <c:pt idx="44">
                  <c:v>386.32</c:v>
                </c:pt>
                <c:pt idx="45">
                  <c:v>386.3</c:v>
                </c:pt>
                <c:pt idx="46">
                  <c:v>386.46</c:v>
                </c:pt>
                <c:pt idx="47">
                  <c:v>386.45</c:v>
                </c:pt>
                <c:pt idx="48">
                  <c:v>386.28</c:v>
                </c:pt>
                <c:pt idx="49">
                  <c:v>386.29</c:v>
                </c:pt>
                <c:pt idx="50">
                  <c:v>386.35</c:v>
                </c:pt>
                <c:pt idx="51">
                  <c:v>386.21</c:v>
                </c:pt>
                <c:pt idx="52">
                  <c:v>386.41</c:v>
                </c:pt>
                <c:pt idx="53">
                  <c:v>386.28</c:v>
                </c:pt>
                <c:pt idx="54">
                  <c:v>386.2</c:v>
                </c:pt>
                <c:pt idx="55">
                  <c:v>386.21</c:v>
                </c:pt>
                <c:pt idx="56">
                  <c:v>386.26</c:v>
                </c:pt>
                <c:pt idx="57">
                  <c:v>386.32</c:v>
                </c:pt>
                <c:pt idx="58">
                  <c:v>386.33</c:v>
                </c:pt>
                <c:pt idx="59">
                  <c:v>386.31</c:v>
                </c:pt>
              </c:numCache>
            </c:numRef>
          </c:val>
          <c:smooth val="0"/>
          <c:extLst>
            <c:ext xmlns:c16="http://schemas.microsoft.com/office/drawing/2014/chart" uri="{C3380CC4-5D6E-409C-BE32-E72D297353CC}">
              <c16:uniqueId val="{00000008-E90B-483E-ADED-3A45553A7F03}"/>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343467606237196E-2"/>
          <c:y val="3.7448979808646393E-2"/>
          <c:w val="0.82810529572716052"/>
          <c:h val="0.86407026221163985"/>
        </c:manualLayout>
      </c:layout>
      <c:lineChart>
        <c:grouping val="standard"/>
        <c:varyColors val="0"/>
        <c:ser>
          <c:idx val="0"/>
          <c:order val="0"/>
          <c:tx>
            <c:strRef>
              <c:f>'transfert 535'!$B$1</c:f>
              <c:strCache>
                <c:ptCount val="1"/>
                <c:pt idx="0">
                  <c:v>Connecteur 1</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535'!$B$2:$B$46</c:f>
              <c:numCache>
                <c:formatCode>General</c:formatCode>
                <c:ptCount val="45"/>
                <c:pt idx="0">
                  <c:v>492.76</c:v>
                </c:pt>
                <c:pt idx="1">
                  <c:v>495.21</c:v>
                </c:pt>
                <c:pt idx="2">
                  <c:v>497.7</c:v>
                </c:pt>
                <c:pt idx="3">
                  <c:v>499.98</c:v>
                </c:pt>
                <c:pt idx="4">
                  <c:v>502.39</c:v>
                </c:pt>
                <c:pt idx="5">
                  <c:v>504.72</c:v>
                </c:pt>
                <c:pt idx="6">
                  <c:v>506.99</c:v>
                </c:pt>
                <c:pt idx="7">
                  <c:v>509.34</c:v>
                </c:pt>
                <c:pt idx="8">
                  <c:v>511.66</c:v>
                </c:pt>
                <c:pt idx="9">
                  <c:v>513.89</c:v>
                </c:pt>
                <c:pt idx="10">
                  <c:v>516.13</c:v>
                </c:pt>
                <c:pt idx="11">
                  <c:v>518.30999999999995</c:v>
                </c:pt>
                <c:pt idx="12">
                  <c:v>520.54</c:v>
                </c:pt>
                <c:pt idx="13">
                  <c:v>522.84</c:v>
                </c:pt>
                <c:pt idx="14">
                  <c:v>524.95000000000005</c:v>
                </c:pt>
                <c:pt idx="15">
                  <c:v>527.17999999999995</c:v>
                </c:pt>
                <c:pt idx="16">
                  <c:v>529.38</c:v>
                </c:pt>
                <c:pt idx="17">
                  <c:v>531.36</c:v>
                </c:pt>
                <c:pt idx="18">
                  <c:v>532.80999999999995</c:v>
                </c:pt>
                <c:pt idx="19">
                  <c:v>534.07000000000005</c:v>
                </c:pt>
                <c:pt idx="20">
                  <c:v>535.15</c:v>
                </c:pt>
                <c:pt idx="21">
                  <c:v>535.82000000000005</c:v>
                </c:pt>
                <c:pt idx="22">
                  <c:v>536.41</c:v>
                </c:pt>
                <c:pt idx="23">
                  <c:v>536.73</c:v>
                </c:pt>
                <c:pt idx="24">
                  <c:v>536.96</c:v>
                </c:pt>
                <c:pt idx="25">
                  <c:v>537.11</c:v>
                </c:pt>
                <c:pt idx="26">
                  <c:v>537.22</c:v>
                </c:pt>
                <c:pt idx="27">
                  <c:v>537.25</c:v>
                </c:pt>
                <c:pt idx="28">
                  <c:v>537.21</c:v>
                </c:pt>
                <c:pt idx="29">
                  <c:v>537.25</c:v>
                </c:pt>
                <c:pt idx="30">
                  <c:v>537.26</c:v>
                </c:pt>
                <c:pt idx="31">
                  <c:v>537.23</c:v>
                </c:pt>
                <c:pt idx="32">
                  <c:v>537.36</c:v>
                </c:pt>
                <c:pt idx="33">
                  <c:v>537.35</c:v>
                </c:pt>
                <c:pt idx="34">
                  <c:v>537.24</c:v>
                </c:pt>
                <c:pt idx="35">
                  <c:v>537.39</c:v>
                </c:pt>
                <c:pt idx="36">
                  <c:v>537.29</c:v>
                </c:pt>
                <c:pt idx="37">
                  <c:v>537.32000000000005</c:v>
                </c:pt>
                <c:pt idx="38">
                  <c:v>537.29999999999995</c:v>
                </c:pt>
                <c:pt idx="39">
                  <c:v>537.41999999999996</c:v>
                </c:pt>
                <c:pt idx="40">
                  <c:v>537.4</c:v>
                </c:pt>
                <c:pt idx="41">
                  <c:v>537.44000000000005</c:v>
                </c:pt>
                <c:pt idx="42">
                  <c:v>537.48</c:v>
                </c:pt>
                <c:pt idx="43">
                  <c:v>537.42999999999995</c:v>
                </c:pt>
                <c:pt idx="44">
                  <c:v>537.33000000000004</c:v>
                </c:pt>
              </c:numCache>
            </c:numRef>
          </c:val>
          <c:smooth val="0"/>
          <c:extLst xmlns:c15="http://schemas.microsoft.com/office/drawing/2012/chart">
            <c:ext xmlns:c16="http://schemas.microsoft.com/office/drawing/2014/chart" uri="{C3380CC4-5D6E-409C-BE32-E72D297353CC}">
              <c16:uniqueId val="{00000000-E7BE-49E5-BB88-B18B857EB333}"/>
            </c:ext>
          </c:extLst>
        </c:ser>
        <c:ser>
          <c:idx val="1"/>
          <c:order val="1"/>
          <c:tx>
            <c:strRef>
              <c:f>'transfert 535'!$C$1</c:f>
              <c:strCache>
                <c:ptCount val="1"/>
                <c:pt idx="0">
                  <c:v>Connecteur 2</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535'!$C$2:$C$46</c:f>
              <c:numCache>
                <c:formatCode>General</c:formatCode>
                <c:ptCount val="45"/>
                <c:pt idx="0">
                  <c:v>491.31</c:v>
                </c:pt>
                <c:pt idx="1">
                  <c:v>493.72</c:v>
                </c:pt>
                <c:pt idx="2">
                  <c:v>496.12</c:v>
                </c:pt>
                <c:pt idx="3">
                  <c:v>498.48</c:v>
                </c:pt>
                <c:pt idx="4">
                  <c:v>500.96</c:v>
                </c:pt>
                <c:pt idx="5">
                  <c:v>503.26</c:v>
                </c:pt>
                <c:pt idx="6">
                  <c:v>505.48</c:v>
                </c:pt>
                <c:pt idx="7">
                  <c:v>507.98</c:v>
                </c:pt>
                <c:pt idx="8">
                  <c:v>510.15</c:v>
                </c:pt>
                <c:pt idx="9">
                  <c:v>512.41</c:v>
                </c:pt>
                <c:pt idx="10">
                  <c:v>514.71</c:v>
                </c:pt>
                <c:pt idx="11">
                  <c:v>516.96</c:v>
                </c:pt>
                <c:pt idx="12">
                  <c:v>519.15</c:v>
                </c:pt>
                <c:pt idx="13">
                  <c:v>521.48</c:v>
                </c:pt>
                <c:pt idx="14">
                  <c:v>523.72</c:v>
                </c:pt>
                <c:pt idx="15">
                  <c:v>525.74</c:v>
                </c:pt>
                <c:pt idx="16">
                  <c:v>527.87</c:v>
                </c:pt>
                <c:pt idx="17">
                  <c:v>530.21</c:v>
                </c:pt>
                <c:pt idx="18">
                  <c:v>531.63</c:v>
                </c:pt>
                <c:pt idx="19">
                  <c:v>532.97</c:v>
                </c:pt>
                <c:pt idx="20">
                  <c:v>534.1</c:v>
                </c:pt>
                <c:pt idx="21">
                  <c:v>535</c:v>
                </c:pt>
                <c:pt idx="22">
                  <c:v>535.66</c:v>
                </c:pt>
                <c:pt idx="23">
                  <c:v>536.07000000000005</c:v>
                </c:pt>
                <c:pt idx="24">
                  <c:v>536.41</c:v>
                </c:pt>
                <c:pt idx="25">
                  <c:v>536.66999999999996</c:v>
                </c:pt>
                <c:pt idx="26">
                  <c:v>536.86</c:v>
                </c:pt>
                <c:pt idx="27">
                  <c:v>536.89</c:v>
                </c:pt>
                <c:pt idx="28">
                  <c:v>536.9</c:v>
                </c:pt>
                <c:pt idx="29">
                  <c:v>536.97</c:v>
                </c:pt>
                <c:pt idx="30">
                  <c:v>537.17999999999995</c:v>
                </c:pt>
                <c:pt idx="31">
                  <c:v>537.16999999999996</c:v>
                </c:pt>
                <c:pt idx="32">
                  <c:v>537.19000000000005</c:v>
                </c:pt>
                <c:pt idx="33">
                  <c:v>537.14</c:v>
                </c:pt>
                <c:pt idx="34">
                  <c:v>537.27</c:v>
                </c:pt>
                <c:pt idx="35">
                  <c:v>537.17999999999995</c:v>
                </c:pt>
                <c:pt idx="36">
                  <c:v>537.19000000000005</c:v>
                </c:pt>
                <c:pt idx="37">
                  <c:v>537.26</c:v>
                </c:pt>
                <c:pt idx="38">
                  <c:v>537.22</c:v>
                </c:pt>
                <c:pt idx="39">
                  <c:v>537.32000000000005</c:v>
                </c:pt>
                <c:pt idx="40">
                  <c:v>537.26</c:v>
                </c:pt>
                <c:pt idx="41">
                  <c:v>537.29</c:v>
                </c:pt>
                <c:pt idx="42">
                  <c:v>537.30999999999995</c:v>
                </c:pt>
                <c:pt idx="43">
                  <c:v>537.32000000000005</c:v>
                </c:pt>
                <c:pt idx="44">
                  <c:v>537.27</c:v>
                </c:pt>
              </c:numCache>
            </c:numRef>
          </c:val>
          <c:smooth val="0"/>
          <c:extLst>
            <c:ext xmlns:c16="http://schemas.microsoft.com/office/drawing/2014/chart" uri="{C3380CC4-5D6E-409C-BE32-E72D297353CC}">
              <c16:uniqueId val="{00000001-E7BE-49E5-BB88-B18B857EB333}"/>
            </c:ext>
          </c:extLst>
        </c:ser>
        <c:ser>
          <c:idx val="2"/>
          <c:order val="2"/>
          <c:tx>
            <c:strRef>
              <c:f>'transfert 535'!$D$1</c:f>
              <c:strCache>
                <c:ptCount val="1"/>
                <c:pt idx="0">
                  <c:v>Connecteur 3</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535'!$D$2:$D$46</c:f>
              <c:numCache>
                <c:formatCode>General</c:formatCode>
                <c:ptCount val="45"/>
                <c:pt idx="0">
                  <c:v>490.8</c:v>
                </c:pt>
                <c:pt idx="1">
                  <c:v>493.16</c:v>
                </c:pt>
                <c:pt idx="2">
                  <c:v>495.56</c:v>
                </c:pt>
                <c:pt idx="3">
                  <c:v>497.95</c:v>
                </c:pt>
                <c:pt idx="4">
                  <c:v>500.28</c:v>
                </c:pt>
                <c:pt idx="5">
                  <c:v>502.63</c:v>
                </c:pt>
                <c:pt idx="6">
                  <c:v>504.93</c:v>
                </c:pt>
                <c:pt idx="7">
                  <c:v>507.28</c:v>
                </c:pt>
                <c:pt idx="8">
                  <c:v>509.56</c:v>
                </c:pt>
                <c:pt idx="9">
                  <c:v>511.9</c:v>
                </c:pt>
                <c:pt idx="10">
                  <c:v>514.07000000000005</c:v>
                </c:pt>
                <c:pt idx="11">
                  <c:v>516.41999999999996</c:v>
                </c:pt>
                <c:pt idx="12">
                  <c:v>518.58000000000004</c:v>
                </c:pt>
                <c:pt idx="13">
                  <c:v>520.83000000000004</c:v>
                </c:pt>
                <c:pt idx="14">
                  <c:v>523.04999999999995</c:v>
                </c:pt>
                <c:pt idx="15">
                  <c:v>525.25</c:v>
                </c:pt>
                <c:pt idx="16">
                  <c:v>527.42999999999995</c:v>
                </c:pt>
                <c:pt idx="17">
                  <c:v>529.52</c:v>
                </c:pt>
                <c:pt idx="18">
                  <c:v>531.11</c:v>
                </c:pt>
                <c:pt idx="19">
                  <c:v>532.4</c:v>
                </c:pt>
                <c:pt idx="20">
                  <c:v>533.63</c:v>
                </c:pt>
                <c:pt idx="21">
                  <c:v>534.5</c:v>
                </c:pt>
                <c:pt idx="22">
                  <c:v>535.16999999999996</c:v>
                </c:pt>
                <c:pt idx="23">
                  <c:v>535.65</c:v>
                </c:pt>
                <c:pt idx="24">
                  <c:v>535.99</c:v>
                </c:pt>
                <c:pt idx="25">
                  <c:v>536.21</c:v>
                </c:pt>
                <c:pt idx="26">
                  <c:v>536.44000000000005</c:v>
                </c:pt>
                <c:pt idx="27">
                  <c:v>536.49</c:v>
                </c:pt>
                <c:pt idx="28">
                  <c:v>536.55999999999995</c:v>
                </c:pt>
                <c:pt idx="29">
                  <c:v>536.6</c:v>
                </c:pt>
                <c:pt idx="30">
                  <c:v>536.64</c:v>
                </c:pt>
                <c:pt idx="31">
                  <c:v>536.66</c:v>
                </c:pt>
                <c:pt idx="32">
                  <c:v>536.78</c:v>
                </c:pt>
                <c:pt idx="33">
                  <c:v>536.77</c:v>
                </c:pt>
                <c:pt idx="34">
                  <c:v>536.74</c:v>
                </c:pt>
                <c:pt idx="35">
                  <c:v>536.85</c:v>
                </c:pt>
                <c:pt idx="36">
                  <c:v>536.82000000000005</c:v>
                </c:pt>
                <c:pt idx="37">
                  <c:v>536.85</c:v>
                </c:pt>
                <c:pt idx="38">
                  <c:v>536.84</c:v>
                </c:pt>
                <c:pt idx="39">
                  <c:v>536.91999999999996</c:v>
                </c:pt>
                <c:pt idx="40">
                  <c:v>536.91999999999996</c:v>
                </c:pt>
                <c:pt idx="41">
                  <c:v>536.95000000000005</c:v>
                </c:pt>
                <c:pt idx="42">
                  <c:v>536.98</c:v>
                </c:pt>
                <c:pt idx="43">
                  <c:v>536.96</c:v>
                </c:pt>
                <c:pt idx="44">
                  <c:v>536.87</c:v>
                </c:pt>
              </c:numCache>
            </c:numRef>
          </c:val>
          <c:smooth val="0"/>
          <c:extLst>
            <c:ext xmlns:c16="http://schemas.microsoft.com/office/drawing/2014/chart" uri="{C3380CC4-5D6E-409C-BE32-E72D297353CC}">
              <c16:uniqueId val="{00000002-E7BE-49E5-BB88-B18B857EB333}"/>
            </c:ext>
          </c:extLst>
        </c:ser>
        <c:ser>
          <c:idx val="3"/>
          <c:order val="3"/>
          <c:tx>
            <c:strRef>
              <c:f>'transfert 535'!$E$1</c:f>
              <c:strCache>
                <c:ptCount val="1"/>
                <c:pt idx="0">
                  <c:v>Connecteur 4</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535'!$E$2:$E$46</c:f>
              <c:numCache>
                <c:formatCode>General</c:formatCode>
                <c:ptCount val="45"/>
                <c:pt idx="0">
                  <c:v>493.46</c:v>
                </c:pt>
                <c:pt idx="1">
                  <c:v>495.83</c:v>
                </c:pt>
                <c:pt idx="2">
                  <c:v>498.16</c:v>
                </c:pt>
                <c:pt idx="3">
                  <c:v>500.54</c:v>
                </c:pt>
                <c:pt idx="4">
                  <c:v>502.86</c:v>
                </c:pt>
                <c:pt idx="5">
                  <c:v>505.17</c:v>
                </c:pt>
                <c:pt idx="6">
                  <c:v>507.47</c:v>
                </c:pt>
                <c:pt idx="7">
                  <c:v>509.73</c:v>
                </c:pt>
                <c:pt idx="8">
                  <c:v>512.09</c:v>
                </c:pt>
                <c:pt idx="9">
                  <c:v>514.28</c:v>
                </c:pt>
                <c:pt idx="10">
                  <c:v>516.5</c:v>
                </c:pt>
                <c:pt idx="11">
                  <c:v>518.78</c:v>
                </c:pt>
                <c:pt idx="12">
                  <c:v>520.98</c:v>
                </c:pt>
                <c:pt idx="13">
                  <c:v>523.16999999999996</c:v>
                </c:pt>
                <c:pt idx="14">
                  <c:v>525.36</c:v>
                </c:pt>
                <c:pt idx="15">
                  <c:v>527.6</c:v>
                </c:pt>
                <c:pt idx="16">
                  <c:v>529.62</c:v>
                </c:pt>
                <c:pt idx="17">
                  <c:v>531.70000000000005</c:v>
                </c:pt>
                <c:pt idx="18">
                  <c:v>533.13</c:v>
                </c:pt>
                <c:pt idx="19">
                  <c:v>534.22</c:v>
                </c:pt>
                <c:pt idx="20">
                  <c:v>535.25</c:v>
                </c:pt>
                <c:pt idx="21">
                  <c:v>535.88</c:v>
                </c:pt>
                <c:pt idx="22">
                  <c:v>536.41</c:v>
                </c:pt>
                <c:pt idx="23">
                  <c:v>536.57000000000005</c:v>
                </c:pt>
                <c:pt idx="24">
                  <c:v>536.78</c:v>
                </c:pt>
                <c:pt idx="25">
                  <c:v>536.80999999999995</c:v>
                </c:pt>
                <c:pt idx="26">
                  <c:v>536.96</c:v>
                </c:pt>
                <c:pt idx="27">
                  <c:v>536.87</c:v>
                </c:pt>
                <c:pt idx="28">
                  <c:v>536.87</c:v>
                </c:pt>
                <c:pt idx="29">
                  <c:v>536.77</c:v>
                </c:pt>
                <c:pt idx="30">
                  <c:v>536.79</c:v>
                </c:pt>
                <c:pt idx="31">
                  <c:v>536.78</c:v>
                </c:pt>
                <c:pt idx="32">
                  <c:v>536.88</c:v>
                </c:pt>
                <c:pt idx="33">
                  <c:v>536.87</c:v>
                </c:pt>
                <c:pt idx="34">
                  <c:v>536.74</c:v>
                </c:pt>
                <c:pt idx="35">
                  <c:v>536.91</c:v>
                </c:pt>
                <c:pt idx="36">
                  <c:v>536.78</c:v>
                </c:pt>
                <c:pt idx="37">
                  <c:v>536.80999999999995</c:v>
                </c:pt>
                <c:pt idx="38">
                  <c:v>536.77</c:v>
                </c:pt>
                <c:pt idx="39">
                  <c:v>536.89</c:v>
                </c:pt>
                <c:pt idx="40">
                  <c:v>536.86</c:v>
                </c:pt>
                <c:pt idx="41">
                  <c:v>536.91</c:v>
                </c:pt>
                <c:pt idx="42">
                  <c:v>536.99</c:v>
                </c:pt>
                <c:pt idx="43">
                  <c:v>536.9</c:v>
                </c:pt>
                <c:pt idx="44">
                  <c:v>536.71</c:v>
                </c:pt>
              </c:numCache>
            </c:numRef>
          </c:val>
          <c:smooth val="0"/>
          <c:extLst>
            <c:ext xmlns:c16="http://schemas.microsoft.com/office/drawing/2014/chart" uri="{C3380CC4-5D6E-409C-BE32-E72D297353CC}">
              <c16:uniqueId val="{00000003-E7BE-49E5-BB88-B18B857EB333}"/>
            </c:ext>
          </c:extLst>
        </c:ser>
        <c:ser>
          <c:idx val="4"/>
          <c:order val="4"/>
          <c:tx>
            <c:strRef>
              <c:f>'transfert 535'!$F$1</c:f>
              <c:strCache>
                <c:ptCount val="1"/>
                <c:pt idx="0">
                  <c:v>Connecteur 5</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535'!$F$2:$F$46</c:f>
              <c:numCache>
                <c:formatCode>General</c:formatCode>
                <c:ptCount val="45"/>
                <c:pt idx="0">
                  <c:v>493.45</c:v>
                </c:pt>
                <c:pt idx="1">
                  <c:v>495.73</c:v>
                </c:pt>
                <c:pt idx="2">
                  <c:v>498.03</c:v>
                </c:pt>
                <c:pt idx="3">
                  <c:v>500.45</c:v>
                </c:pt>
                <c:pt idx="4">
                  <c:v>502.7</c:v>
                </c:pt>
                <c:pt idx="5">
                  <c:v>504.95</c:v>
                </c:pt>
                <c:pt idx="6">
                  <c:v>507.23</c:v>
                </c:pt>
                <c:pt idx="7">
                  <c:v>509.45</c:v>
                </c:pt>
                <c:pt idx="8">
                  <c:v>511.94</c:v>
                </c:pt>
                <c:pt idx="9">
                  <c:v>513.95000000000005</c:v>
                </c:pt>
                <c:pt idx="10">
                  <c:v>516.29</c:v>
                </c:pt>
                <c:pt idx="11">
                  <c:v>518.63</c:v>
                </c:pt>
                <c:pt idx="12">
                  <c:v>520.87</c:v>
                </c:pt>
                <c:pt idx="13">
                  <c:v>523</c:v>
                </c:pt>
                <c:pt idx="14">
                  <c:v>525.37</c:v>
                </c:pt>
                <c:pt idx="15">
                  <c:v>527.34</c:v>
                </c:pt>
                <c:pt idx="16">
                  <c:v>529.44000000000005</c:v>
                </c:pt>
                <c:pt idx="17">
                  <c:v>531.52</c:v>
                </c:pt>
                <c:pt idx="18">
                  <c:v>533.02</c:v>
                </c:pt>
                <c:pt idx="19">
                  <c:v>533.82000000000005</c:v>
                </c:pt>
                <c:pt idx="20">
                  <c:v>535.13</c:v>
                </c:pt>
                <c:pt idx="21">
                  <c:v>535.66999999999996</c:v>
                </c:pt>
                <c:pt idx="22">
                  <c:v>536.1</c:v>
                </c:pt>
                <c:pt idx="23">
                  <c:v>536.45000000000005</c:v>
                </c:pt>
                <c:pt idx="24">
                  <c:v>536.34</c:v>
                </c:pt>
                <c:pt idx="25">
                  <c:v>536.55999999999995</c:v>
                </c:pt>
                <c:pt idx="26">
                  <c:v>536.62</c:v>
                </c:pt>
                <c:pt idx="27">
                  <c:v>536.45000000000005</c:v>
                </c:pt>
                <c:pt idx="28">
                  <c:v>536.41</c:v>
                </c:pt>
                <c:pt idx="29">
                  <c:v>536.39</c:v>
                </c:pt>
                <c:pt idx="30">
                  <c:v>536.55999999999995</c:v>
                </c:pt>
                <c:pt idx="31">
                  <c:v>536.57000000000005</c:v>
                </c:pt>
                <c:pt idx="32">
                  <c:v>536.22</c:v>
                </c:pt>
                <c:pt idx="33">
                  <c:v>536.23</c:v>
                </c:pt>
                <c:pt idx="34">
                  <c:v>536.25</c:v>
                </c:pt>
                <c:pt idx="35">
                  <c:v>536.20000000000005</c:v>
                </c:pt>
                <c:pt idx="36">
                  <c:v>536.28</c:v>
                </c:pt>
                <c:pt idx="37">
                  <c:v>536.15</c:v>
                </c:pt>
                <c:pt idx="38">
                  <c:v>536.21</c:v>
                </c:pt>
                <c:pt idx="39">
                  <c:v>536.03</c:v>
                </c:pt>
                <c:pt idx="40">
                  <c:v>536.1</c:v>
                </c:pt>
                <c:pt idx="41">
                  <c:v>536.03</c:v>
                </c:pt>
                <c:pt idx="42">
                  <c:v>536.23</c:v>
                </c:pt>
                <c:pt idx="43">
                  <c:v>536.1</c:v>
                </c:pt>
                <c:pt idx="44">
                  <c:v>535.99</c:v>
                </c:pt>
              </c:numCache>
            </c:numRef>
          </c:val>
          <c:smooth val="0"/>
          <c:extLst>
            <c:ext xmlns:c16="http://schemas.microsoft.com/office/drawing/2014/chart" uri="{C3380CC4-5D6E-409C-BE32-E72D297353CC}">
              <c16:uniqueId val="{00000004-E7BE-49E5-BB88-B18B857EB333}"/>
            </c:ext>
          </c:extLst>
        </c:ser>
        <c:ser>
          <c:idx val="5"/>
          <c:order val="5"/>
          <c:tx>
            <c:strRef>
              <c:f>'transfert 535'!$G$1</c:f>
              <c:strCache>
                <c:ptCount val="1"/>
                <c:pt idx="0">
                  <c:v>Connecteur 6</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535'!$G$2:$G$46</c:f>
              <c:numCache>
                <c:formatCode>General</c:formatCode>
                <c:ptCount val="45"/>
                <c:pt idx="0">
                  <c:v>496.02</c:v>
                </c:pt>
                <c:pt idx="1">
                  <c:v>498.3</c:v>
                </c:pt>
                <c:pt idx="2">
                  <c:v>500.51</c:v>
                </c:pt>
                <c:pt idx="3">
                  <c:v>502.95</c:v>
                </c:pt>
                <c:pt idx="4">
                  <c:v>505.16</c:v>
                </c:pt>
                <c:pt idx="5">
                  <c:v>507.56</c:v>
                </c:pt>
                <c:pt idx="6">
                  <c:v>509.79</c:v>
                </c:pt>
                <c:pt idx="7">
                  <c:v>512.17999999999995</c:v>
                </c:pt>
                <c:pt idx="8">
                  <c:v>514.36</c:v>
                </c:pt>
                <c:pt idx="9">
                  <c:v>516.65</c:v>
                </c:pt>
                <c:pt idx="10">
                  <c:v>518.75</c:v>
                </c:pt>
                <c:pt idx="11">
                  <c:v>520.98</c:v>
                </c:pt>
                <c:pt idx="12">
                  <c:v>523.4</c:v>
                </c:pt>
                <c:pt idx="13">
                  <c:v>525.57000000000005</c:v>
                </c:pt>
                <c:pt idx="14">
                  <c:v>527.41</c:v>
                </c:pt>
                <c:pt idx="15">
                  <c:v>529.70000000000005</c:v>
                </c:pt>
                <c:pt idx="16">
                  <c:v>531.76</c:v>
                </c:pt>
                <c:pt idx="17">
                  <c:v>533.80999999999995</c:v>
                </c:pt>
                <c:pt idx="18">
                  <c:v>535.11</c:v>
                </c:pt>
                <c:pt idx="19">
                  <c:v>536.13</c:v>
                </c:pt>
                <c:pt idx="20">
                  <c:v>537.11</c:v>
                </c:pt>
                <c:pt idx="21">
                  <c:v>537.77</c:v>
                </c:pt>
                <c:pt idx="22">
                  <c:v>538.26</c:v>
                </c:pt>
                <c:pt idx="23">
                  <c:v>538.32000000000005</c:v>
                </c:pt>
                <c:pt idx="24">
                  <c:v>538.49</c:v>
                </c:pt>
                <c:pt idx="25">
                  <c:v>538.48</c:v>
                </c:pt>
                <c:pt idx="26">
                  <c:v>538.64</c:v>
                </c:pt>
                <c:pt idx="27">
                  <c:v>538.35</c:v>
                </c:pt>
                <c:pt idx="28">
                  <c:v>538.29</c:v>
                </c:pt>
                <c:pt idx="29">
                  <c:v>538.22</c:v>
                </c:pt>
                <c:pt idx="30">
                  <c:v>538.20000000000005</c:v>
                </c:pt>
                <c:pt idx="31">
                  <c:v>538.14</c:v>
                </c:pt>
                <c:pt idx="32">
                  <c:v>538.11</c:v>
                </c:pt>
                <c:pt idx="33">
                  <c:v>538.09</c:v>
                </c:pt>
                <c:pt idx="34">
                  <c:v>537.99</c:v>
                </c:pt>
                <c:pt idx="35">
                  <c:v>537.95000000000005</c:v>
                </c:pt>
                <c:pt idx="36">
                  <c:v>538.01</c:v>
                </c:pt>
                <c:pt idx="37">
                  <c:v>537.86</c:v>
                </c:pt>
                <c:pt idx="38">
                  <c:v>537.83000000000004</c:v>
                </c:pt>
                <c:pt idx="39">
                  <c:v>537.87</c:v>
                </c:pt>
                <c:pt idx="40">
                  <c:v>537.9</c:v>
                </c:pt>
                <c:pt idx="41">
                  <c:v>537.87</c:v>
                </c:pt>
                <c:pt idx="42">
                  <c:v>538</c:v>
                </c:pt>
                <c:pt idx="43">
                  <c:v>537.86</c:v>
                </c:pt>
                <c:pt idx="44">
                  <c:v>537.75</c:v>
                </c:pt>
              </c:numCache>
            </c:numRef>
          </c:val>
          <c:smooth val="0"/>
          <c:extLst>
            <c:ext xmlns:c16="http://schemas.microsoft.com/office/drawing/2014/chart" uri="{C3380CC4-5D6E-409C-BE32-E72D297353CC}">
              <c16:uniqueId val="{00000005-E7BE-49E5-BB88-B18B857EB333}"/>
            </c:ext>
          </c:extLst>
        </c:ser>
        <c:ser>
          <c:idx val="6"/>
          <c:order val="6"/>
          <c:tx>
            <c:strRef>
              <c:f>'transfert 535'!$H$1</c:f>
              <c:strCache>
                <c:ptCount val="1"/>
                <c:pt idx="0">
                  <c:v>Connecteur 7</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535'!$H$2:$H$46</c:f>
              <c:numCache>
                <c:formatCode>General</c:formatCode>
                <c:ptCount val="45"/>
                <c:pt idx="0">
                  <c:v>487.86</c:v>
                </c:pt>
                <c:pt idx="1">
                  <c:v>490.18</c:v>
                </c:pt>
                <c:pt idx="2">
                  <c:v>492.41</c:v>
                </c:pt>
                <c:pt idx="3">
                  <c:v>495.04</c:v>
                </c:pt>
                <c:pt idx="4">
                  <c:v>497.1</c:v>
                </c:pt>
                <c:pt idx="5">
                  <c:v>499.84</c:v>
                </c:pt>
                <c:pt idx="6">
                  <c:v>501.93</c:v>
                </c:pt>
                <c:pt idx="7">
                  <c:v>504.19</c:v>
                </c:pt>
                <c:pt idx="8">
                  <c:v>506.52</c:v>
                </c:pt>
                <c:pt idx="9">
                  <c:v>508.87</c:v>
                </c:pt>
                <c:pt idx="10">
                  <c:v>510.82</c:v>
                </c:pt>
                <c:pt idx="11">
                  <c:v>513.5</c:v>
                </c:pt>
                <c:pt idx="12">
                  <c:v>515.70000000000005</c:v>
                </c:pt>
                <c:pt idx="13">
                  <c:v>517.80999999999995</c:v>
                </c:pt>
                <c:pt idx="14">
                  <c:v>519.94000000000005</c:v>
                </c:pt>
                <c:pt idx="15">
                  <c:v>522.28</c:v>
                </c:pt>
                <c:pt idx="16">
                  <c:v>524.32000000000005</c:v>
                </c:pt>
                <c:pt idx="17">
                  <c:v>526.65</c:v>
                </c:pt>
                <c:pt idx="18">
                  <c:v>528.54</c:v>
                </c:pt>
                <c:pt idx="19">
                  <c:v>529.97</c:v>
                </c:pt>
                <c:pt idx="20">
                  <c:v>531.4</c:v>
                </c:pt>
                <c:pt idx="21">
                  <c:v>532.49</c:v>
                </c:pt>
                <c:pt idx="22">
                  <c:v>533.05999999999995</c:v>
                </c:pt>
                <c:pt idx="23">
                  <c:v>533.66999999999996</c:v>
                </c:pt>
                <c:pt idx="24">
                  <c:v>534.28</c:v>
                </c:pt>
                <c:pt idx="25">
                  <c:v>534.67999999999995</c:v>
                </c:pt>
                <c:pt idx="26">
                  <c:v>534.91999999999996</c:v>
                </c:pt>
                <c:pt idx="27">
                  <c:v>535</c:v>
                </c:pt>
                <c:pt idx="28">
                  <c:v>535.15</c:v>
                </c:pt>
                <c:pt idx="29">
                  <c:v>535.13</c:v>
                </c:pt>
                <c:pt idx="30">
                  <c:v>535.12</c:v>
                </c:pt>
                <c:pt idx="31">
                  <c:v>535.12</c:v>
                </c:pt>
                <c:pt idx="32">
                  <c:v>535.19000000000005</c:v>
                </c:pt>
                <c:pt idx="33">
                  <c:v>535.21</c:v>
                </c:pt>
                <c:pt idx="34">
                  <c:v>535.16</c:v>
                </c:pt>
                <c:pt idx="35">
                  <c:v>535.16999999999996</c:v>
                </c:pt>
                <c:pt idx="36">
                  <c:v>535.17999999999995</c:v>
                </c:pt>
                <c:pt idx="37">
                  <c:v>535.20000000000005</c:v>
                </c:pt>
                <c:pt idx="38">
                  <c:v>535.15</c:v>
                </c:pt>
                <c:pt idx="39">
                  <c:v>535.16</c:v>
                </c:pt>
                <c:pt idx="40">
                  <c:v>535.15</c:v>
                </c:pt>
                <c:pt idx="41">
                  <c:v>535.15</c:v>
                </c:pt>
                <c:pt idx="42">
                  <c:v>535.22</c:v>
                </c:pt>
                <c:pt idx="43">
                  <c:v>535.19000000000005</c:v>
                </c:pt>
                <c:pt idx="44">
                  <c:v>535.16</c:v>
                </c:pt>
              </c:numCache>
            </c:numRef>
          </c:val>
          <c:smooth val="0"/>
          <c:extLst>
            <c:ext xmlns:c16="http://schemas.microsoft.com/office/drawing/2014/chart" uri="{C3380CC4-5D6E-409C-BE32-E72D297353CC}">
              <c16:uniqueId val="{00000006-E7BE-49E5-BB88-B18B857EB333}"/>
            </c:ext>
          </c:extLst>
        </c:ser>
        <c:ser>
          <c:idx val="7"/>
          <c:order val="7"/>
          <c:tx>
            <c:strRef>
              <c:f>'transfert 535'!$I$1</c:f>
              <c:strCache>
                <c:ptCount val="1"/>
                <c:pt idx="0">
                  <c:v>Connecteur 8</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535'!$I$2:$I$46</c:f>
              <c:numCache>
                <c:formatCode>General</c:formatCode>
                <c:ptCount val="45"/>
                <c:pt idx="0">
                  <c:v>496.34</c:v>
                </c:pt>
                <c:pt idx="1">
                  <c:v>498.68</c:v>
                </c:pt>
                <c:pt idx="2">
                  <c:v>501.11</c:v>
                </c:pt>
                <c:pt idx="3">
                  <c:v>503.57</c:v>
                </c:pt>
                <c:pt idx="4">
                  <c:v>505.74</c:v>
                </c:pt>
                <c:pt idx="5">
                  <c:v>508.16</c:v>
                </c:pt>
                <c:pt idx="6">
                  <c:v>510.39</c:v>
                </c:pt>
                <c:pt idx="7">
                  <c:v>512.67999999999995</c:v>
                </c:pt>
                <c:pt idx="8">
                  <c:v>514.77</c:v>
                </c:pt>
                <c:pt idx="9">
                  <c:v>517.13</c:v>
                </c:pt>
                <c:pt idx="10">
                  <c:v>519.27</c:v>
                </c:pt>
                <c:pt idx="11">
                  <c:v>521.53</c:v>
                </c:pt>
                <c:pt idx="12">
                  <c:v>523.64</c:v>
                </c:pt>
                <c:pt idx="13">
                  <c:v>525.96</c:v>
                </c:pt>
                <c:pt idx="14">
                  <c:v>528.04999999999995</c:v>
                </c:pt>
                <c:pt idx="15">
                  <c:v>530.20000000000005</c:v>
                </c:pt>
                <c:pt idx="16">
                  <c:v>532.34</c:v>
                </c:pt>
                <c:pt idx="17">
                  <c:v>534.27</c:v>
                </c:pt>
                <c:pt idx="18">
                  <c:v>535.55999999999995</c:v>
                </c:pt>
                <c:pt idx="19">
                  <c:v>536.45000000000005</c:v>
                </c:pt>
                <c:pt idx="20">
                  <c:v>537.4</c:v>
                </c:pt>
                <c:pt idx="21">
                  <c:v>537.73</c:v>
                </c:pt>
                <c:pt idx="22">
                  <c:v>538.04</c:v>
                </c:pt>
                <c:pt idx="23">
                  <c:v>538.09</c:v>
                </c:pt>
                <c:pt idx="24">
                  <c:v>538.01</c:v>
                </c:pt>
                <c:pt idx="25">
                  <c:v>537.97</c:v>
                </c:pt>
                <c:pt idx="26">
                  <c:v>538.07000000000005</c:v>
                </c:pt>
                <c:pt idx="27">
                  <c:v>537.74</c:v>
                </c:pt>
                <c:pt idx="28">
                  <c:v>537.67999999999995</c:v>
                </c:pt>
                <c:pt idx="29">
                  <c:v>537.41</c:v>
                </c:pt>
                <c:pt idx="30">
                  <c:v>537.33000000000004</c:v>
                </c:pt>
                <c:pt idx="31">
                  <c:v>537.28</c:v>
                </c:pt>
                <c:pt idx="32">
                  <c:v>537.39</c:v>
                </c:pt>
                <c:pt idx="33">
                  <c:v>537.29</c:v>
                </c:pt>
                <c:pt idx="34">
                  <c:v>537.17999999999995</c:v>
                </c:pt>
                <c:pt idx="35">
                  <c:v>537.16</c:v>
                </c:pt>
                <c:pt idx="36">
                  <c:v>537.16999999999996</c:v>
                </c:pt>
                <c:pt idx="37">
                  <c:v>537.17999999999995</c:v>
                </c:pt>
                <c:pt idx="38">
                  <c:v>537.03</c:v>
                </c:pt>
                <c:pt idx="39">
                  <c:v>537.08000000000004</c:v>
                </c:pt>
                <c:pt idx="40">
                  <c:v>537.04999999999995</c:v>
                </c:pt>
                <c:pt idx="41">
                  <c:v>537.12</c:v>
                </c:pt>
                <c:pt idx="42">
                  <c:v>537.29999999999995</c:v>
                </c:pt>
                <c:pt idx="43">
                  <c:v>537.04999999999995</c:v>
                </c:pt>
                <c:pt idx="44">
                  <c:v>536.87</c:v>
                </c:pt>
              </c:numCache>
            </c:numRef>
          </c:val>
          <c:smooth val="0"/>
          <c:extLst>
            <c:ext xmlns:c16="http://schemas.microsoft.com/office/drawing/2014/chart" uri="{C3380CC4-5D6E-409C-BE32-E72D297353CC}">
              <c16:uniqueId val="{00000007-E7BE-49E5-BB88-B18B857EB333}"/>
            </c:ext>
          </c:extLst>
        </c:ser>
        <c:ser>
          <c:idx val="8"/>
          <c:order val="8"/>
          <c:tx>
            <c:strRef>
              <c:f>'transfert 535'!$J$1</c:f>
              <c:strCache>
                <c:ptCount val="1"/>
                <c:pt idx="0">
                  <c:v>Connecteur 9</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535'!$J$2:$J$46</c:f>
              <c:numCache>
                <c:formatCode>General</c:formatCode>
                <c:ptCount val="45"/>
                <c:pt idx="0">
                  <c:v>493.07</c:v>
                </c:pt>
                <c:pt idx="1">
                  <c:v>495.37</c:v>
                </c:pt>
                <c:pt idx="2">
                  <c:v>497.81</c:v>
                </c:pt>
                <c:pt idx="3">
                  <c:v>500.15</c:v>
                </c:pt>
                <c:pt idx="4">
                  <c:v>502.62</c:v>
                </c:pt>
                <c:pt idx="5">
                  <c:v>504.88</c:v>
                </c:pt>
                <c:pt idx="6">
                  <c:v>507.2</c:v>
                </c:pt>
                <c:pt idx="7">
                  <c:v>509.45</c:v>
                </c:pt>
                <c:pt idx="8">
                  <c:v>511.83</c:v>
                </c:pt>
                <c:pt idx="9">
                  <c:v>513.99</c:v>
                </c:pt>
                <c:pt idx="10">
                  <c:v>516.29</c:v>
                </c:pt>
                <c:pt idx="11">
                  <c:v>518.52</c:v>
                </c:pt>
                <c:pt idx="12">
                  <c:v>520.71</c:v>
                </c:pt>
                <c:pt idx="13">
                  <c:v>522.88</c:v>
                </c:pt>
                <c:pt idx="14">
                  <c:v>525.12</c:v>
                </c:pt>
                <c:pt idx="15">
                  <c:v>527.32000000000005</c:v>
                </c:pt>
                <c:pt idx="16">
                  <c:v>529.5</c:v>
                </c:pt>
                <c:pt idx="17">
                  <c:v>531.58000000000004</c:v>
                </c:pt>
                <c:pt idx="18">
                  <c:v>533.09</c:v>
                </c:pt>
                <c:pt idx="19">
                  <c:v>534.17999999999995</c:v>
                </c:pt>
                <c:pt idx="20">
                  <c:v>535.23</c:v>
                </c:pt>
                <c:pt idx="21">
                  <c:v>535.97</c:v>
                </c:pt>
                <c:pt idx="22">
                  <c:v>536.46</c:v>
                </c:pt>
                <c:pt idx="23">
                  <c:v>536.74</c:v>
                </c:pt>
                <c:pt idx="24">
                  <c:v>536.91999999999996</c:v>
                </c:pt>
                <c:pt idx="25">
                  <c:v>537.01</c:v>
                </c:pt>
                <c:pt idx="26">
                  <c:v>537.16</c:v>
                </c:pt>
                <c:pt idx="27">
                  <c:v>537.08000000000004</c:v>
                </c:pt>
                <c:pt idx="28">
                  <c:v>537.05999999999995</c:v>
                </c:pt>
                <c:pt idx="29">
                  <c:v>536.94000000000005</c:v>
                </c:pt>
                <c:pt idx="30">
                  <c:v>536.92999999999995</c:v>
                </c:pt>
                <c:pt idx="31">
                  <c:v>536.96</c:v>
                </c:pt>
                <c:pt idx="32">
                  <c:v>537.02</c:v>
                </c:pt>
                <c:pt idx="33">
                  <c:v>537.01</c:v>
                </c:pt>
                <c:pt idx="34">
                  <c:v>536.88</c:v>
                </c:pt>
                <c:pt idx="35">
                  <c:v>537</c:v>
                </c:pt>
                <c:pt idx="36">
                  <c:v>536.94000000000005</c:v>
                </c:pt>
                <c:pt idx="37">
                  <c:v>536.91</c:v>
                </c:pt>
                <c:pt idx="38">
                  <c:v>536.85</c:v>
                </c:pt>
                <c:pt idx="39">
                  <c:v>536.98</c:v>
                </c:pt>
                <c:pt idx="40">
                  <c:v>536.88</c:v>
                </c:pt>
                <c:pt idx="41">
                  <c:v>536.99</c:v>
                </c:pt>
                <c:pt idx="42">
                  <c:v>537.05999999999995</c:v>
                </c:pt>
                <c:pt idx="43">
                  <c:v>536.96</c:v>
                </c:pt>
                <c:pt idx="44">
                  <c:v>536.76</c:v>
                </c:pt>
              </c:numCache>
            </c:numRef>
          </c:val>
          <c:smooth val="0"/>
          <c:extLst>
            <c:ext xmlns:c16="http://schemas.microsoft.com/office/drawing/2014/chart" uri="{C3380CC4-5D6E-409C-BE32-E72D297353CC}">
              <c16:uniqueId val="{00000008-E7BE-49E5-BB88-B18B857EB333}"/>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3152720339291968E-2"/>
          <c:y val="2.3563396837736728E-2"/>
          <c:w val="0.87654002990548663"/>
          <c:h val="0.82547056772943317"/>
        </c:manualLayout>
      </c:layout>
      <c:lineChart>
        <c:grouping val="standard"/>
        <c:varyColors val="0"/>
        <c:ser>
          <c:idx val="0"/>
          <c:order val="0"/>
          <c:tx>
            <c:strRef>
              <c:f>'transfert 80'!$F$1</c:f>
              <c:strCache>
                <c:ptCount val="1"/>
                <c:pt idx="0">
                  <c:v>Connecteur 5</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80'!$F$2:$F$181</c:f>
              <c:numCache>
                <c:formatCode>General</c:formatCode>
                <c:ptCount val="180"/>
                <c:pt idx="0">
                  <c:v>41.91</c:v>
                </c:pt>
                <c:pt idx="1">
                  <c:v>42.18</c:v>
                </c:pt>
                <c:pt idx="2">
                  <c:v>42.39</c:v>
                </c:pt>
                <c:pt idx="3">
                  <c:v>42.55</c:v>
                </c:pt>
                <c:pt idx="4">
                  <c:v>42.69</c:v>
                </c:pt>
                <c:pt idx="5">
                  <c:v>42.86</c:v>
                </c:pt>
                <c:pt idx="6">
                  <c:v>43</c:v>
                </c:pt>
                <c:pt idx="7">
                  <c:v>43.14</c:v>
                </c:pt>
                <c:pt idx="8">
                  <c:v>43.28</c:v>
                </c:pt>
                <c:pt idx="9">
                  <c:v>43.42</c:v>
                </c:pt>
                <c:pt idx="10">
                  <c:v>43.54</c:v>
                </c:pt>
                <c:pt idx="11">
                  <c:v>43.69</c:v>
                </c:pt>
                <c:pt idx="12">
                  <c:v>43.77</c:v>
                </c:pt>
                <c:pt idx="13">
                  <c:v>43.89</c:v>
                </c:pt>
                <c:pt idx="14">
                  <c:v>44.03</c:v>
                </c:pt>
                <c:pt idx="15">
                  <c:v>44.14</c:v>
                </c:pt>
                <c:pt idx="16">
                  <c:v>44.26</c:v>
                </c:pt>
                <c:pt idx="17">
                  <c:v>44.35</c:v>
                </c:pt>
                <c:pt idx="18">
                  <c:v>44.49</c:v>
                </c:pt>
                <c:pt idx="19">
                  <c:v>44.6</c:v>
                </c:pt>
                <c:pt idx="20">
                  <c:v>44.75</c:v>
                </c:pt>
                <c:pt idx="21">
                  <c:v>44.85</c:v>
                </c:pt>
                <c:pt idx="22">
                  <c:v>44.93</c:v>
                </c:pt>
                <c:pt idx="23">
                  <c:v>45.01</c:v>
                </c:pt>
                <c:pt idx="24">
                  <c:v>45.11</c:v>
                </c:pt>
                <c:pt idx="25">
                  <c:v>45.21</c:v>
                </c:pt>
                <c:pt idx="26">
                  <c:v>45.33</c:v>
                </c:pt>
                <c:pt idx="27">
                  <c:v>45.46</c:v>
                </c:pt>
                <c:pt idx="28">
                  <c:v>45.51</c:v>
                </c:pt>
                <c:pt idx="29">
                  <c:v>45.62</c:v>
                </c:pt>
                <c:pt idx="30">
                  <c:v>45.66</c:v>
                </c:pt>
                <c:pt idx="31">
                  <c:v>45.8</c:v>
                </c:pt>
                <c:pt idx="32">
                  <c:v>45.88</c:v>
                </c:pt>
                <c:pt idx="33">
                  <c:v>45.99</c:v>
                </c:pt>
                <c:pt idx="34">
                  <c:v>46.07</c:v>
                </c:pt>
                <c:pt idx="35">
                  <c:v>46.14</c:v>
                </c:pt>
                <c:pt idx="36">
                  <c:v>46.2</c:v>
                </c:pt>
                <c:pt idx="37">
                  <c:v>46.3</c:v>
                </c:pt>
                <c:pt idx="38">
                  <c:v>46.4</c:v>
                </c:pt>
                <c:pt idx="39">
                  <c:v>46.51</c:v>
                </c:pt>
                <c:pt idx="40">
                  <c:v>46.6</c:v>
                </c:pt>
                <c:pt idx="41">
                  <c:v>46.64</c:v>
                </c:pt>
                <c:pt idx="42">
                  <c:v>46.7</c:v>
                </c:pt>
                <c:pt idx="43">
                  <c:v>46.78</c:v>
                </c:pt>
                <c:pt idx="44">
                  <c:v>46.86</c:v>
                </c:pt>
                <c:pt idx="45">
                  <c:v>46.92</c:v>
                </c:pt>
                <c:pt idx="46">
                  <c:v>47</c:v>
                </c:pt>
                <c:pt idx="47">
                  <c:v>47.08</c:v>
                </c:pt>
                <c:pt idx="48">
                  <c:v>47.14</c:v>
                </c:pt>
                <c:pt idx="49">
                  <c:v>47.26</c:v>
                </c:pt>
                <c:pt idx="50">
                  <c:v>47.26</c:v>
                </c:pt>
                <c:pt idx="51">
                  <c:v>47.38</c:v>
                </c:pt>
                <c:pt idx="52">
                  <c:v>47.42</c:v>
                </c:pt>
                <c:pt idx="53">
                  <c:v>47.53</c:v>
                </c:pt>
                <c:pt idx="54">
                  <c:v>47.68</c:v>
                </c:pt>
                <c:pt idx="55">
                  <c:v>48.61</c:v>
                </c:pt>
                <c:pt idx="56">
                  <c:v>50.09</c:v>
                </c:pt>
                <c:pt idx="57">
                  <c:v>51.71</c:v>
                </c:pt>
                <c:pt idx="58">
                  <c:v>53.35</c:v>
                </c:pt>
                <c:pt idx="59">
                  <c:v>54.95</c:v>
                </c:pt>
                <c:pt idx="60">
                  <c:v>56.25</c:v>
                </c:pt>
                <c:pt idx="61">
                  <c:v>57.32</c:v>
                </c:pt>
                <c:pt idx="62">
                  <c:v>58.31</c:v>
                </c:pt>
                <c:pt idx="63">
                  <c:v>59.11</c:v>
                </c:pt>
                <c:pt idx="64">
                  <c:v>59.44</c:v>
                </c:pt>
                <c:pt idx="65">
                  <c:v>60.07</c:v>
                </c:pt>
                <c:pt idx="66">
                  <c:v>60.42</c:v>
                </c:pt>
                <c:pt idx="67">
                  <c:v>60.65</c:v>
                </c:pt>
                <c:pt idx="68">
                  <c:v>61.03</c:v>
                </c:pt>
                <c:pt idx="69">
                  <c:v>61.23</c:v>
                </c:pt>
                <c:pt idx="70">
                  <c:v>61.52</c:v>
                </c:pt>
                <c:pt idx="71">
                  <c:v>61.83</c:v>
                </c:pt>
                <c:pt idx="72">
                  <c:v>62</c:v>
                </c:pt>
                <c:pt idx="73">
                  <c:v>62.21</c:v>
                </c:pt>
                <c:pt idx="74">
                  <c:v>62.59</c:v>
                </c:pt>
                <c:pt idx="75">
                  <c:v>62.82</c:v>
                </c:pt>
                <c:pt idx="76">
                  <c:v>63.09</c:v>
                </c:pt>
                <c:pt idx="77">
                  <c:v>63.27</c:v>
                </c:pt>
                <c:pt idx="78">
                  <c:v>63.59</c:v>
                </c:pt>
                <c:pt idx="79">
                  <c:v>63.95</c:v>
                </c:pt>
                <c:pt idx="80">
                  <c:v>64.2</c:v>
                </c:pt>
                <c:pt idx="81">
                  <c:v>64.459999999999994</c:v>
                </c:pt>
                <c:pt idx="82">
                  <c:v>64.86</c:v>
                </c:pt>
                <c:pt idx="83">
                  <c:v>65.13</c:v>
                </c:pt>
                <c:pt idx="84">
                  <c:v>65.430000000000007</c:v>
                </c:pt>
                <c:pt idx="85">
                  <c:v>65.709999999999994</c:v>
                </c:pt>
                <c:pt idx="86">
                  <c:v>66.03</c:v>
                </c:pt>
                <c:pt idx="87">
                  <c:v>66.459999999999994</c:v>
                </c:pt>
                <c:pt idx="88">
                  <c:v>66.709999999999994</c:v>
                </c:pt>
                <c:pt idx="89">
                  <c:v>67.040000000000006</c:v>
                </c:pt>
                <c:pt idx="90">
                  <c:v>67.36</c:v>
                </c:pt>
                <c:pt idx="91">
                  <c:v>67.73</c:v>
                </c:pt>
                <c:pt idx="92">
                  <c:v>68.010000000000005</c:v>
                </c:pt>
                <c:pt idx="93">
                  <c:v>68.349999999999994</c:v>
                </c:pt>
                <c:pt idx="94">
                  <c:v>68.66</c:v>
                </c:pt>
                <c:pt idx="95">
                  <c:v>68.989999999999995</c:v>
                </c:pt>
                <c:pt idx="96">
                  <c:v>69.31</c:v>
                </c:pt>
                <c:pt idx="97">
                  <c:v>69.62</c:v>
                </c:pt>
                <c:pt idx="98">
                  <c:v>70.05</c:v>
                </c:pt>
                <c:pt idx="99">
                  <c:v>70.31</c:v>
                </c:pt>
                <c:pt idx="100">
                  <c:v>70.67</c:v>
                </c:pt>
                <c:pt idx="101">
                  <c:v>70.94</c:v>
                </c:pt>
                <c:pt idx="102">
                  <c:v>71.3</c:v>
                </c:pt>
                <c:pt idx="103">
                  <c:v>71.61</c:v>
                </c:pt>
                <c:pt idx="104">
                  <c:v>72.010000000000005</c:v>
                </c:pt>
                <c:pt idx="105">
                  <c:v>72.31</c:v>
                </c:pt>
                <c:pt idx="106">
                  <c:v>72.64</c:v>
                </c:pt>
                <c:pt idx="107">
                  <c:v>72.97</c:v>
                </c:pt>
                <c:pt idx="108">
                  <c:v>73.33</c:v>
                </c:pt>
                <c:pt idx="109">
                  <c:v>73.680000000000007</c:v>
                </c:pt>
                <c:pt idx="110">
                  <c:v>74.03</c:v>
                </c:pt>
                <c:pt idx="111">
                  <c:v>74.25</c:v>
                </c:pt>
                <c:pt idx="112">
                  <c:v>74.650000000000006</c:v>
                </c:pt>
                <c:pt idx="113">
                  <c:v>75.069999999999993</c:v>
                </c:pt>
                <c:pt idx="114">
                  <c:v>75.39</c:v>
                </c:pt>
                <c:pt idx="115">
                  <c:v>75.680000000000007</c:v>
                </c:pt>
                <c:pt idx="116">
                  <c:v>76.05</c:v>
                </c:pt>
                <c:pt idx="117">
                  <c:v>76.38</c:v>
                </c:pt>
                <c:pt idx="118">
                  <c:v>76.739999999999995</c:v>
                </c:pt>
                <c:pt idx="119">
                  <c:v>77.03</c:v>
                </c:pt>
                <c:pt idx="120">
                  <c:v>77.38</c:v>
                </c:pt>
                <c:pt idx="121">
                  <c:v>77.7</c:v>
                </c:pt>
                <c:pt idx="122">
                  <c:v>78.03</c:v>
                </c:pt>
                <c:pt idx="123">
                  <c:v>78.39</c:v>
                </c:pt>
                <c:pt idx="124">
                  <c:v>78.67</c:v>
                </c:pt>
                <c:pt idx="125">
                  <c:v>79.010000000000005</c:v>
                </c:pt>
                <c:pt idx="126">
                  <c:v>79.37</c:v>
                </c:pt>
                <c:pt idx="127">
                  <c:v>79.760000000000005</c:v>
                </c:pt>
                <c:pt idx="128">
                  <c:v>80.040000000000006</c:v>
                </c:pt>
                <c:pt idx="129">
                  <c:v>80.349999999999994</c:v>
                </c:pt>
                <c:pt idx="130">
                  <c:v>80.63</c:v>
                </c:pt>
                <c:pt idx="131">
                  <c:v>80.98</c:v>
                </c:pt>
                <c:pt idx="132">
                  <c:v>81.319999999999993</c:v>
                </c:pt>
                <c:pt idx="133">
                  <c:v>81.739999999999995</c:v>
                </c:pt>
                <c:pt idx="134">
                  <c:v>82.02</c:v>
                </c:pt>
                <c:pt idx="135">
                  <c:v>82.34</c:v>
                </c:pt>
                <c:pt idx="136">
                  <c:v>82.53</c:v>
                </c:pt>
                <c:pt idx="137">
                  <c:v>82.44</c:v>
                </c:pt>
                <c:pt idx="138">
                  <c:v>82.25</c:v>
                </c:pt>
                <c:pt idx="139">
                  <c:v>82.1</c:v>
                </c:pt>
                <c:pt idx="140">
                  <c:v>81.91</c:v>
                </c:pt>
                <c:pt idx="141">
                  <c:v>81.75</c:v>
                </c:pt>
                <c:pt idx="142">
                  <c:v>81.58</c:v>
                </c:pt>
                <c:pt idx="143">
                  <c:v>81.38</c:v>
                </c:pt>
                <c:pt idx="144">
                  <c:v>81.31</c:v>
                </c:pt>
                <c:pt idx="145">
                  <c:v>81.180000000000007</c:v>
                </c:pt>
                <c:pt idx="146">
                  <c:v>81.099999999999994</c:v>
                </c:pt>
                <c:pt idx="147">
                  <c:v>81.069999999999993</c:v>
                </c:pt>
                <c:pt idx="148">
                  <c:v>81.05</c:v>
                </c:pt>
                <c:pt idx="149">
                  <c:v>80.989999999999995</c:v>
                </c:pt>
                <c:pt idx="150">
                  <c:v>80.95</c:v>
                </c:pt>
                <c:pt idx="151">
                  <c:v>81.02</c:v>
                </c:pt>
                <c:pt idx="152">
                  <c:v>80.959999999999994</c:v>
                </c:pt>
                <c:pt idx="153">
                  <c:v>80.95</c:v>
                </c:pt>
                <c:pt idx="154">
                  <c:v>80.930000000000007</c:v>
                </c:pt>
                <c:pt idx="155">
                  <c:v>80.88</c:v>
                </c:pt>
                <c:pt idx="156">
                  <c:v>80.930000000000007</c:v>
                </c:pt>
                <c:pt idx="157">
                  <c:v>80.900000000000006</c:v>
                </c:pt>
                <c:pt idx="158">
                  <c:v>80.94</c:v>
                </c:pt>
                <c:pt idx="159">
                  <c:v>80.84</c:v>
                </c:pt>
                <c:pt idx="160">
                  <c:v>80.930000000000007</c:v>
                </c:pt>
                <c:pt idx="161">
                  <c:v>80.91</c:v>
                </c:pt>
                <c:pt idx="162">
                  <c:v>80.94</c:v>
                </c:pt>
                <c:pt idx="163">
                  <c:v>80.92</c:v>
                </c:pt>
                <c:pt idx="164">
                  <c:v>80.89</c:v>
                </c:pt>
                <c:pt idx="165">
                  <c:v>80.95</c:v>
                </c:pt>
                <c:pt idx="166">
                  <c:v>80.88</c:v>
                </c:pt>
                <c:pt idx="167">
                  <c:v>80.91</c:v>
                </c:pt>
                <c:pt idx="168">
                  <c:v>80.92</c:v>
                </c:pt>
                <c:pt idx="169">
                  <c:v>80.89</c:v>
                </c:pt>
                <c:pt idx="170">
                  <c:v>80.78</c:v>
                </c:pt>
                <c:pt idx="171">
                  <c:v>80.89</c:v>
                </c:pt>
                <c:pt idx="172">
                  <c:v>80.91</c:v>
                </c:pt>
                <c:pt idx="173">
                  <c:v>80.91</c:v>
                </c:pt>
                <c:pt idx="174">
                  <c:v>80.849999999999994</c:v>
                </c:pt>
                <c:pt idx="175">
                  <c:v>80.88</c:v>
                </c:pt>
                <c:pt idx="176">
                  <c:v>80.89</c:v>
                </c:pt>
                <c:pt idx="177">
                  <c:v>80.92</c:v>
                </c:pt>
                <c:pt idx="178">
                  <c:v>80.92</c:v>
                </c:pt>
                <c:pt idx="179">
                  <c:v>81.03</c:v>
                </c:pt>
              </c:numCache>
            </c:numRef>
          </c:val>
          <c:smooth val="0"/>
          <c:extLst xmlns:c15="http://schemas.microsoft.com/office/drawing/2012/chart">
            <c:ext xmlns:c16="http://schemas.microsoft.com/office/drawing/2014/chart" uri="{C3380CC4-5D6E-409C-BE32-E72D297353CC}">
              <c16:uniqueId val="{00000000-F3A7-4533-956A-A326472CF84D}"/>
            </c:ext>
          </c:extLst>
        </c:ser>
        <c:ser>
          <c:idx val="1"/>
          <c:order val="1"/>
          <c:tx>
            <c:strRef>
              <c:f>'transfert 80'!$G$1</c:f>
              <c:strCache>
                <c:ptCount val="1"/>
                <c:pt idx="0">
                  <c:v>Connecteur 6</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80'!$G$2:$G$181</c:f>
              <c:numCache>
                <c:formatCode>General</c:formatCode>
                <c:ptCount val="180"/>
                <c:pt idx="0">
                  <c:v>41.66</c:v>
                </c:pt>
                <c:pt idx="1">
                  <c:v>41.83</c:v>
                </c:pt>
                <c:pt idx="2">
                  <c:v>42.17</c:v>
                </c:pt>
                <c:pt idx="3">
                  <c:v>42.29</c:v>
                </c:pt>
                <c:pt idx="4">
                  <c:v>42.5</c:v>
                </c:pt>
                <c:pt idx="5">
                  <c:v>42.64</c:v>
                </c:pt>
                <c:pt idx="6">
                  <c:v>42.74</c:v>
                </c:pt>
                <c:pt idx="7">
                  <c:v>42.93</c:v>
                </c:pt>
                <c:pt idx="8">
                  <c:v>43.1</c:v>
                </c:pt>
                <c:pt idx="9">
                  <c:v>43.2</c:v>
                </c:pt>
                <c:pt idx="10">
                  <c:v>43.36</c:v>
                </c:pt>
                <c:pt idx="11">
                  <c:v>43.57</c:v>
                </c:pt>
                <c:pt idx="12">
                  <c:v>43.66</c:v>
                </c:pt>
                <c:pt idx="13">
                  <c:v>43.81</c:v>
                </c:pt>
                <c:pt idx="14">
                  <c:v>43.85</c:v>
                </c:pt>
                <c:pt idx="15">
                  <c:v>44.04</c:v>
                </c:pt>
                <c:pt idx="16">
                  <c:v>44.11</c:v>
                </c:pt>
                <c:pt idx="17">
                  <c:v>44.24</c:v>
                </c:pt>
                <c:pt idx="18">
                  <c:v>44.37</c:v>
                </c:pt>
                <c:pt idx="19">
                  <c:v>44.43</c:v>
                </c:pt>
                <c:pt idx="20">
                  <c:v>44.64</c:v>
                </c:pt>
                <c:pt idx="21">
                  <c:v>44.66</c:v>
                </c:pt>
                <c:pt idx="22">
                  <c:v>44.83</c:v>
                </c:pt>
                <c:pt idx="23">
                  <c:v>44.96</c:v>
                </c:pt>
                <c:pt idx="24">
                  <c:v>45.06</c:v>
                </c:pt>
                <c:pt idx="25">
                  <c:v>45.11</c:v>
                </c:pt>
                <c:pt idx="26">
                  <c:v>45.27</c:v>
                </c:pt>
                <c:pt idx="27">
                  <c:v>45.35</c:v>
                </c:pt>
                <c:pt idx="28">
                  <c:v>45.44</c:v>
                </c:pt>
                <c:pt idx="29">
                  <c:v>45.56</c:v>
                </c:pt>
                <c:pt idx="30">
                  <c:v>45.61</c:v>
                </c:pt>
                <c:pt idx="31">
                  <c:v>45.75</c:v>
                </c:pt>
                <c:pt idx="32">
                  <c:v>45.86</c:v>
                </c:pt>
                <c:pt idx="33">
                  <c:v>45.91</c:v>
                </c:pt>
                <c:pt idx="34">
                  <c:v>46.02</c:v>
                </c:pt>
                <c:pt idx="35">
                  <c:v>46.12</c:v>
                </c:pt>
                <c:pt idx="36">
                  <c:v>46.22</c:v>
                </c:pt>
                <c:pt idx="37">
                  <c:v>46.2</c:v>
                </c:pt>
                <c:pt idx="38">
                  <c:v>46.38</c:v>
                </c:pt>
                <c:pt idx="39">
                  <c:v>46.43</c:v>
                </c:pt>
                <c:pt idx="40">
                  <c:v>46.51</c:v>
                </c:pt>
                <c:pt idx="41">
                  <c:v>46.53</c:v>
                </c:pt>
                <c:pt idx="42">
                  <c:v>46.66</c:v>
                </c:pt>
                <c:pt idx="43">
                  <c:v>46.75</c:v>
                </c:pt>
                <c:pt idx="44">
                  <c:v>46.78</c:v>
                </c:pt>
                <c:pt idx="45">
                  <c:v>46.87</c:v>
                </c:pt>
                <c:pt idx="46">
                  <c:v>47.02</c:v>
                </c:pt>
                <c:pt idx="47">
                  <c:v>47.08</c:v>
                </c:pt>
                <c:pt idx="48">
                  <c:v>47.12</c:v>
                </c:pt>
                <c:pt idx="49">
                  <c:v>47.18</c:v>
                </c:pt>
                <c:pt idx="50">
                  <c:v>47.27</c:v>
                </c:pt>
                <c:pt idx="51">
                  <c:v>47.34</c:v>
                </c:pt>
                <c:pt idx="52">
                  <c:v>47.39</c:v>
                </c:pt>
                <c:pt idx="53">
                  <c:v>47.51</c:v>
                </c:pt>
                <c:pt idx="54">
                  <c:v>47.67</c:v>
                </c:pt>
                <c:pt idx="55">
                  <c:v>48.49</c:v>
                </c:pt>
                <c:pt idx="56">
                  <c:v>50</c:v>
                </c:pt>
                <c:pt idx="57">
                  <c:v>51.44</c:v>
                </c:pt>
                <c:pt idx="58">
                  <c:v>52.99</c:v>
                </c:pt>
                <c:pt idx="59">
                  <c:v>54.43</c:v>
                </c:pt>
                <c:pt idx="60">
                  <c:v>55.82</c:v>
                </c:pt>
                <c:pt idx="61">
                  <c:v>56.89</c:v>
                </c:pt>
                <c:pt idx="62">
                  <c:v>57.84</c:v>
                </c:pt>
                <c:pt idx="63">
                  <c:v>58.62</c:v>
                </c:pt>
                <c:pt idx="64">
                  <c:v>59.2</c:v>
                </c:pt>
                <c:pt idx="65">
                  <c:v>59.74</c:v>
                </c:pt>
                <c:pt idx="66">
                  <c:v>60.09</c:v>
                </c:pt>
                <c:pt idx="67">
                  <c:v>60.5</c:v>
                </c:pt>
                <c:pt idx="68">
                  <c:v>60.78</c:v>
                </c:pt>
                <c:pt idx="69">
                  <c:v>61.03</c:v>
                </c:pt>
                <c:pt idx="70">
                  <c:v>61.31</c:v>
                </c:pt>
                <c:pt idx="71">
                  <c:v>61.57</c:v>
                </c:pt>
                <c:pt idx="72">
                  <c:v>61.97</c:v>
                </c:pt>
                <c:pt idx="73">
                  <c:v>62.18</c:v>
                </c:pt>
                <c:pt idx="74">
                  <c:v>62.44</c:v>
                </c:pt>
                <c:pt idx="75">
                  <c:v>62.72</c:v>
                </c:pt>
                <c:pt idx="76">
                  <c:v>63.11</c:v>
                </c:pt>
                <c:pt idx="77">
                  <c:v>63.24</c:v>
                </c:pt>
                <c:pt idx="78">
                  <c:v>63.53</c:v>
                </c:pt>
                <c:pt idx="79">
                  <c:v>63.86</c:v>
                </c:pt>
                <c:pt idx="80">
                  <c:v>64.150000000000006</c:v>
                </c:pt>
                <c:pt idx="81">
                  <c:v>64.52</c:v>
                </c:pt>
                <c:pt idx="82">
                  <c:v>64.760000000000005</c:v>
                </c:pt>
                <c:pt idx="83">
                  <c:v>65.099999999999994</c:v>
                </c:pt>
                <c:pt idx="84">
                  <c:v>65.459999999999994</c:v>
                </c:pt>
                <c:pt idx="85">
                  <c:v>65.75</c:v>
                </c:pt>
                <c:pt idx="86">
                  <c:v>66.099999999999994</c:v>
                </c:pt>
                <c:pt idx="87">
                  <c:v>66.33</c:v>
                </c:pt>
                <c:pt idx="88">
                  <c:v>66.72</c:v>
                </c:pt>
                <c:pt idx="89">
                  <c:v>67.12</c:v>
                </c:pt>
                <c:pt idx="90">
                  <c:v>67.47</c:v>
                </c:pt>
                <c:pt idx="91">
                  <c:v>67.790000000000006</c:v>
                </c:pt>
                <c:pt idx="92">
                  <c:v>68.010000000000005</c:v>
                </c:pt>
                <c:pt idx="93">
                  <c:v>68.41</c:v>
                </c:pt>
                <c:pt idx="94">
                  <c:v>68.7</c:v>
                </c:pt>
                <c:pt idx="95">
                  <c:v>69.06</c:v>
                </c:pt>
                <c:pt idx="96">
                  <c:v>69.41</c:v>
                </c:pt>
                <c:pt idx="97">
                  <c:v>69.75</c:v>
                </c:pt>
                <c:pt idx="98">
                  <c:v>70.06</c:v>
                </c:pt>
                <c:pt idx="99">
                  <c:v>70.5</c:v>
                </c:pt>
                <c:pt idx="100">
                  <c:v>70.680000000000007</c:v>
                </c:pt>
                <c:pt idx="101">
                  <c:v>71.12</c:v>
                </c:pt>
                <c:pt idx="102">
                  <c:v>71.48</c:v>
                </c:pt>
                <c:pt idx="103">
                  <c:v>71.77</c:v>
                </c:pt>
                <c:pt idx="104">
                  <c:v>72.099999999999994</c:v>
                </c:pt>
                <c:pt idx="105">
                  <c:v>72.47</c:v>
                </c:pt>
                <c:pt idx="106">
                  <c:v>72.790000000000006</c:v>
                </c:pt>
                <c:pt idx="107">
                  <c:v>73.239999999999995</c:v>
                </c:pt>
                <c:pt idx="108">
                  <c:v>73.41</c:v>
                </c:pt>
                <c:pt idx="109">
                  <c:v>73.819999999999993</c:v>
                </c:pt>
                <c:pt idx="110">
                  <c:v>74.180000000000007</c:v>
                </c:pt>
                <c:pt idx="111">
                  <c:v>74.489999999999995</c:v>
                </c:pt>
                <c:pt idx="112">
                  <c:v>74.84</c:v>
                </c:pt>
                <c:pt idx="113">
                  <c:v>75.290000000000006</c:v>
                </c:pt>
                <c:pt idx="114">
                  <c:v>75.62</c:v>
                </c:pt>
                <c:pt idx="115">
                  <c:v>75.88</c:v>
                </c:pt>
                <c:pt idx="116">
                  <c:v>76.25</c:v>
                </c:pt>
                <c:pt idx="117">
                  <c:v>76.58</c:v>
                </c:pt>
                <c:pt idx="118">
                  <c:v>76.91</c:v>
                </c:pt>
                <c:pt idx="119">
                  <c:v>77.2</c:v>
                </c:pt>
                <c:pt idx="120">
                  <c:v>77.58</c:v>
                </c:pt>
                <c:pt idx="121">
                  <c:v>77.87</c:v>
                </c:pt>
                <c:pt idx="122">
                  <c:v>78.22</c:v>
                </c:pt>
                <c:pt idx="123">
                  <c:v>78.55</c:v>
                </c:pt>
                <c:pt idx="124">
                  <c:v>78.88</c:v>
                </c:pt>
                <c:pt idx="125">
                  <c:v>79.260000000000005</c:v>
                </c:pt>
                <c:pt idx="126">
                  <c:v>79.59</c:v>
                </c:pt>
                <c:pt idx="127">
                  <c:v>79.989999999999995</c:v>
                </c:pt>
                <c:pt idx="128">
                  <c:v>80.28</c:v>
                </c:pt>
                <c:pt idx="129">
                  <c:v>80.599999999999994</c:v>
                </c:pt>
                <c:pt idx="130">
                  <c:v>80.87</c:v>
                </c:pt>
                <c:pt idx="131">
                  <c:v>81.290000000000006</c:v>
                </c:pt>
                <c:pt idx="132">
                  <c:v>81.66</c:v>
                </c:pt>
                <c:pt idx="133">
                  <c:v>81.99</c:v>
                </c:pt>
                <c:pt idx="134">
                  <c:v>82.44</c:v>
                </c:pt>
                <c:pt idx="135">
                  <c:v>82.68</c:v>
                </c:pt>
                <c:pt idx="136">
                  <c:v>82.76</c:v>
                </c:pt>
                <c:pt idx="137">
                  <c:v>82.74</c:v>
                </c:pt>
                <c:pt idx="138">
                  <c:v>82.6</c:v>
                </c:pt>
                <c:pt idx="139">
                  <c:v>82.47</c:v>
                </c:pt>
                <c:pt idx="140">
                  <c:v>82.22</c:v>
                </c:pt>
                <c:pt idx="141">
                  <c:v>82.13</c:v>
                </c:pt>
                <c:pt idx="142">
                  <c:v>82.02</c:v>
                </c:pt>
                <c:pt idx="143">
                  <c:v>81.87</c:v>
                </c:pt>
                <c:pt idx="144">
                  <c:v>81.81</c:v>
                </c:pt>
                <c:pt idx="145">
                  <c:v>81.680000000000007</c:v>
                </c:pt>
                <c:pt idx="146">
                  <c:v>81.59</c:v>
                </c:pt>
                <c:pt idx="147">
                  <c:v>81.58</c:v>
                </c:pt>
                <c:pt idx="148">
                  <c:v>81.52</c:v>
                </c:pt>
                <c:pt idx="149">
                  <c:v>81.459999999999994</c:v>
                </c:pt>
                <c:pt idx="150">
                  <c:v>81.44</c:v>
                </c:pt>
                <c:pt idx="151">
                  <c:v>81.42</c:v>
                </c:pt>
                <c:pt idx="152">
                  <c:v>81.489999999999995</c:v>
                </c:pt>
                <c:pt idx="153">
                  <c:v>81.5</c:v>
                </c:pt>
                <c:pt idx="154">
                  <c:v>81.430000000000007</c:v>
                </c:pt>
                <c:pt idx="155">
                  <c:v>81.36</c:v>
                </c:pt>
                <c:pt idx="156">
                  <c:v>81.39</c:v>
                </c:pt>
                <c:pt idx="157">
                  <c:v>81.37</c:v>
                </c:pt>
                <c:pt idx="158">
                  <c:v>81.41</c:v>
                </c:pt>
                <c:pt idx="159">
                  <c:v>81.37</c:v>
                </c:pt>
                <c:pt idx="160">
                  <c:v>81.42</c:v>
                </c:pt>
                <c:pt idx="161">
                  <c:v>81.44</c:v>
                </c:pt>
                <c:pt idx="162">
                  <c:v>81.400000000000006</c:v>
                </c:pt>
                <c:pt idx="163">
                  <c:v>81.400000000000006</c:v>
                </c:pt>
                <c:pt idx="164">
                  <c:v>81.37</c:v>
                </c:pt>
                <c:pt idx="165">
                  <c:v>81.37</c:v>
                </c:pt>
                <c:pt idx="166">
                  <c:v>81.36</c:v>
                </c:pt>
                <c:pt idx="167">
                  <c:v>81.37</c:v>
                </c:pt>
                <c:pt idx="168">
                  <c:v>81.37</c:v>
                </c:pt>
                <c:pt idx="169">
                  <c:v>81.37</c:v>
                </c:pt>
                <c:pt idx="170">
                  <c:v>81.41</c:v>
                </c:pt>
                <c:pt idx="171">
                  <c:v>81.3</c:v>
                </c:pt>
                <c:pt idx="172">
                  <c:v>81.34</c:v>
                </c:pt>
                <c:pt idx="173">
                  <c:v>81.33</c:v>
                </c:pt>
                <c:pt idx="174">
                  <c:v>81.36</c:v>
                </c:pt>
                <c:pt idx="175">
                  <c:v>81.38</c:v>
                </c:pt>
                <c:pt idx="176">
                  <c:v>81.33</c:v>
                </c:pt>
                <c:pt idx="177">
                  <c:v>81.42</c:v>
                </c:pt>
                <c:pt idx="178">
                  <c:v>81.34</c:v>
                </c:pt>
                <c:pt idx="179">
                  <c:v>81.52</c:v>
                </c:pt>
              </c:numCache>
            </c:numRef>
          </c:val>
          <c:smooth val="0"/>
          <c:extLst>
            <c:ext xmlns:c16="http://schemas.microsoft.com/office/drawing/2014/chart" uri="{C3380CC4-5D6E-409C-BE32-E72D297353CC}">
              <c16:uniqueId val="{00000001-F3A7-4533-956A-A326472CF84D}"/>
            </c:ext>
          </c:extLst>
        </c:ser>
        <c:ser>
          <c:idx val="2"/>
          <c:order val="2"/>
          <c:tx>
            <c:strRef>
              <c:f>'transfert 80'!$H$1</c:f>
              <c:strCache>
                <c:ptCount val="1"/>
                <c:pt idx="0">
                  <c:v>Connecteur 7</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80'!$H$2:$H$181</c:f>
              <c:numCache>
                <c:formatCode>General</c:formatCode>
                <c:ptCount val="180"/>
                <c:pt idx="0">
                  <c:v>40.61</c:v>
                </c:pt>
                <c:pt idx="1">
                  <c:v>40.89</c:v>
                </c:pt>
                <c:pt idx="2">
                  <c:v>41.24</c:v>
                </c:pt>
                <c:pt idx="3">
                  <c:v>41.38</c:v>
                </c:pt>
                <c:pt idx="4">
                  <c:v>41.62</c:v>
                </c:pt>
                <c:pt idx="5">
                  <c:v>41.77</c:v>
                </c:pt>
                <c:pt idx="6">
                  <c:v>41.97</c:v>
                </c:pt>
                <c:pt idx="7">
                  <c:v>42.14</c:v>
                </c:pt>
                <c:pt idx="8">
                  <c:v>42.27</c:v>
                </c:pt>
                <c:pt idx="9">
                  <c:v>42.49</c:v>
                </c:pt>
                <c:pt idx="10">
                  <c:v>42.63</c:v>
                </c:pt>
                <c:pt idx="11">
                  <c:v>42.8</c:v>
                </c:pt>
                <c:pt idx="12">
                  <c:v>42.93</c:v>
                </c:pt>
                <c:pt idx="13">
                  <c:v>43.06</c:v>
                </c:pt>
                <c:pt idx="14">
                  <c:v>43.17</c:v>
                </c:pt>
                <c:pt idx="15">
                  <c:v>43.36</c:v>
                </c:pt>
                <c:pt idx="16">
                  <c:v>43.42</c:v>
                </c:pt>
                <c:pt idx="17">
                  <c:v>43.59</c:v>
                </c:pt>
                <c:pt idx="18">
                  <c:v>43.76</c:v>
                </c:pt>
                <c:pt idx="19">
                  <c:v>43.84</c:v>
                </c:pt>
                <c:pt idx="20">
                  <c:v>44</c:v>
                </c:pt>
                <c:pt idx="21">
                  <c:v>44.1</c:v>
                </c:pt>
                <c:pt idx="22">
                  <c:v>44.3</c:v>
                </c:pt>
                <c:pt idx="23">
                  <c:v>44.35</c:v>
                </c:pt>
                <c:pt idx="24">
                  <c:v>44.47</c:v>
                </c:pt>
                <c:pt idx="25">
                  <c:v>44.57</c:v>
                </c:pt>
                <c:pt idx="26">
                  <c:v>44.64</c:v>
                </c:pt>
                <c:pt idx="27">
                  <c:v>44.77</c:v>
                </c:pt>
                <c:pt idx="28">
                  <c:v>44.82</c:v>
                </c:pt>
                <c:pt idx="29">
                  <c:v>44.99</c:v>
                </c:pt>
                <c:pt idx="30">
                  <c:v>45.1</c:v>
                </c:pt>
                <c:pt idx="31">
                  <c:v>45.19</c:v>
                </c:pt>
                <c:pt idx="32">
                  <c:v>45.33</c:v>
                </c:pt>
                <c:pt idx="33">
                  <c:v>45.44</c:v>
                </c:pt>
                <c:pt idx="34">
                  <c:v>45.52</c:v>
                </c:pt>
                <c:pt idx="35">
                  <c:v>45.57</c:v>
                </c:pt>
                <c:pt idx="36">
                  <c:v>45.67</c:v>
                </c:pt>
                <c:pt idx="37">
                  <c:v>45.74</c:v>
                </c:pt>
                <c:pt idx="38">
                  <c:v>45.86</c:v>
                </c:pt>
                <c:pt idx="39">
                  <c:v>45.95</c:v>
                </c:pt>
                <c:pt idx="40">
                  <c:v>46.04</c:v>
                </c:pt>
                <c:pt idx="41">
                  <c:v>46.08</c:v>
                </c:pt>
                <c:pt idx="42">
                  <c:v>46.23</c:v>
                </c:pt>
                <c:pt idx="43">
                  <c:v>46.29</c:v>
                </c:pt>
                <c:pt idx="44">
                  <c:v>46.38</c:v>
                </c:pt>
                <c:pt idx="45">
                  <c:v>46.45</c:v>
                </c:pt>
                <c:pt idx="46">
                  <c:v>46.55</c:v>
                </c:pt>
                <c:pt idx="47">
                  <c:v>46.64</c:v>
                </c:pt>
                <c:pt idx="48">
                  <c:v>46.71</c:v>
                </c:pt>
                <c:pt idx="49">
                  <c:v>46.78</c:v>
                </c:pt>
                <c:pt idx="50">
                  <c:v>46.84</c:v>
                </c:pt>
                <c:pt idx="51">
                  <c:v>46.93</c:v>
                </c:pt>
                <c:pt idx="52">
                  <c:v>47</c:v>
                </c:pt>
                <c:pt idx="53">
                  <c:v>47.08</c:v>
                </c:pt>
                <c:pt idx="54">
                  <c:v>47.2</c:v>
                </c:pt>
                <c:pt idx="55">
                  <c:v>47.62</c:v>
                </c:pt>
                <c:pt idx="56">
                  <c:v>48.35</c:v>
                </c:pt>
                <c:pt idx="57">
                  <c:v>49.27</c:v>
                </c:pt>
                <c:pt idx="58">
                  <c:v>50.26</c:v>
                </c:pt>
                <c:pt idx="59">
                  <c:v>51.26</c:v>
                </c:pt>
                <c:pt idx="60">
                  <c:v>52.39</c:v>
                </c:pt>
                <c:pt idx="61">
                  <c:v>52.9</c:v>
                </c:pt>
                <c:pt idx="62">
                  <c:v>53.95</c:v>
                </c:pt>
                <c:pt idx="63">
                  <c:v>54.83</c:v>
                </c:pt>
                <c:pt idx="64">
                  <c:v>55.38</c:v>
                </c:pt>
                <c:pt idx="65">
                  <c:v>56.2</c:v>
                </c:pt>
                <c:pt idx="66">
                  <c:v>56.49</c:v>
                </c:pt>
                <c:pt idx="67">
                  <c:v>57</c:v>
                </c:pt>
                <c:pt idx="68">
                  <c:v>57.47</c:v>
                </c:pt>
                <c:pt idx="69">
                  <c:v>58.07</c:v>
                </c:pt>
                <c:pt idx="70">
                  <c:v>58.37</c:v>
                </c:pt>
                <c:pt idx="71">
                  <c:v>58.71</c:v>
                </c:pt>
                <c:pt idx="72">
                  <c:v>59.24</c:v>
                </c:pt>
                <c:pt idx="73">
                  <c:v>59.63</c:v>
                </c:pt>
                <c:pt idx="74">
                  <c:v>59.93</c:v>
                </c:pt>
                <c:pt idx="75">
                  <c:v>60.29</c:v>
                </c:pt>
                <c:pt idx="76">
                  <c:v>60.64</c:v>
                </c:pt>
                <c:pt idx="77">
                  <c:v>61.09</c:v>
                </c:pt>
                <c:pt idx="78">
                  <c:v>61.35</c:v>
                </c:pt>
                <c:pt idx="79">
                  <c:v>61.7</c:v>
                </c:pt>
                <c:pt idx="80">
                  <c:v>62.06</c:v>
                </c:pt>
                <c:pt idx="81">
                  <c:v>62.36</c:v>
                </c:pt>
                <c:pt idx="82">
                  <c:v>62.85</c:v>
                </c:pt>
                <c:pt idx="83">
                  <c:v>63.18</c:v>
                </c:pt>
                <c:pt idx="84">
                  <c:v>63.43</c:v>
                </c:pt>
                <c:pt idx="85">
                  <c:v>63.75</c:v>
                </c:pt>
                <c:pt idx="86">
                  <c:v>64.150000000000006</c:v>
                </c:pt>
                <c:pt idx="87">
                  <c:v>64.37</c:v>
                </c:pt>
                <c:pt idx="88">
                  <c:v>64.8</c:v>
                </c:pt>
                <c:pt idx="89">
                  <c:v>65.17</c:v>
                </c:pt>
                <c:pt idx="90">
                  <c:v>65.489999999999995</c:v>
                </c:pt>
                <c:pt idx="91">
                  <c:v>65.790000000000006</c:v>
                </c:pt>
                <c:pt idx="92">
                  <c:v>66.06</c:v>
                </c:pt>
                <c:pt idx="93">
                  <c:v>66.45</c:v>
                </c:pt>
                <c:pt idx="94">
                  <c:v>66.73</c:v>
                </c:pt>
                <c:pt idx="95">
                  <c:v>67.12</c:v>
                </c:pt>
                <c:pt idx="96">
                  <c:v>67.44</c:v>
                </c:pt>
                <c:pt idx="97">
                  <c:v>67.709999999999994</c:v>
                </c:pt>
                <c:pt idx="98">
                  <c:v>68.040000000000006</c:v>
                </c:pt>
                <c:pt idx="99">
                  <c:v>68.47</c:v>
                </c:pt>
                <c:pt idx="100">
                  <c:v>68.78</c:v>
                </c:pt>
                <c:pt idx="101">
                  <c:v>69.02</c:v>
                </c:pt>
                <c:pt idx="102">
                  <c:v>69.319999999999993</c:v>
                </c:pt>
                <c:pt idx="103">
                  <c:v>69.63</c:v>
                </c:pt>
                <c:pt idx="104">
                  <c:v>69.959999999999994</c:v>
                </c:pt>
                <c:pt idx="105">
                  <c:v>70.36</c:v>
                </c:pt>
                <c:pt idx="106">
                  <c:v>70.77</c:v>
                </c:pt>
                <c:pt idx="107">
                  <c:v>70.959999999999994</c:v>
                </c:pt>
                <c:pt idx="108">
                  <c:v>71.430000000000007</c:v>
                </c:pt>
                <c:pt idx="109">
                  <c:v>71.72</c:v>
                </c:pt>
                <c:pt idx="110">
                  <c:v>71.98</c:v>
                </c:pt>
                <c:pt idx="111">
                  <c:v>72.36</c:v>
                </c:pt>
                <c:pt idx="112">
                  <c:v>72.760000000000005</c:v>
                </c:pt>
                <c:pt idx="113">
                  <c:v>73.010000000000005</c:v>
                </c:pt>
                <c:pt idx="114">
                  <c:v>73.31</c:v>
                </c:pt>
                <c:pt idx="115">
                  <c:v>73.84</c:v>
                </c:pt>
                <c:pt idx="116">
                  <c:v>74</c:v>
                </c:pt>
                <c:pt idx="117">
                  <c:v>74.41</c:v>
                </c:pt>
                <c:pt idx="118">
                  <c:v>74.760000000000005</c:v>
                </c:pt>
                <c:pt idx="119">
                  <c:v>75.010000000000005</c:v>
                </c:pt>
                <c:pt idx="120">
                  <c:v>75.36</c:v>
                </c:pt>
                <c:pt idx="121">
                  <c:v>75.63</c:v>
                </c:pt>
                <c:pt idx="122">
                  <c:v>76.040000000000006</c:v>
                </c:pt>
                <c:pt idx="123">
                  <c:v>76.400000000000006</c:v>
                </c:pt>
                <c:pt idx="124">
                  <c:v>76.760000000000005</c:v>
                </c:pt>
                <c:pt idx="125">
                  <c:v>77.05</c:v>
                </c:pt>
                <c:pt idx="126">
                  <c:v>77.33</c:v>
                </c:pt>
                <c:pt idx="127">
                  <c:v>77.709999999999994</c:v>
                </c:pt>
                <c:pt idx="128">
                  <c:v>78.010000000000005</c:v>
                </c:pt>
                <c:pt idx="129">
                  <c:v>78.400000000000006</c:v>
                </c:pt>
                <c:pt idx="130">
                  <c:v>78.66</c:v>
                </c:pt>
                <c:pt idx="131">
                  <c:v>79</c:v>
                </c:pt>
                <c:pt idx="132">
                  <c:v>79.31</c:v>
                </c:pt>
                <c:pt idx="133">
                  <c:v>79.72</c:v>
                </c:pt>
                <c:pt idx="134">
                  <c:v>80.03</c:v>
                </c:pt>
                <c:pt idx="135">
                  <c:v>80.31</c:v>
                </c:pt>
                <c:pt idx="136">
                  <c:v>80.650000000000006</c:v>
                </c:pt>
                <c:pt idx="137">
                  <c:v>80.78</c:v>
                </c:pt>
                <c:pt idx="138">
                  <c:v>80.89</c:v>
                </c:pt>
                <c:pt idx="139">
                  <c:v>80.91</c:v>
                </c:pt>
                <c:pt idx="140">
                  <c:v>80.89</c:v>
                </c:pt>
                <c:pt idx="141">
                  <c:v>80.87</c:v>
                </c:pt>
                <c:pt idx="142">
                  <c:v>80.88</c:v>
                </c:pt>
                <c:pt idx="143">
                  <c:v>80.89</c:v>
                </c:pt>
                <c:pt idx="144">
                  <c:v>80.89</c:v>
                </c:pt>
                <c:pt idx="145">
                  <c:v>80.88</c:v>
                </c:pt>
                <c:pt idx="146">
                  <c:v>80.89</c:v>
                </c:pt>
                <c:pt idx="147">
                  <c:v>80.91</c:v>
                </c:pt>
                <c:pt idx="148">
                  <c:v>80.87</c:v>
                </c:pt>
                <c:pt idx="149">
                  <c:v>80.849999999999994</c:v>
                </c:pt>
                <c:pt idx="150">
                  <c:v>80.88</c:v>
                </c:pt>
                <c:pt idx="151">
                  <c:v>80.819999999999993</c:v>
                </c:pt>
                <c:pt idx="152">
                  <c:v>80.86</c:v>
                </c:pt>
                <c:pt idx="153">
                  <c:v>80.88</c:v>
                </c:pt>
                <c:pt idx="154">
                  <c:v>80.849999999999994</c:v>
                </c:pt>
                <c:pt idx="155">
                  <c:v>80.86</c:v>
                </c:pt>
                <c:pt idx="156">
                  <c:v>80.86</c:v>
                </c:pt>
                <c:pt idx="157">
                  <c:v>80.87</c:v>
                </c:pt>
                <c:pt idx="158">
                  <c:v>80.88</c:v>
                </c:pt>
                <c:pt idx="159">
                  <c:v>80.849999999999994</c:v>
                </c:pt>
                <c:pt idx="160">
                  <c:v>80.87</c:v>
                </c:pt>
                <c:pt idx="161">
                  <c:v>80.89</c:v>
                </c:pt>
                <c:pt idx="162">
                  <c:v>80.88</c:v>
                </c:pt>
                <c:pt idx="163">
                  <c:v>80.87</c:v>
                </c:pt>
                <c:pt idx="164">
                  <c:v>80.86</c:v>
                </c:pt>
                <c:pt idx="165">
                  <c:v>80.88</c:v>
                </c:pt>
                <c:pt idx="166">
                  <c:v>80.849999999999994</c:v>
                </c:pt>
                <c:pt idx="167">
                  <c:v>80.900000000000006</c:v>
                </c:pt>
                <c:pt idx="168">
                  <c:v>80.87</c:v>
                </c:pt>
                <c:pt idx="169">
                  <c:v>80.86</c:v>
                </c:pt>
                <c:pt idx="170">
                  <c:v>80.88</c:v>
                </c:pt>
                <c:pt idx="171">
                  <c:v>80.849999999999994</c:v>
                </c:pt>
                <c:pt idx="172">
                  <c:v>80.86</c:v>
                </c:pt>
                <c:pt idx="173">
                  <c:v>80.86</c:v>
                </c:pt>
                <c:pt idx="174">
                  <c:v>80.87</c:v>
                </c:pt>
                <c:pt idx="175">
                  <c:v>80.89</c:v>
                </c:pt>
                <c:pt idx="176">
                  <c:v>80.88</c:v>
                </c:pt>
                <c:pt idx="177">
                  <c:v>80.91</c:v>
                </c:pt>
                <c:pt idx="178">
                  <c:v>80.87</c:v>
                </c:pt>
                <c:pt idx="179">
                  <c:v>80.91</c:v>
                </c:pt>
              </c:numCache>
            </c:numRef>
          </c:val>
          <c:smooth val="0"/>
          <c:extLst>
            <c:ext xmlns:c16="http://schemas.microsoft.com/office/drawing/2014/chart" uri="{C3380CC4-5D6E-409C-BE32-E72D297353CC}">
              <c16:uniqueId val="{00000002-F3A7-4533-956A-A326472CF84D}"/>
            </c:ext>
          </c:extLst>
        </c:ser>
        <c:ser>
          <c:idx val="3"/>
          <c:order val="3"/>
          <c:tx>
            <c:strRef>
              <c:f>'transfert 80'!$I$1</c:f>
              <c:strCache>
                <c:ptCount val="1"/>
                <c:pt idx="0">
                  <c:v>Connecteur 8</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80'!$I$2:$I$181</c:f>
              <c:numCache>
                <c:formatCode>General</c:formatCode>
                <c:ptCount val="180"/>
                <c:pt idx="0">
                  <c:v>41.99</c:v>
                </c:pt>
                <c:pt idx="1">
                  <c:v>42.18</c:v>
                </c:pt>
                <c:pt idx="2">
                  <c:v>42.42</c:v>
                </c:pt>
                <c:pt idx="3">
                  <c:v>42.54</c:v>
                </c:pt>
                <c:pt idx="4">
                  <c:v>42.75</c:v>
                </c:pt>
                <c:pt idx="5">
                  <c:v>42.85</c:v>
                </c:pt>
                <c:pt idx="6">
                  <c:v>43.02</c:v>
                </c:pt>
                <c:pt idx="7">
                  <c:v>43.12</c:v>
                </c:pt>
                <c:pt idx="8">
                  <c:v>43.29</c:v>
                </c:pt>
                <c:pt idx="9">
                  <c:v>43.44</c:v>
                </c:pt>
                <c:pt idx="10">
                  <c:v>43.58</c:v>
                </c:pt>
                <c:pt idx="11">
                  <c:v>43.7</c:v>
                </c:pt>
                <c:pt idx="12">
                  <c:v>43.81</c:v>
                </c:pt>
                <c:pt idx="13">
                  <c:v>43.92</c:v>
                </c:pt>
                <c:pt idx="14">
                  <c:v>44.03</c:v>
                </c:pt>
                <c:pt idx="15">
                  <c:v>44.13</c:v>
                </c:pt>
                <c:pt idx="16">
                  <c:v>44.26</c:v>
                </c:pt>
                <c:pt idx="17">
                  <c:v>44.39</c:v>
                </c:pt>
                <c:pt idx="18">
                  <c:v>44.52</c:v>
                </c:pt>
                <c:pt idx="19">
                  <c:v>44.6</c:v>
                </c:pt>
                <c:pt idx="20">
                  <c:v>44.69</c:v>
                </c:pt>
                <c:pt idx="21">
                  <c:v>44.8</c:v>
                </c:pt>
                <c:pt idx="22">
                  <c:v>44.89</c:v>
                </c:pt>
                <c:pt idx="23">
                  <c:v>45</c:v>
                </c:pt>
                <c:pt idx="24">
                  <c:v>45.13</c:v>
                </c:pt>
                <c:pt idx="25">
                  <c:v>45.2</c:v>
                </c:pt>
                <c:pt idx="26">
                  <c:v>45.35</c:v>
                </c:pt>
                <c:pt idx="27">
                  <c:v>45.4</c:v>
                </c:pt>
                <c:pt idx="28">
                  <c:v>45.51</c:v>
                </c:pt>
                <c:pt idx="29">
                  <c:v>45.58</c:v>
                </c:pt>
                <c:pt idx="30">
                  <c:v>45.68</c:v>
                </c:pt>
                <c:pt idx="31">
                  <c:v>45.8</c:v>
                </c:pt>
                <c:pt idx="32">
                  <c:v>45.87</c:v>
                </c:pt>
                <c:pt idx="33">
                  <c:v>45.98</c:v>
                </c:pt>
                <c:pt idx="34">
                  <c:v>46.05</c:v>
                </c:pt>
                <c:pt idx="35">
                  <c:v>46.08</c:v>
                </c:pt>
                <c:pt idx="36">
                  <c:v>46.23</c:v>
                </c:pt>
                <c:pt idx="37">
                  <c:v>46.27</c:v>
                </c:pt>
                <c:pt idx="38">
                  <c:v>46.36</c:v>
                </c:pt>
                <c:pt idx="39">
                  <c:v>46.45</c:v>
                </c:pt>
                <c:pt idx="40">
                  <c:v>46.53</c:v>
                </c:pt>
                <c:pt idx="41">
                  <c:v>46.53</c:v>
                </c:pt>
                <c:pt idx="42">
                  <c:v>46.71</c:v>
                </c:pt>
                <c:pt idx="43">
                  <c:v>46.77</c:v>
                </c:pt>
                <c:pt idx="44">
                  <c:v>46.83</c:v>
                </c:pt>
                <c:pt idx="45">
                  <c:v>46.91</c:v>
                </c:pt>
                <c:pt idx="46">
                  <c:v>46.99</c:v>
                </c:pt>
                <c:pt idx="47">
                  <c:v>47.04</c:v>
                </c:pt>
                <c:pt idx="48">
                  <c:v>47.09</c:v>
                </c:pt>
                <c:pt idx="49">
                  <c:v>47.16</c:v>
                </c:pt>
                <c:pt idx="50">
                  <c:v>47.26</c:v>
                </c:pt>
                <c:pt idx="51">
                  <c:v>47.34</c:v>
                </c:pt>
                <c:pt idx="52">
                  <c:v>47.39</c:v>
                </c:pt>
                <c:pt idx="53">
                  <c:v>47.47</c:v>
                </c:pt>
                <c:pt idx="54">
                  <c:v>47.7</c:v>
                </c:pt>
                <c:pt idx="55">
                  <c:v>48.7</c:v>
                </c:pt>
                <c:pt idx="56">
                  <c:v>50.25</c:v>
                </c:pt>
                <c:pt idx="57">
                  <c:v>51.93</c:v>
                </c:pt>
                <c:pt idx="58">
                  <c:v>53.6</c:v>
                </c:pt>
                <c:pt idx="59">
                  <c:v>55.19</c:v>
                </c:pt>
                <c:pt idx="60">
                  <c:v>56.54</c:v>
                </c:pt>
                <c:pt idx="61">
                  <c:v>57.8</c:v>
                </c:pt>
                <c:pt idx="62">
                  <c:v>58.69</c:v>
                </c:pt>
                <c:pt idx="63">
                  <c:v>59.52</c:v>
                </c:pt>
                <c:pt idx="64">
                  <c:v>60.05</c:v>
                </c:pt>
                <c:pt idx="65">
                  <c:v>60.59</c:v>
                </c:pt>
                <c:pt idx="66">
                  <c:v>60.94</c:v>
                </c:pt>
                <c:pt idx="67">
                  <c:v>61.18</c:v>
                </c:pt>
                <c:pt idx="68">
                  <c:v>61.4</c:v>
                </c:pt>
                <c:pt idx="69">
                  <c:v>61.72</c:v>
                </c:pt>
                <c:pt idx="70">
                  <c:v>61.92</c:v>
                </c:pt>
                <c:pt idx="71">
                  <c:v>62.17</c:v>
                </c:pt>
                <c:pt idx="72">
                  <c:v>62.4</c:v>
                </c:pt>
                <c:pt idx="73">
                  <c:v>62.65</c:v>
                </c:pt>
                <c:pt idx="74">
                  <c:v>62.94</c:v>
                </c:pt>
                <c:pt idx="75">
                  <c:v>63.17</c:v>
                </c:pt>
                <c:pt idx="76">
                  <c:v>63.45</c:v>
                </c:pt>
                <c:pt idx="77">
                  <c:v>63.69</c:v>
                </c:pt>
                <c:pt idx="78">
                  <c:v>63.96</c:v>
                </c:pt>
                <c:pt idx="79">
                  <c:v>64.19</c:v>
                </c:pt>
                <c:pt idx="80">
                  <c:v>64.5</c:v>
                </c:pt>
                <c:pt idx="81">
                  <c:v>64.83</c:v>
                </c:pt>
                <c:pt idx="82">
                  <c:v>65.150000000000006</c:v>
                </c:pt>
                <c:pt idx="83">
                  <c:v>65.459999999999994</c:v>
                </c:pt>
                <c:pt idx="84">
                  <c:v>65.739999999999995</c:v>
                </c:pt>
                <c:pt idx="85">
                  <c:v>66.06</c:v>
                </c:pt>
                <c:pt idx="86">
                  <c:v>66.38</c:v>
                </c:pt>
                <c:pt idx="87">
                  <c:v>66.7</c:v>
                </c:pt>
                <c:pt idx="88">
                  <c:v>67.05</c:v>
                </c:pt>
                <c:pt idx="89">
                  <c:v>67.38</c:v>
                </c:pt>
                <c:pt idx="90">
                  <c:v>67.739999999999995</c:v>
                </c:pt>
                <c:pt idx="91">
                  <c:v>68.03</c:v>
                </c:pt>
                <c:pt idx="92">
                  <c:v>68.33</c:v>
                </c:pt>
                <c:pt idx="93">
                  <c:v>68.66</c:v>
                </c:pt>
                <c:pt idx="94">
                  <c:v>69.010000000000005</c:v>
                </c:pt>
                <c:pt idx="95">
                  <c:v>69.36</c:v>
                </c:pt>
                <c:pt idx="96">
                  <c:v>69.67</c:v>
                </c:pt>
                <c:pt idx="97">
                  <c:v>70.03</c:v>
                </c:pt>
                <c:pt idx="98">
                  <c:v>70.33</c:v>
                </c:pt>
                <c:pt idx="99">
                  <c:v>70.62</c:v>
                </c:pt>
                <c:pt idx="100">
                  <c:v>70.98</c:v>
                </c:pt>
                <c:pt idx="101">
                  <c:v>71.290000000000006</c:v>
                </c:pt>
                <c:pt idx="102">
                  <c:v>71.62</c:v>
                </c:pt>
                <c:pt idx="103">
                  <c:v>71.989999999999995</c:v>
                </c:pt>
                <c:pt idx="104">
                  <c:v>72.37</c:v>
                </c:pt>
                <c:pt idx="105">
                  <c:v>72.69</c:v>
                </c:pt>
                <c:pt idx="106">
                  <c:v>73</c:v>
                </c:pt>
                <c:pt idx="107">
                  <c:v>73.319999999999993</c:v>
                </c:pt>
                <c:pt idx="108">
                  <c:v>73.650000000000006</c:v>
                </c:pt>
                <c:pt idx="109">
                  <c:v>74.040000000000006</c:v>
                </c:pt>
                <c:pt idx="110">
                  <c:v>74.39</c:v>
                </c:pt>
                <c:pt idx="111">
                  <c:v>74.680000000000007</c:v>
                </c:pt>
                <c:pt idx="112">
                  <c:v>75.069999999999993</c:v>
                </c:pt>
                <c:pt idx="113">
                  <c:v>75.44</c:v>
                </c:pt>
                <c:pt idx="114">
                  <c:v>75.78</c:v>
                </c:pt>
                <c:pt idx="115">
                  <c:v>76.08</c:v>
                </c:pt>
                <c:pt idx="116">
                  <c:v>76.41</c:v>
                </c:pt>
                <c:pt idx="117">
                  <c:v>76.849999999999994</c:v>
                </c:pt>
                <c:pt idx="118">
                  <c:v>77.14</c:v>
                </c:pt>
                <c:pt idx="119">
                  <c:v>77.39</c:v>
                </c:pt>
                <c:pt idx="120">
                  <c:v>77.84</c:v>
                </c:pt>
                <c:pt idx="121">
                  <c:v>78.11</c:v>
                </c:pt>
                <c:pt idx="122">
                  <c:v>78.489999999999995</c:v>
                </c:pt>
                <c:pt idx="123">
                  <c:v>78.78</c:v>
                </c:pt>
                <c:pt idx="124">
                  <c:v>79.05</c:v>
                </c:pt>
                <c:pt idx="125">
                  <c:v>79.430000000000007</c:v>
                </c:pt>
                <c:pt idx="126">
                  <c:v>79.78</c:v>
                </c:pt>
                <c:pt idx="127">
                  <c:v>80.05</c:v>
                </c:pt>
                <c:pt idx="128">
                  <c:v>80.42</c:v>
                </c:pt>
                <c:pt idx="129">
                  <c:v>80.77</c:v>
                </c:pt>
                <c:pt idx="130">
                  <c:v>81.09</c:v>
                </c:pt>
                <c:pt idx="131">
                  <c:v>81.45</c:v>
                </c:pt>
                <c:pt idx="132">
                  <c:v>81.83</c:v>
                </c:pt>
                <c:pt idx="133">
                  <c:v>82.21</c:v>
                </c:pt>
                <c:pt idx="134">
                  <c:v>82.5</c:v>
                </c:pt>
                <c:pt idx="135">
                  <c:v>82.82</c:v>
                </c:pt>
                <c:pt idx="136">
                  <c:v>82.89</c:v>
                </c:pt>
                <c:pt idx="137">
                  <c:v>82.83</c:v>
                </c:pt>
                <c:pt idx="138">
                  <c:v>82.63</c:v>
                </c:pt>
                <c:pt idx="139">
                  <c:v>82.39</c:v>
                </c:pt>
                <c:pt idx="140">
                  <c:v>82.19</c:v>
                </c:pt>
                <c:pt idx="141">
                  <c:v>82.02</c:v>
                </c:pt>
                <c:pt idx="142">
                  <c:v>81.81</c:v>
                </c:pt>
                <c:pt idx="143">
                  <c:v>81.69</c:v>
                </c:pt>
                <c:pt idx="144">
                  <c:v>81.56</c:v>
                </c:pt>
                <c:pt idx="145">
                  <c:v>81.44</c:v>
                </c:pt>
                <c:pt idx="146">
                  <c:v>81.34</c:v>
                </c:pt>
                <c:pt idx="147">
                  <c:v>81.31</c:v>
                </c:pt>
                <c:pt idx="148">
                  <c:v>81.23</c:v>
                </c:pt>
                <c:pt idx="149">
                  <c:v>81.17</c:v>
                </c:pt>
                <c:pt idx="150">
                  <c:v>81.17</c:v>
                </c:pt>
                <c:pt idx="151">
                  <c:v>81.180000000000007</c:v>
                </c:pt>
                <c:pt idx="152">
                  <c:v>81.19</c:v>
                </c:pt>
                <c:pt idx="153">
                  <c:v>81.13</c:v>
                </c:pt>
                <c:pt idx="154">
                  <c:v>81.12</c:v>
                </c:pt>
                <c:pt idx="155">
                  <c:v>81.05</c:v>
                </c:pt>
                <c:pt idx="156">
                  <c:v>81.069999999999993</c:v>
                </c:pt>
                <c:pt idx="157">
                  <c:v>81.08</c:v>
                </c:pt>
                <c:pt idx="158">
                  <c:v>81.069999999999993</c:v>
                </c:pt>
                <c:pt idx="159">
                  <c:v>80.98</c:v>
                </c:pt>
                <c:pt idx="160">
                  <c:v>81.08</c:v>
                </c:pt>
                <c:pt idx="161">
                  <c:v>81.11</c:v>
                </c:pt>
                <c:pt idx="162">
                  <c:v>81.09</c:v>
                </c:pt>
                <c:pt idx="163">
                  <c:v>81.05</c:v>
                </c:pt>
                <c:pt idx="164">
                  <c:v>81.040000000000006</c:v>
                </c:pt>
                <c:pt idx="165">
                  <c:v>81.06</c:v>
                </c:pt>
                <c:pt idx="166">
                  <c:v>81.03</c:v>
                </c:pt>
                <c:pt idx="167">
                  <c:v>81.09</c:v>
                </c:pt>
                <c:pt idx="168">
                  <c:v>81.05</c:v>
                </c:pt>
                <c:pt idx="169">
                  <c:v>81.02</c:v>
                </c:pt>
                <c:pt idx="170">
                  <c:v>81.05</c:v>
                </c:pt>
                <c:pt idx="171">
                  <c:v>81.010000000000005</c:v>
                </c:pt>
                <c:pt idx="172">
                  <c:v>81</c:v>
                </c:pt>
                <c:pt idx="173">
                  <c:v>81.03</c:v>
                </c:pt>
                <c:pt idx="174">
                  <c:v>81.040000000000006</c:v>
                </c:pt>
                <c:pt idx="175">
                  <c:v>81.03</c:v>
                </c:pt>
                <c:pt idx="176">
                  <c:v>80.98</c:v>
                </c:pt>
                <c:pt idx="177">
                  <c:v>81.010000000000005</c:v>
                </c:pt>
                <c:pt idx="178">
                  <c:v>81</c:v>
                </c:pt>
                <c:pt idx="179">
                  <c:v>81.290000000000006</c:v>
                </c:pt>
              </c:numCache>
            </c:numRef>
          </c:val>
          <c:smooth val="0"/>
          <c:extLst>
            <c:ext xmlns:c16="http://schemas.microsoft.com/office/drawing/2014/chart" uri="{C3380CC4-5D6E-409C-BE32-E72D297353CC}">
              <c16:uniqueId val="{00000003-F3A7-4533-956A-A326472CF84D}"/>
            </c:ext>
          </c:extLst>
        </c:ser>
        <c:ser>
          <c:idx val="4"/>
          <c:order val="4"/>
          <c:tx>
            <c:strRef>
              <c:f>'transfert 80'!$J$1</c:f>
              <c:strCache>
                <c:ptCount val="1"/>
                <c:pt idx="0">
                  <c:v>Connecteur 9</c:v>
                </c:pt>
              </c:strCache>
            </c:strRef>
          </c:tx>
          <c:marker>
            <c:symbol val="none"/>
          </c:marker>
          <c:cat>
            <c:multiLvlStrRef>
              <c:f>'transfert 80'!$A$2:$E$181</c:f>
              <c:multiLvlStrCache>
                <c:ptCount val="180"/>
                <c:lvl>
                  <c:pt idx="0">
                    <c:v>41,79</c:v>
                  </c:pt>
                  <c:pt idx="1">
                    <c:v>11/02/1900 00:43</c:v>
                  </c:pt>
                  <c:pt idx="2">
                    <c:v>11/02/1900 04:04</c:v>
                  </c:pt>
                  <c:pt idx="3">
                    <c:v>11/02/1900 09:50</c:v>
                  </c:pt>
                  <c:pt idx="4">
                    <c:v>11/02/1900 13:55</c:v>
                  </c:pt>
                  <c:pt idx="5">
                    <c:v>11/02/1900 18:28</c:v>
                  </c:pt>
                  <c:pt idx="6">
                    <c:v>11/02/1900 20:52</c:v>
                  </c:pt>
                  <c:pt idx="7">
                    <c:v>12/02/1900 00:28</c:v>
                  </c:pt>
                  <c:pt idx="8">
                    <c:v>12/02/1900 03:36</c:v>
                  </c:pt>
                  <c:pt idx="9">
                    <c:v>12/02/1900 07:26</c:v>
                  </c:pt>
                  <c:pt idx="10">
                    <c:v>12/02/1900 10:33</c:v>
                  </c:pt>
                  <c:pt idx="11">
                    <c:v>12/02/1900 13:26</c:v>
                  </c:pt>
                  <c:pt idx="12">
                    <c:v>12/02/1900 17:02</c:v>
                  </c:pt>
                  <c:pt idx="13">
                    <c:v>12/02/1900 18:28</c:v>
                  </c:pt>
                  <c:pt idx="14">
                    <c:v>12/02/1900 23:02</c:v>
                  </c:pt>
                  <c:pt idx="15">
                    <c:v>13/02/1900 00:43</c:v>
                  </c:pt>
                  <c:pt idx="16">
                    <c:v>13/02/1900 03:36</c:v>
                  </c:pt>
                  <c:pt idx="17">
                    <c:v>13/02/1900 05:31</c:v>
                  </c:pt>
                  <c:pt idx="18">
                    <c:v>13/02/1900 08:52</c:v>
                  </c:pt>
                  <c:pt idx="19">
                    <c:v>13/02/1900 12:28</c:v>
                  </c:pt>
                  <c:pt idx="20">
                    <c:v>13/02/1900 13:40</c:v>
                  </c:pt>
                  <c:pt idx="21">
                    <c:v>13/02/1900 16:48</c:v>
                  </c:pt>
                  <c:pt idx="22">
                    <c:v>13/02/1900 19:55</c:v>
                  </c:pt>
                  <c:pt idx="23">
                    <c:v>13/02/1900 22:19</c:v>
                  </c:pt>
                  <c:pt idx="24">
                    <c:v>14/02/1900 00:28</c:v>
                  </c:pt>
                  <c:pt idx="25">
                    <c:v>14/02/1900 02:52</c:v>
                  </c:pt>
                  <c:pt idx="26">
                    <c:v>14/02/1900 06:00</c:v>
                  </c:pt>
                  <c:pt idx="27">
                    <c:v>14/02/1900 07:55</c:v>
                  </c:pt>
                  <c:pt idx="28">
                    <c:v>14/02/1900 08:52</c:v>
                  </c:pt>
                  <c:pt idx="29">
                    <c:v>14/02/1900 12:43</c:v>
                  </c:pt>
                  <c:pt idx="30">
                    <c:v>14/02/1900 13:55</c:v>
                  </c:pt>
                  <c:pt idx="31">
                    <c:v>14/02/1900 16:19</c:v>
                  </c:pt>
                  <c:pt idx="32">
                    <c:v>14/02/1900 18:43</c:v>
                  </c:pt>
                  <c:pt idx="33">
                    <c:v>14/02/1900 21:36</c:v>
                  </c:pt>
                  <c:pt idx="34">
                    <c:v>14/02/1900 23:16</c:v>
                  </c:pt>
                  <c:pt idx="35">
                    <c:v>15/02/1900 01:40</c:v>
                  </c:pt>
                  <c:pt idx="36">
                    <c:v>15/02/1900 02:24</c:v>
                  </c:pt>
                  <c:pt idx="37">
                    <c:v>15/02/1900 04:19</c:v>
                  </c:pt>
                  <c:pt idx="38">
                    <c:v>15/02/1900 07:26</c:v>
                  </c:pt>
                  <c:pt idx="39">
                    <c:v>15/02/1900 09:50</c:v>
                  </c:pt>
                  <c:pt idx="40">
                    <c:v>15/02/1900 11:31</c:v>
                  </c:pt>
                  <c:pt idx="41">
                    <c:v>15/02/1900 13:55</c:v>
                  </c:pt>
                  <c:pt idx="42">
                    <c:v>15/02/1900 14:38</c:v>
                  </c:pt>
                  <c:pt idx="43">
                    <c:v>15/02/1900 16:04</c:v>
                  </c:pt>
                  <c:pt idx="44">
                    <c:v>15/02/1900 17:45</c:v>
                  </c:pt>
                  <c:pt idx="45">
                    <c:v>15/02/1900 20:24</c:v>
                  </c:pt>
                  <c:pt idx="46">
                    <c:v>15/02/1900 21:07</c:v>
                  </c:pt>
                  <c:pt idx="47">
                    <c:v>15/02/1900 23:45</c:v>
                  </c:pt>
                  <c:pt idx="48">
                    <c:v>16/02/1900 01:55</c:v>
                  </c:pt>
                  <c:pt idx="49">
                    <c:v>16/02/1900 04:19</c:v>
                  </c:pt>
                  <c:pt idx="50">
                    <c:v>16/02/1900 04:19</c:v>
                  </c:pt>
                  <c:pt idx="51">
                    <c:v>16/02/1900 05:31</c:v>
                  </c:pt>
                  <c:pt idx="52">
                    <c:v>16/02/1900 08:24</c:v>
                  </c:pt>
                  <c:pt idx="53">
                    <c:v>16/02/1900 09:50</c:v>
                  </c:pt>
                  <c:pt idx="54">
                    <c:v>16/02/1900 13:55</c:v>
                  </c:pt>
                  <c:pt idx="55">
                    <c:v>17/02/1900 09:36</c:v>
                  </c:pt>
                  <c:pt idx="56">
                    <c:v>18/02/1900 19:26</c:v>
                  </c:pt>
                  <c:pt idx="57">
                    <c:v>20/02/1900 10:19</c:v>
                  </c:pt>
                  <c:pt idx="58">
                    <c:v>21/02/1900 23:02</c:v>
                  </c:pt>
                  <c:pt idx="59">
                    <c:v>23/02/1900 12:00</c:v>
                  </c:pt>
                  <c:pt idx="60">
                    <c:v>24/02/1900 21:21</c:v>
                  </c:pt>
                  <c:pt idx="61">
                    <c:v>25/02/1900 23:31</c:v>
                  </c:pt>
                  <c:pt idx="62">
                    <c:v>26/02/1900 21:21</c:v>
                  </c:pt>
                  <c:pt idx="63">
                    <c:v>27/02/1900 18:00</c:v>
                  </c:pt>
                  <c:pt idx="64">
                    <c:v>28/02/1900 07:12</c:v>
                  </c:pt>
                  <c:pt idx="65">
                    <c:v>28/02/1900 18:57</c:v>
                  </c:pt>
                  <c:pt idx="66">
                    <c:v>29/02/1900 03:36</c:v>
                  </c:pt>
                  <c:pt idx="67">
                    <c:v>29/02/1900 11:31</c:v>
                  </c:pt>
                  <c:pt idx="68">
                    <c:v>29/02/1900 18:28</c:v>
                  </c:pt>
                  <c:pt idx="69">
                    <c:v>01/03/1900 01:26</c:v>
                  </c:pt>
                  <c:pt idx="70">
                    <c:v>01/03/1900 06:43</c:v>
                  </c:pt>
                  <c:pt idx="71">
                    <c:v>01/03/1900 14:24</c:v>
                  </c:pt>
                  <c:pt idx="72">
                    <c:v>01/03/1900 19:26</c:v>
                  </c:pt>
                  <c:pt idx="73">
                    <c:v>02/03/1900 02:38</c:v>
                  </c:pt>
                  <c:pt idx="74">
                    <c:v>02/03/1900 09:50</c:v>
                  </c:pt>
                  <c:pt idx="75">
                    <c:v>02/03/1900 17:02</c:v>
                  </c:pt>
                  <c:pt idx="76">
                    <c:v>02/03/1900 22:04</c:v>
                  </c:pt>
                  <c:pt idx="77">
                    <c:v>03/03/1900 05:02</c:v>
                  </c:pt>
                  <c:pt idx="78">
                    <c:v>03/03/1900 11:02</c:v>
                  </c:pt>
                  <c:pt idx="79">
                    <c:v>03/03/1900 19:12</c:v>
                  </c:pt>
                  <c:pt idx="80">
                    <c:v>04/03/1900 01:26</c:v>
                  </c:pt>
                  <c:pt idx="81">
                    <c:v>04/03/1900 08:09</c:v>
                  </c:pt>
                  <c:pt idx="82">
                    <c:v>04/03/1900 16:33</c:v>
                  </c:pt>
                  <c:pt idx="83">
                    <c:v>05/03/1900 00:14</c:v>
                  </c:pt>
                  <c:pt idx="84">
                    <c:v>05/03/1900 07:26</c:v>
                  </c:pt>
                  <c:pt idx="85">
                    <c:v>05/03/1900 14:24</c:v>
                  </c:pt>
                  <c:pt idx="86">
                    <c:v>05/03/1900 22:33</c:v>
                  </c:pt>
                  <c:pt idx="87">
                    <c:v>06/03/1900 07:12</c:v>
                  </c:pt>
                  <c:pt idx="88">
                    <c:v>06/03/1900 15:21</c:v>
                  </c:pt>
                  <c:pt idx="89">
                    <c:v>06/03/1900 22:33</c:v>
                  </c:pt>
                  <c:pt idx="90">
                    <c:v>07/03/1900 06:14</c:v>
                  </c:pt>
                  <c:pt idx="91">
                    <c:v>07/03/1900 14:24</c:v>
                  </c:pt>
                  <c:pt idx="92">
                    <c:v>07/03/1900 22:04</c:v>
                  </c:pt>
                  <c:pt idx="93">
                    <c:v>08/03/1900 05:16</c:v>
                  </c:pt>
                  <c:pt idx="94">
                    <c:v>08/03/1900 13:26</c:v>
                  </c:pt>
                  <c:pt idx="95">
                    <c:v>08/03/1900 21:21</c:v>
                  </c:pt>
                  <c:pt idx="96">
                    <c:v>09/03/1900 05:16</c:v>
                  </c:pt>
                  <c:pt idx="97">
                    <c:v>09/03/1900 12:28</c:v>
                  </c:pt>
                  <c:pt idx="98">
                    <c:v>09/03/1900 20:24</c:v>
                  </c:pt>
                  <c:pt idx="99">
                    <c:v>10/03/1900 04:04</c:v>
                  </c:pt>
                  <c:pt idx="100">
                    <c:v>10/03/1900 12:57</c:v>
                  </c:pt>
                  <c:pt idx="101">
                    <c:v>10/03/1900 20:38</c:v>
                  </c:pt>
                  <c:pt idx="102">
                    <c:v>11/03/1900 04:33</c:v>
                  </c:pt>
                  <c:pt idx="103">
                    <c:v>11/03/1900 12:00</c:v>
                  </c:pt>
                  <c:pt idx="104">
                    <c:v>11/03/1900 21:07</c:v>
                  </c:pt>
                  <c:pt idx="105">
                    <c:v>12/03/1900 04:48</c:v>
                  </c:pt>
                  <c:pt idx="106">
                    <c:v>12/03/1900 12:57</c:v>
                  </c:pt>
                  <c:pt idx="107">
                    <c:v>12/03/1900 20:24</c:v>
                  </c:pt>
                  <c:pt idx="108">
                    <c:v>13/03/1900 06:00</c:v>
                  </c:pt>
                  <c:pt idx="109">
                    <c:v>13/03/1900 13:40</c:v>
                  </c:pt>
                  <c:pt idx="110">
                    <c:v>13/03/1900 21:36</c:v>
                  </c:pt>
                  <c:pt idx="111">
                    <c:v>14/03/1900 04:48</c:v>
                  </c:pt>
                  <c:pt idx="112">
                    <c:v>14/03/1900 13:55</c:v>
                  </c:pt>
                  <c:pt idx="113">
                    <c:v>14/03/1900 22:33</c:v>
                  </c:pt>
                  <c:pt idx="114">
                    <c:v>15/03/1900 06:57</c:v>
                  </c:pt>
                  <c:pt idx="115">
                    <c:v>15/03/1900 13:40</c:v>
                  </c:pt>
                  <c:pt idx="116">
                    <c:v>15/03/1900 23:16</c:v>
                  </c:pt>
                  <c:pt idx="117">
                    <c:v>16/03/1900 07:12</c:v>
                  </c:pt>
                  <c:pt idx="118">
                    <c:v>16/03/1900 14:38</c:v>
                  </c:pt>
                  <c:pt idx="119">
                    <c:v>16/03/1900 22:04</c:v>
                  </c:pt>
                  <c:pt idx="120">
                    <c:v>17/03/1900 06:28</c:v>
                  </c:pt>
                  <c:pt idx="121">
                    <c:v>17/03/1900 15:21</c:v>
                  </c:pt>
                  <c:pt idx="122">
                    <c:v>17/03/1900 23:16</c:v>
                  </c:pt>
                  <c:pt idx="123">
                    <c:v>18/03/1900 06:43</c:v>
                  </c:pt>
                  <c:pt idx="124">
                    <c:v>18/03/1900 13:12</c:v>
                  </c:pt>
                  <c:pt idx="125">
                    <c:v>18/03/1900 22:19</c:v>
                  </c:pt>
                  <c:pt idx="126">
                    <c:v>19/03/1900 06:43</c:v>
                  </c:pt>
                  <c:pt idx="127">
                    <c:v>19/03/1900 14:09</c:v>
                  </c:pt>
                  <c:pt idx="128">
                    <c:v>19/03/1900 22:04</c:v>
                  </c:pt>
                  <c:pt idx="129">
                    <c:v>20/03/1900 07:40</c:v>
                  </c:pt>
                  <c:pt idx="130">
                    <c:v>20/03/1900 13:40</c:v>
                  </c:pt>
                  <c:pt idx="131">
                    <c:v>20/03/1900 21:21</c:v>
                  </c:pt>
                  <c:pt idx="132">
                    <c:v>21/03/1900 06:43</c:v>
                  </c:pt>
                  <c:pt idx="133">
                    <c:v>21/03/1900 15:50</c:v>
                  </c:pt>
                  <c:pt idx="134">
                    <c:v>21/03/1900 23:02</c:v>
                  </c:pt>
                  <c:pt idx="135">
                    <c:v>22/03/1900 07:26</c:v>
                  </c:pt>
                  <c:pt idx="136">
                    <c:v>22/03/1900 09:50</c:v>
                  </c:pt>
                  <c:pt idx="137">
                    <c:v>22/03/1900 09:36</c:v>
                  </c:pt>
                  <c:pt idx="138">
                    <c:v>22/03/1900 06:00</c:v>
                  </c:pt>
                  <c:pt idx="139">
                    <c:v>22/03/1900 02:09</c:v>
                  </c:pt>
                  <c:pt idx="140">
                    <c:v>21/03/1900 20:38</c:v>
                  </c:pt>
                  <c:pt idx="141">
                    <c:v>21/03/1900 18:14</c:v>
                  </c:pt>
                  <c:pt idx="142">
                    <c:v>21/03/1900 14:09</c:v>
                  </c:pt>
                  <c:pt idx="143">
                    <c:v>21/03/1900 09:36</c:v>
                  </c:pt>
                  <c:pt idx="144">
                    <c:v>21/03/1900 07:40</c:v>
                  </c:pt>
                  <c:pt idx="145">
                    <c:v>21/03/1900 05:16</c:v>
                  </c:pt>
                  <c:pt idx="146">
                    <c:v>21/03/1900 03:21</c:v>
                  </c:pt>
                  <c:pt idx="147">
                    <c:v>21/03/1900 02:52</c:v>
                  </c:pt>
                  <c:pt idx="148">
                    <c:v>21/03/1900 00:57</c:v>
                  </c:pt>
                  <c:pt idx="149">
                    <c:v>21/03/1900 00:00</c:v>
                  </c:pt>
                  <c:pt idx="150">
                    <c:v>20/03/1900 23:45</c:v>
                  </c:pt>
                  <c:pt idx="151">
                    <c:v>20/03/1900 23:31</c:v>
                  </c:pt>
                  <c:pt idx="152">
                    <c:v>21/03/1900 00:28</c:v>
                  </c:pt>
                  <c:pt idx="153">
                    <c:v>20/03/1900 23:45</c:v>
                  </c:pt>
                  <c:pt idx="154">
                    <c:v>20/03/1900 23:45</c:v>
                  </c:pt>
                  <c:pt idx="155">
                    <c:v>20/03/1900 22:48</c:v>
                  </c:pt>
                  <c:pt idx="156">
                    <c:v>20/03/1900 21:50</c:v>
                  </c:pt>
                  <c:pt idx="157">
                    <c:v>20/03/1900 22:33</c:v>
                  </c:pt>
                  <c:pt idx="158">
                    <c:v>20/03/1900 23:02</c:v>
                  </c:pt>
                  <c:pt idx="159">
                    <c:v>20/03/1900 21:21</c:v>
                  </c:pt>
                  <c:pt idx="160">
                    <c:v>20/03/1900 23:02</c:v>
                  </c:pt>
                  <c:pt idx="161">
                    <c:v>20/03/1900 23:45</c:v>
                  </c:pt>
                  <c:pt idx="162">
                    <c:v>20/03/1900 23:16</c:v>
                  </c:pt>
                  <c:pt idx="163">
                    <c:v>20/03/1900 22:48</c:v>
                  </c:pt>
                  <c:pt idx="164">
                    <c:v>20/03/1900 22:48</c:v>
                  </c:pt>
                  <c:pt idx="165">
                    <c:v>20/03/1900 23:02</c:v>
                  </c:pt>
                  <c:pt idx="166">
                    <c:v>20/03/1900 22:04</c:v>
                  </c:pt>
                  <c:pt idx="167">
                    <c:v>20/03/1900 21:50</c:v>
                  </c:pt>
                  <c:pt idx="168">
                    <c:v>20/03/1900 21:07</c:v>
                  </c:pt>
                  <c:pt idx="169">
                    <c:v>20/03/1900 21:21</c:v>
                  </c:pt>
                  <c:pt idx="170">
                    <c:v>20/03/1900 20:52</c:v>
                  </c:pt>
                  <c:pt idx="171">
                    <c:v>20/03/1900 21:21</c:v>
                  </c:pt>
                  <c:pt idx="172">
                    <c:v>20/03/1900 21:36</c:v>
                  </c:pt>
                  <c:pt idx="173">
                    <c:v>20/03/1900 21:07</c:v>
                  </c:pt>
                  <c:pt idx="174">
                    <c:v>20/03/1900 21:07</c:v>
                  </c:pt>
                  <c:pt idx="175">
                    <c:v>20/03/1900 21:50</c:v>
                  </c:pt>
                  <c:pt idx="176">
                    <c:v>20/03/1900 21:21</c:v>
                  </c:pt>
                  <c:pt idx="177">
                    <c:v>20/03/1900 20:52</c:v>
                  </c:pt>
                  <c:pt idx="178">
                    <c:v>20/03/1900 21:07</c:v>
                  </c:pt>
                  <c:pt idx="179">
                    <c:v>20/03/1900 23:02</c:v>
                  </c:pt>
                </c:lvl>
                <c:lvl>
                  <c:pt idx="0">
                    <c:v>41,55</c:v>
                  </c:pt>
                  <c:pt idx="1">
                    <c:v>41,84</c:v>
                  </c:pt>
                  <c:pt idx="2">
                    <c:v>42,03</c:v>
                  </c:pt>
                  <c:pt idx="3">
                    <c:v>42,21</c:v>
                  </c:pt>
                  <c:pt idx="4">
                    <c:v>42,34</c:v>
                  </c:pt>
                  <c:pt idx="5">
                    <c:v>42,56</c:v>
                  </c:pt>
                  <c:pt idx="6">
                    <c:v>42,67</c:v>
                  </c:pt>
                  <c:pt idx="7">
                    <c:v>42,78</c:v>
                  </c:pt>
                  <c:pt idx="8">
                    <c:v>42,92</c:v>
                  </c:pt>
                  <c:pt idx="9">
                    <c:v>43,09</c:v>
                  </c:pt>
                  <c:pt idx="10">
                    <c:v>43,18</c:v>
                  </c:pt>
                  <c:pt idx="11">
                    <c:v>43,35</c:v>
                  </c:pt>
                  <c:pt idx="12">
                    <c:v>43,45</c:v>
                  </c:pt>
                  <c:pt idx="13">
                    <c:v>43,57</c:v>
                  </c:pt>
                  <c:pt idx="14">
                    <c:v>43,72</c:v>
                  </c:pt>
                  <c:pt idx="15">
                    <c:v>43,81</c:v>
                  </c:pt>
                  <c:pt idx="16">
                    <c:v>43,94</c:v>
                  </c:pt>
                  <c:pt idx="17">
                    <c:v>44,02</c:v>
                  </c:pt>
                  <c:pt idx="18">
                    <c:v>44,16</c:v>
                  </c:pt>
                  <c:pt idx="19">
                    <c:v>44,26</c:v>
                  </c:pt>
                  <c:pt idx="20">
                    <c:v>44,37</c:v>
                  </c:pt>
                  <c:pt idx="21">
                    <c:v>44,49</c:v>
                  </c:pt>
                  <c:pt idx="22">
                    <c:v>44,58</c:v>
                  </c:pt>
                  <c:pt idx="23">
                    <c:v>44,7</c:v>
                  </c:pt>
                  <c:pt idx="24">
                    <c:v>44,85</c:v>
                  </c:pt>
                  <c:pt idx="25">
                    <c:v>44,89</c:v>
                  </c:pt>
                  <c:pt idx="26">
                    <c:v>45,01</c:v>
                  </c:pt>
                  <c:pt idx="27">
                    <c:v>45,12</c:v>
                  </c:pt>
                  <c:pt idx="28">
                    <c:v>45,17</c:v>
                  </c:pt>
                  <c:pt idx="29">
                    <c:v>45,3</c:v>
                  </c:pt>
                  <c:pt idx="30">
                    <c:v>45,34</c:v>
                  </c:pt>
                  <c:pt idx="31">
                    <c:v>45,46</c:v>
                  </c:pt>
                  <c:pt idx="32">
                    <c:v>45,58</c:v>
                  </c:pt>
                  <c:pt idx="33">
                    <c:v>45,7</c:v>
                  </c:pt>
                  <c:pt idx="34">
                    <c:v>45,76</c:v>
                  </c:pt>
                  <c:pt idx="35">
                    <c:v>45,88</c:v>
                  </c:pt>
                  <c:pt idx="36">
                    <c:v>45,92</c:v>
                  </c:pt>
                  <c:pt idx="37">
                    <c:v>46</c:v>
                  </c:pt>
                  <c:pt idx="38">
                    <c:v>46,11</c:v>
                  </c:pt>
                  <c:pt idx="39">
                    <c:v>46,21</c:v>
                  </c:pt>
                  <c:pt idx="40">
                    <c:v>46,27</c:v>
                  </c:pt>
                  <c:pt idx="41">
                    <c:v>46,37</c:v>
                  </c:pt>
                  <c:pt idx="42">
                    <c:v>46,41</c:v>
                  </c:pt>
                  <c:pt idx="43">
                    <c:v>46,5</c:v>
                  </c:pt>
                  <c:pt idx="44">
                    <c:v>46,59</c:v>
                  </c:pt>
                  <c:pt idx="45">
                    <c:v>46,68</c:v>
                  </c:pt>
                  <c:pt idx="46">
                    <c:v>46,74</c:v>
                  </c:pt>
                  <c:pt idx="47">
                    <c:v>46,83</c:v>
                  </c:pt>
                  <c:pt idx="48">
                    <c:v>46,88</c:v>
                  </c:pt>
                  <c:pt idx="49">
                    <c:v>47</c:v>
                  </c:pt>
                  <c:pt idx="50">
                    <c:v>47,05</c:v>
                  </c:pt>
                  <c:pt idx="51">
                    <c:v>47,16</c:v>
                  </c:pt>
                  <c:pt idx="52">
                    <c:v>47,2</c:v>
                  </c:pt>
                  <c:pt idx="53">
                    <c:v>47,23</c:v>
                  </c:pt>
                  <c:pt idx="54">
                    <c:v>47,4</c:v>
                  </c:pt>
                  <c:pt idx="55">
                    <c:v>48,07</c:v>
                  </c:pt>
                  <c:pt idx="56">
                    <c:v>49,21</c:v>
                  </c:pt>
                  <c:pt idx="57">
                    <c:v>50,53</c:v>
                  </c:pt>
                  <c:pt idx="58">
                    <c:v>51,9</c:v>
                  </c:pt>
                  <c:pt idx="59">
                    <c:v>53,18</c:v>
                  </c:pt>
                  <c:pt idx="60">
                    <c:v>54,46</c:v>
                  </c:pt>
                  <c:pt idx="61">
                    <c:v>55,5</c:v>
                  </c:pt>
                  <c:pt idx="62">
                    <c:v>56,38</c:v>
                  </c:pt>
                  <c:pt idx="63">
                    <c:v>57,15</c:v>
                  </c:pt>
                  <c:pt idx="64">
                    <c:v>57,79</c:v>
                  </c:pt>
                  <c:pt idx="65">
                    <c:v>58,23</c:v>
                  </c:pt>
                  <c:pt idx="66">
                    <c:v>58,72</c:v>
                  </c:pt>
                  <c:pt idx="67">
                    <c:v>59,09</c:v>
                  </c:pt>
                  <c:pt idx="68">
                    <c:v>59,46</c:v>
                  </c:pt>
                  <c:pt idx="69">
                    <c:v>59,79</c:v>
                  </c:pt>
                  <c:pt idx="70">
                    <c:v>60,13</c:v>
                  </c:pt>
                  <c:pt idx="71">
                    <c:v>60,45</c:v>
                  </c:pt>
                  <c:pt idx="72">
                    <c:v>60,7</c:v>
                  </c:pt>
                  <c:pt idx="73">
                    <c:v>61,04</c:v>
                  </c:pt>
                  <c:pt idx="74">
                    <c:v>61,33</c:v>
                  </c:pt>
                  <c:pt idx="75">
                    <c:v>61,65</c:v>
                  </c:pt>
                  <c:pt idx="76">
                    <c:v>61,94</c:v>
                  </c:pt>
                  <c:pt idx="77">
                    <c:v>62,24</c:v>
                  </c:pt>
                  <c:pt idx="78">
                    <c:v>62,52</c:v>
                  </c:pt>
                  <c:pt idx="79">
                    <c:v>62,86</c:v>
                  </c:pt>
                  <c:pt idx="80">
                    <c:v>63,19</c:v>
                  </c:pt>
                  <c:pt idx="81">
                    <c:v>63,47</c:v>
                  </c:pt>
                  <c:pt idx="82">
                    <c:v>63,81</c:v>
                  </c:pt>
                  <c:pt idx="83">
                    <c:v>64,11</c:v>
                  </c:pt>
                  <c:pt idx="84">
                    <c:v>64,46</c:v>
                  </c:pt>
                  <c:pt idx="85">
                    <c:v>64,8</c:v>
                  </c:pt>
                  <c:pt idx="86">
                    <c:v>65,12</c:v>
                  </c:pt>
                  <c:pt idx="87">
                    <c:v>65,43</c:v>
                  </c:pt>
                  <c:pt idx="88">
                    <c:v>65,76</c:v>
                  </c:pt>
                  <c:pt idx="89">
                    <c:v>66,13</c:v>
                  </c:pt>
                  <c:pt idx="90">
                    <c:v>66,44</c:v>
                  </c:pt>
                  <c:pt idx="91">
                    <c:v>66,77</c:v>
                  </c:pt>
                  <c:pt idx="92">
                    <c:v>67,11</c:v>
                  </c:pt>
                  <c:pt idx="93">
                    <c:v>67,41</c:v>
                  </c:pt>
                  <c:pt idx="94">
                    <c:v>67,74</c:v>
                  </c:pt>
                  <c:pt idx="95">
                    <c:v>68,1</c:v>
                  </c:pt>
                  <c:pt idx="96">
                    <c:v>68,4</c:v>
                  </c:pt>
                  <c:pt idx="97">
                    <c:v>68,72</c:v>
                  </c:pt>
                  <c:pt idx="98">
                    <c:v>69,07</c:v>
                  </c:pt>
                  <c:pt idx="99">
                    <c:v>69,38</c:v>
                  </c:pt>
                  <c:pt idx="100">
                    <c:v>69,75</c:v>
                  </c:pt>
                  <c:pt idx="101">
                    <c:v>70,04</c:v>
                  </c:pt>
                  <c:pt idx="102">
                    <c:v>70,38</c:v>
                  </c:pt>
                  <c:pt idx="103">
                    <c:v>70,71</c:v>
                  </c:pt>
                  <c:pt idx="104">
                    <c:v>71,03</c:v>
                  </c:pt>
                  <c:pt idx="105">
                    <c:v>71,46</c:v>
                  </c:pt>
                  <c:pt idx="106">
                    <c:v>71,73</c:v>
                  </c:pt>
                  <c:pt idx="107">
                    <c:v>72,05</c:v>
                  </c:pt>
                  <c:pt idx="108">
                    <c:v>72,36</c:v>
                  </c:pt>
                  <c:pt idx="109">
                    <c:v>72,74</c:v>
                  </c:pt>
                  <c:pt idx="110">
                    <c:v>73,05</c:v>
                  </c:pt>
                  <c:pt idx="111">
                    <c:v>73,39</c:v>
                  </c:pt>
                  <c:pt idx="112">
                    <c:v>73,75</c:v>
                  </c:pt>
                  <c:pt idx="113">
                    <c:v>74,09</c:v>
                  </c:pt>
                  <c:pt idx="114">
                    <c:v>74,38</c:v>
                  </c:pt>
                  <c:pt idx="115">
                    <c:v>74,77</c:v>
                  </c:pt>
                  <c:pt idx="116">
                    <c:v>75,12</c:v>
                  </c:pt>
                  <c:pt idx="117">
                    <c:v>75,49</c:v>
                  </c:pt>
                  <c:pt idx="118">
                    <c:v>75,8</c:v>
                  </c:pt>
                  <c:pt idx="119">
                    <c:v>76,1</c:v>
                  </c:pt>
                  <c:pt idx="120">
                    <c:v>76,49</c:v>
                  </c:pt>
                  <c:pt idx="121">
                    <c:v>76,78</c:v>
                  </c:pt>
                  <c:pt idx="122">
                    <c:v>77,13</c:v>
                  </c:pt>
                  <c:pt idx="123">
                    <c:v>77,42</c:v>
                  </c:pt>
                  <c:pt idx="124">
                    <c:v>77,74</c:v>
                  </c:pt>
                  <c:pt idx="125">
                    <c:v>78,07</c:v>
                  </c:pt>
                  <c:pt idx="126">
                    <c:v>78,42</c:v>
                  </c:pt>
                  <c:pt idx="127">
                    <c:v>78,77</c:v>
                  </c:pt>
                  <c:pt idx="128">
                    <c:v>79,1</c:v>
                  </c:pt>
                  <c:pt idx="129">
                    <c:v>79,43</c:v>
                  </c:pt>
                  <c:pt idx="130">
                    <c:v>79,73</c:v>
                  </c:pt>
                  <c:pt idx="131">
                    <c:v>80,07</c:v>
                  </c:pt>
                  <c:pt idx="132">
                    <c:v>80,42</c:v>
                  </c:pt>
                  <c:pt idx="133">
                    <c:v>80,8</c:v>
                  </c:pt>
                  <c:pt idx="134">
                    <c:v>81,1</c:v>
                  </c:pt>
                  <c:pt idx="135">
                    <c:v>81,5</c:v>
                  </c:pt>
                  <c:pt idx="136">
                    <c:v>81,65</c:v>
                  </c:pt>
                  <c:pt idx="137">
                    <c:v>81,65</c:v>
                  </c:pt>
                  <c:pt idx="138">
                    <c:v>81,63</c:v>
                  </c:pt>
                  <c:pt idx="139">
                    <c:v>81,54</c:v>
                  </c:pt>
                  <c:pt idx="140">
                    <c:v>81,41</c:v>
                  </c:pt>
                  <c:pt idx="141">
                    <c:v>81,34</c:v>
                  </c:pt>
                  <c:pt idx="142">
                    <c:v>81,2</c:v>
                  </c:pt>
                  <c:pt idx="143">
                    <c:v>81,13</c:v>
                  </c:pt>
                  <c:pt idx="144">
                    <c:v>81,07</c:v>
                  </c:pt>
                  <c:pt idx="145">
                    <c:v>80,97</c:v>
                  </c:pt>
                  <c:pt idx="146">
                    <c:v>80,92</c:v>
                  </c:pt>
                  <c:pt idx="147">
                    <c:v>80,87</c:v>
                  </c:pt>
                  <c:pt idx="148">
                    <c:v>80,9</c:v>
                  </c:pt>
                  <c:pt idx="149">
                    <c:v>80,87</c:v>
                  </c:pt>
                  <c:pt idx="150">
                    <c:v>80,82</c:v>
                  </c:pt>
                  <c:pt idx="151">
                    <c:v>80,84</c:v>
                  </c:pt>
                  <c:pt idx="152">
                    <c:v>80,87</c:v>
                  </c:pt>
                  <c:pt idx="153">
                    <c:v>80,86</c:v>
                  </c:pt>
                  <c:pt idx="154">
                    <c:v>80,81</c:v>
                  </c:pt>
                  <c:pt idx="155">
                    <c:v>80,83</c:v>
                  </c:pt>
                  <c:pt idx="156">
                    <c:v>80,81</c:v>
                  </c:pt>
                  <c:pt idx="157">
                    <c:v>80,82</c:v>
                  </c:pt>
                  <c:pt idx="158">
                    <c:v>80,85</c:v>
                  </c:pt>
                  <c:pt idx="159">
                    <c:v>80,82</c:v>
                  </c:pt>
                  <c:pt idx="160">
                    <c:v>80,89</c:v>
                  </c:pt>
                  <c:pt idx="161">
                    <c:v>80,89</c:v>
                  </c:pt>
                  <c:pt idx="162">
                    <c:v>80,9</c:v>
                  </c:pt>
                  <c:pt idx="163">
                    <c:v>80,86</c:v>
                  </c:pt>
                  <c:pt idx="164">
                    <c:v>80,85</c:v>
                  </c:pt>
                  <c:pt idx="165">
                    <c:v>80,9</c:v>
                  </c:pt>
                  <c:pt idx="166">
                    <c:v>80,86</c:v>
                  </c:pt>
                  <c:pt idx="167">
                    <c:v>80,82</c:v>
                  </c:pt>
                  <c:pt idx="168">
                    <c:v>80,84</c:v>
                  </c:pt>
                  <c:pt idx="169">
                    <c:v>80,82</c:v>
                  </c:pt>
                  <c:pt idx="170">
                    <c:v>80,82</c:v>
                  </c:pt>
                  <c:pt idx="171">
                    <c:v>80,85</c:v>
                  </c:pt>
                  <c:pt idx="172">
                    <c:v>80,87</c:v>
                  </c:pt>
                  <c:pt idx="173">
                    <c:v>80,81</c:v>
                  </c:pt>
                  <c:pt idx="174">
                    <c:v>80,86</c:v>
                  </c:pt>
                  <c:pt idx="175">
                    <c:v>80,86</c:v>
                  </c:pt>
                  <c:pt idx="176">
                    <c:v>80,88</c:v>
                  </c:pt>
                  <c:pt idx="177">
                    <c:v>80,84</c:v>
                  </c:pt>
                  <c:pt idx="178">
                    <c:v>80,83</c:v>
                  </c:pt>
                  <c:pt idx="179">
                    <c:v>80,88</c:v>
                  </c:pt>
                </c:lvl>
                <c:lvl>
                  <c:pt idx="0">
                    <c:v>41,62</c:v>
                  </c:pt>
                  <c:pt idx="1">
                    <c:v>41,96</c:v>
                  </c:pt>
                  <c:pt idx="2">
                    <c:v>42,19</c:v>
                  </c:pt>
                  <c:pt idx="3">
                    <c:v>42,37</c:v>
                  </c:pt>
                  <c:pt idx="4">
                    <c:v>42,5</c:v>
                  </c:pt>
                  <c:pt idx="5">
                    <c:v>42,69</c:v>
                  </c:pt>
                  <c:pt idx="6">
                    <c:v>42,81</c:v>
                  </c:pt>
                  <c:pt idx="7">
                    <c:v>42,94</c:v>
                  </c:pt>
                  <c:pt idx="8">
                    <c:v>43,04</c:v>
                  </c:pt>
                  <c:pt idx="9">
                    <c:v>43,22</c:v>
                  </c:pt>
                  <c:pt idx="10">
                    <c:v>43,32</c:v>
                  </c:pt>
                  <c:pt idx="11">
                    <c:v>43,5</c:v>
                  </c:pt>
                  <c:pt idx="12">
                    <c:v>43,62</c:v>
                  </c:pt>
                  <c:pt idx="13">
                    <c:v>43,75</c:v>
                  </c:pt>
                  <c:pt idx="14">
                    <c:v>43,83</c:v>
                  </c:pt>
                  <c:pt idx="15">
                    <c:v>43,95</c:v>
                  </c:pt>
                  <c:pt idx="16">
                    <c:v>44,13</c:v>
                  </c:pt>
                  <c:pt idx="17">
                    <c:v>44,2</c:v>
                  </c:pt>
                  <c:pt idx="18">
                    <c:v>44,31</c:v>
                  </c:pt>
                  <c:pt idx="19">
                    <c:v>44,42</c:v>
                  </c:pt>
                  <c:pt idx="20">
                    <c:v>44,47</c:v>
                  </c:pt>
                  <c:pt idx="21">
                    <c:v>44,67</c:v>
                  </c:pt>
                  <c:pt idx="22">
                    <c:v>44,79</c:v>
                  </c:pt>
                  <c:pt idx="23">
                    <c:v>44,87</c:v>
                  </c:pt>
                  <c:pt idx="24">
                    <c:v>44,96</c:v>
                  </c:pt>
                  <c:pt idx="25">
                    <c:v>45,03</c:v>
                  </c:pt>
                  <c:pt idx="26">
                    <c:v>45,13</c:v>
                  </c:pt>
                  <c:pt idx="27">
                    <c:v>45,27</c:v>
                  </c:pt>
                  <c:pt idx="28">
                    <c:v>45,35</c:v>
                  </c:pt>
                  <c:pt idx="29">
                    <c:v>45,44</c:v>
                  </c:pt>
                  <c:pt idx="30">
                    <c:v>45,5</c:v>
                  </c:pt>
                  <c:pt idx="31">
                    <c:v>45,61</c:v>
                  </c:pt>
                  <c:pt idx="32">
                    <c:v>45,74</c:v>
                  </c:pt>
                  <c:pt idx="33">
                    <c:v>45,85</c:v>
                  </c:pt>
                  <c:pt idx="34">
                    <c:v>45,91</c:v>
                  </c:pt>
                  <c:pt idx="35">
                    <c:v>46,01</c:v>
                  </c:pt>
                  <c:pt idx="36">
                    <c:v>46,05</c:v>
                  </c:pt>
                  <c:pt idx="37">
                    <c:v>46,12</c:v>
                  </c:pt>
                  <c:pt idx="38">
                    <c:v>46,22</c:v>
                  </c:pt>
                  <c:pt idx="39">
                    <c:v>46,34</c:v>
                  </c:pt>
                  <c:pt idx="40">
                    <c:v>46,41</c:v>
                  </c:pt>
                  <c:pt idx="41">
                    <c:v>46,5</c:v>
                  </c:pt>
                  <c:pt idx="42">
                    <c:v>46,54</c:v>
                  </c:pt>
                  <c:pt idx="43">
                    <c:v>46,62</c:v>
                  </c:pt>
                  <c:pt idx="44">
                    <c:v>46,7</c:v>
                  </c:pt>
                  <c:pt idx="45">
                    <c:v>46,82</c:v>
                  </c:pt>
                  <c:pt idx="46">
                    <c:v>46,84</c:v>
                  </c:pt>
                  <c:pt idx="47">
                    <c:v>46,94</c:v>
                  </c:pt>
                  <c:pt idx="48">
                    <c:v>47,01</c:v>
                  </c:pt>
                  <c:pt idx="49">
                    <c:v>47,1</c:v>
                  </c:pt>
                  <c:pt idx="50">
                    <c:v>47,15</c:v>
                  </c:pt>
                  <c:pt idx="51">
                    <c:v>47,24</c:v>
                  </c:pt>
                  <c:pt idx="52">
                    <c:v>47,3</c:v>
                  </c:pt>
                  <c:pt idx="53">
                    <c:v>47,42</c:v>
                  </c:pt>
                  <c:pt idx="54">
                    <c:v>47,54</c:v>
                  </c:pt>
                  <c:pt idx="55">
                    <c:v>48,32</c:v>
                  </c:pt>
                  <c:pt idx="56">
                    <c:v>49,56</c:v>
                  </c:pt>
                  <c:pt idx="57">
                    <c:v>51,1</c:v>
                  </c:pt>
                  <c:pt idx="58">
                    <c:v>52,57</c:v>
                  </c:pt>
                  <c:pt idx="59">
                    <c:v>53,97</c:v>
                  </c:pt>
                  <c:pt idx="60">
                    <c:v>55,36</c:v>
                  </c:pt>
                  <c:pt idx="61">
                    <c:v>56,42</c:v>
                  </c:pt>
                  <c:pt idx="62">
                    <c:v>57,41</c:v>
                  </c:pt>
                  <c:pt idx="63">
                    <c:v>58,2</c:v>
                  </c:pt>
                  <c:pt idx="64">
                    <c:v>58,79</c:v>
                  </c:pt>
                  <c:pt idx="65">
                    <c:v>59,29</c:v>
                  </c:pt>
                  <c:pt idx="66">
                    <c:v>59,59</c:v>
                  </c:pt>
                  <c:pt idx="67">
                    <c:v>60,01</c:v>
                  </c:pt>
                  <c:pt idx="68">
                    <c:v>60,41</c:v>
                  </c:pt>
                  <c:pt idx="69">
                    <c:v>60,64</c:v>
                  </c:pt>
                  <c:pt idx="70">
                    <c:v>60,92</c:v>
                  </c:pt>
                  <c:pt idx="71">
                    <c:v>61,08</c:v>
                  </c:pt>
                  <c:pt idx="72">
                    <c:v>61,46</c:v>
                  </c:pt>
                  <c:pt idx="73">
                    <c:v>61,77</c:v>
                  </c:pt>
                  <c:pt idx="74">
                    <c:v>62,1</c:v>
                  </c:pt>
                  <c:pt idx="75">
                    <c:v>62,33</c:v>
                  </c:pt>
                  <c:pt idx="76">
                    <c:v>62,63</c:v>
                  </c:pt>
                  <c:pt idx="77">
                    <c:v>62,88</c:v>
                  </c:pt>
                  <c:pt idx="78">
                    <c:v>63,2</c:v>
                  </c:pt>
                  <c:pt idx="79">
                    <c:v>63,46</c:v>
                  </c:pt>
                  <c:pt idx="80">
                    <c:v>63,8</c:v>
                  </c:pt>
                  <c:pt idx="81">
                    <c:v>63,94</c:v>
                  </c:pt>
                  <c:pt idx="82">
                    <c:v>64,33</c:v>
                  </c:pt>
                  <c:pt idx="83">
                    <c:v>64,71</c:v>
                  </c:pt>
                  <c:pt idx="84">
                    <c:v>64,98</c:v>
                  </c:pt>
                  <c:pt idx="85">
                    <c:v>65,31</c:v>
                  </c:pt>
                  <c:pt idx="86">
                    <c:v>65,6</c:v>
                  </c:pt>
                  <c:pt idx="87">
                    <c:v>66,04</c:v>
                  </c:pt>
                  <c:pt idx="88">
                    <c:v>66,36</c:v>
                  </c:pt>
                  <c:pt idx="89">
                    <c:v>66,59</c:v>
                  </c:pt>
                  <c:pt idx="90">
                    <c:v>66,98</c:v>
                  </c:pt>
                  <c:pt idx="91">
                    <c:v>67,28</c:v>
                  </c:pt>
                  <c:pt idx="92">
                    <c:v>67,63</c:v>
                  </c:pt>
                  <c:pt idx="93">
                    <c:v>67,92</c:v>
                  </c:pt>
                  <c:pt idx="94">
                    <c:v>68,34</c:v>
                  </c:pt>
                  <c:pt idx="95">
                    <c:v>68,56</c:v>
                  </c:pt>
                  <c:pt idx="96">
                    <c:v>68,95</c:v>
                  </c:pt>
                  <c:pt idx="97">
                    <c:v>69,28</c:v>
                  </c:pt>
                  <c:pt idx="98">
                    <c:v>69,65</c:v>
                  </c:pt>
                  <c:pt idx="99">
                    <c:v>69,91</c:v>
                  </c:pt>
                  <c:pt idx="100">
                    <c:v>70,25</c:v>
                  </c:pt>
                  <c:pt idx="101">
                    <c:v>70,58</c:v>
                  </c:pt>
                  <c:pt idx="102">
                    <c:v>70,89</c:v>
                  </c:pt>
                  <c:pt idx="103">
                    <c:v>71,2</c:v>
                  </c:pt>
                  <c:pt idx="104">
                    <c:v>71,56</c:v>
                  </c:pt>
                  <c:pt idx="105">
                    <c:v>71,86</c:v>
                  </c:pt>
                  <c:pt idx="106">
                    <c:v>72,26</c:v>
                  </c:pt>
                  <c:pt idx="107">
                    <c:v>72,54</c:v>
                  </c:pt>
                  <c:pt idx="108">
                    <c:v>72,86</c:v>
                  </c:pt>
                  <c:pt idx="109">
                    <c:v>73,21</c:v>
                  </c:pt>
                  <c:pt idx="110">
                    <c:v>73,62</c:v>
                  </c:pt>
                  <c:pt idx="111">
                    <c:v>73,89</c:v>
                  </c:pt>
                  <c:pt idx="112">
                    <c:v>74,29</c:v>
                  </c:pt>
                  <c:pt idx="113">
                    <c:v>74,64</c:v>
                  </c:pt>
                  <c:pt idx="114">
                    <c:v>74,98</c:v>
                  </c:pt>
                  <c:pt idx="115">
                    <c:v>75,3</c:v>
                  </c:pt>
                  <c:pt idx="116">
                    <c:v>75,7</c:v>
                  </c:pt>
                  <c:pt idx="117">
                    <c:v>75,98</c:v>
                  </c:pt>
                  <c:pt idx="118">
                    <c:v>76,35</c:v>
                  </c:pt>
                  <c:pt idx="119">
                    <c:v>76,58</c:v>
                  </c:pt>
                  <c:pt idx="120">
                    <c:v>76,93</c:v>
                  </c:pt>
                  <c:pt idx="121">
                    <c:v>77,27</c:v>
                  </c:pt>
                  <c:pt idx="122">
                    <c:v>77,62</c:v>
                  </c:pt>
                  <c:pt idx="123">
                    <c:v>77,94</c:v>
                  </c:pt>
                  <c:pt idx="124">
                    <c:v>78,27</c:v>
                  </c:pt>
                  <c:pt idx="125">
                    <c:v>78,6</c:v>
                  </c:pt>
                  <c:pt idx="126">
                    <c:v>78,92</c:v>
                  </c:pt>
                  <c:pt idx="127">
                    <c:v>79,28</c:v>
                  </c:pt>
                  <c:pt idx="128">
                    <c:v>79,6</c:v>
                  </c:pt>
                  <c:pt idx="129">
                    <c:v>79,98</c:v>
                  </c:pt>
                  <c:pt idx="130">
                    <c:v>80,2</c:v>
                  </c:pt>
                  <c:pt idx="131">
                    <c:v>80,6</c:v>
                  </c:pt>
                  <c:pt idx="132">
                    <c:v>80,95</c:v>
                  </c:pt>
                  <c:pt idx="133">
                    <c:v>81,39</c:v>
                  </c:pt>
                  <c:pt idx="134">
                    <c:v>81,73</c:v>
                  </c:pt>
                  <c:pt idx="135">
                    <c:v>82,03</c:v>
                  </c:pt>
                  <c:pt idx="136">
                    <c:v>82,1</c:v>
                  </c:pt>
                  <c:pt idx="137">
                    <c:v>82,18</c:v>
                  </c:pt>
                  <c:pt idx="138">
                    <c:v>81,96</c:v>
                  </c:pt>
                  <c:pt idx="139">
                    <c:v>81,92</c:v>
                  </c:pt>
                  <c:pt idx="140">
                    <c:v>81,72</c:v>
                  </c:pt>
                  <c:pt idx="141">
                    <c:v>81,59</c:v>
                  </c:pt>
                  <c:pt idx="142">
                    <c:v>81,45</c:v>
                  </c:pt>
                  <c:pt idx="143">
                    <c:v>81,26</c:v>
                  </c:pt>
                  <c:pt idx="144">
                    <c:v>81,25</c:v>
                  </c:pt>
                  <c:pt idx="145">
                    <c:v>81,18</c:v>
                  </c:pt>
                  <c:pt idx="146">
                    <c:v>81,06</c:v>
                  </c:pt>
                  <c:pt idx="147">
                    <c:v>81,02</c:v>
                  </c:pt>
                  <c:pt idx="148">
                    <c:v>80,97</c:v>
                  </c:pt>
                  <c:pt idx="149">
                    <c:v>80,96</c:v>
                  </c:pt>
                  <c:pt idx="150">
                    <c:v>80,93</c:v>
                  </c:pt>
                  <c:pt idx="151">
                    <c:v>80,93</c:v>
                  </c:pt>
                  <c:pt idx="152">
                    <c:v>80,95</c:v>
                  </c:pt>
                  <c:pt idx="153">
                    <c:v>80,94</c:v>
                  </c:pt>
                  <c:pt idx="154">
                    <c:v>80,94</c:v>
                  </c:pt>
                  <c:pt idx="155">
                    <c:v>80,9</c:v>
                  </c:pt>
                  <c:pt idx="156">
                    <c:v>80,92</c:v>
                  </c:pt>
                  <c:pt idx="157">
                    <c:v>80,89</c:v>
                  </c:pt>
                  <c:pt idx="158">
                    <c:v>80,9</c:v>
                  </c:pt>
                  <c:pt idx="159">
                    <c:v>80,88</c:v>
                  </c:pt>
                  <c:pt idx="160">
                    <c:v>80,93</c:v>
                  </c:pt>
                  <c:pt idx="161">
                    <c:v>80,94</c:v>
                  </c:pt>
                  <c:pt idx="162">
                    <c:v>80,94</c:v>
                  </c:pt>
                  <c:pt idx="163">
                    <c:v>80,92</c:v>
                  </c:pt>
                  <c:pt idx="164">
                    <c:v>80,91</c:v>
                  </c:pt>
                  <c:pt idx="165">
                    <c:v>80,98</c:v>
                  </c:pt>
                  <c:pt idx="166">
                    <c:v>80,93</c:v>
                  </c:pt>
                  <c:pt idx="167">
                    <c:v>80,91</c:v>
                  </c:pt>
                  <c:pt idx="168">
                    <c:v>80,88</c:v>
                  </c:pt>
                  <c:pt idx="169">
                    <c:v>80,89</c:v>
                  </c:pt>
                  <c:pt idx="170">
                    <c:v>80,94</c:v>
                  </c:pt>
                  <c:pt idx="171">
                    <c:v>80,9</c:v>
                  </c:pt>
                  <c:pt idx="172">
                    <c:v>80,87</c:v>
                  </c:pt>
                  <c:pt idx="173">
                    <c:v>80,88</c:v>
                  </c:pt>
                  <c:pt idx="174">
                    <c:v>80,89</c:v>
                  </c:pt>
                  <c:pt idx="175">
                    <c:v>80,89</c:v>
                  </c:pt>
                  <c:pt idx="176">
                    <c:v>80,86</c:v>
                  </c:pt>
                  <c:pt idx="177">
                    <c:v>80,92</c:v>
                  </c:pt>
                  <c:pt idx="178">
                    <c:v>80,92</c:v>
                  </c:pt>
                  <c:pt idx="179">
                    <c:v>80,93</c:v>
                  </c:pt>
                </c:lvl>
                <c:lvl>
                  <c:pt idx="0">
                    <c:v>41,72</c:v>
                  </c:pt>
                  <c:pt idx="1">
                    <c:v>41,99</c:v>
                  </c:pt>
                  <c:pt idx="2">
                    <c:v>42,18</c:v>
                  </c:pt>
                  <c:pt idx="3">
                    <c:v>42,36</c:v>
                  </c:pt>
                  <c:pt idx="4">
                    <c:v>42,53</c:v>
                  </c:pt>
                  <c:pt idx="5">
                    <c:v>42,65</c:v>
                  </c:pt>
                  <c:pt idx="6">
                    <c:v>42,81</c:v>
                  </c:pt>
                  <c:pt idx="7">
                    <c:v>42,91</c:v>
                  </c:pt>
                  <c:pt idx="8">
                    <c:v>43,07</c:v>
                  </c:pt>
                  <c:pt idx="9">
                    <c:v>43,3</c:v>
                  </c:pt>
                  <c:pt idx="10">
                    <c:v>43,33</c:v>
                  </c:pt>
                  <c:pt idx="11">
                    <c:v>43,49</c:v>
                  </c:pt>
                  <c:pt idx="12">
                    <c:v>43,62</c:v>
                  </c:pt>
                  <c:pt idx="13">
                    <c:v>43,73</c:v>
                  </c:pt>
                  <c:pt idx="14">
                    <c:v>43,85</c:v>
                  </c:pt>
                  <c:pt idx="15">
                    <c:v>44</c:v>
                  </c:pt>
                  <c:pt idx="16">
                    <c:v>44,09</c:v>
                  </c:pt>
                  <c:pt idx="17">
                    <c:v>44,18</c:v>
                  </c:pt>
                  <c:pt idx="18">
                    <c:v>44,29</c:v>
                  </c:pt>
                  <c:pt idx="19">
                    <c:v>44,44</c:v>
                  </c:pt>
                  <c:pt idx="20">
                    <c:v>44,49</c:v>
                  </c:pt>
                  <c:pt idx="21">
                    <c:v>44,66</c:v>
                  </c:pt>
                  <c:pt idx="22">
                    <c:v>44,74</c:v>
                  </c:pt>
                  <c:pt idx="23">
                    <c:v>44,88</c:v>
                  </c:pt>
                  <c:pt idx="24">
                    <c:v>45,02</c:v>
                  </c:pt>
                  <c:pt idx="25">
                    <c:v>45,07</c:v>
                  </c:pt>
                  <c:pt idx="26">
                    <c:v>45,16</c:v>
                  </c:pt>
                  <c:pt idx="27">
                    <c:v>45,3</c:v>
                  </c:pt>
                  <c:pt idx="28">
                    <c:v>45,4</c:v>
                  </c:pt>
                  <c:pt idx="29">
                    <c:v>45,5</c:v>
                  </c:pt>
                  <c:pt idx="30">
                    <c:v>45,5</c:v>
                  </c:pt>
                  <c:pt idx="31">
                    <c:v>45,63</c:v>
                  </c:pt>
                  <c:pt idx="32">
                    <c:v>45,73</c:v>
                  </c:pt>
                  <c:pt idx="33">
                    <c:v>45,8</c:v>
                  </c:pt>
                  <c:pt idx="34">
                    <c:v>45,89</c:v>
                  </c:pt>
                  <c:pt idx="35">
                    <c:v>46,02</c:v>
                  </c:pt>
                  <c:pt idx="36">
                    <c:v>46,06</c:v>
                  </c:pt>
                  <c:pt idx="37">
                    <c:v>46,15</c:v>
                  </c:pt>
                  <c:pt idx="38">
                    <c:v>46,26</c:v>
                  </c:pt>
                  <c:pt idx="39">
                    <c:v>46,35</c:v>
                  </c:pt>
                  <c:pt idx="40">
                    <c:v>46,39</c:v>
                  </c:pt>
                  <c:pt idx="41">
                    <c:v>46,51</c:v>
                  </c:pt>
                  <c:pt idx="42">
                    <c:v>46,57</c:v>
                  </c:pt>
                  <c:pt idx="43">
                    <c:v>46,65</c:v>
                  </c:pt>
                  <c:pt idx="44">
                    <c:v>46,76</c:v>
                  </c:pt>
                  <c:pt idx="45">
                    <c:v>46,8</c:v>
                  </c:pt>
                  <c:pt idx="46">
                    <c:v>46,86</c:v>
                  </c:pt>
                  <c:pt idx="47">
                    <c:v>46,97</c:v>
                  </c:pt>
                  <c:pt idx="48">
                    <c:v>47,04</c:v>
                  </c:pt>
                  <c:pt idx="49">
                    <c:v>47,13</c:v>
                  </c:pt>
                  <c:pt idx="50">
                    <c:v>47,2</c:v>
                  </c:pt>
                  <c:pt idx="51">
                    <c:v>47,26</c:v>
                  </c:pt>
                  <c:pt idx="52">
                    <c:v>47,31</c:v>
                  </c:pt>
                  <c:pt idx="53">
                    <c:v>47,38</c:v>
                  </c:pt>
                  <c:pt idx="54">
                    <c:v>47,51</c:v>
                  </c:pt>
                  <c:pt idx="55">
                    <c:v>48,34</c:v>
                  </c:pt>
                  <c:pt idx="56">
                    <c:v>49,58</c:v>
                  </c:pt>
                  <c:pt idx="57">
                    <c:v>51,11</c:v>
                  </c:pt>
                  <c:pt idx="58">
                    <c:v>52,52</c:v>
                  </c:pt>
                  <c:pt idx="59">
                    <c:v>53,84</c:v>
                  </c:pt>
                  <c:pt idx="60">
                    <c:v>55,28</c:v>
                  </c:pt>
                  <c:pt idx="61">
                    <c:v>56,27</c:v>
                  </c:pt>
                  <c:pt idx="62">
                    <c:v>57,28</c:v>
                  </c:pt>
                  <c:pt idx="63">
                    <c:v>58,05</c:v>
                  </c:pt>
                  <c:pt idx="64">
                    <c:v>58,59</c:v>
                  </c:pt>
                  <c:pt idx="65">
                    <c:v>59,14</c:v>
                  </c:pt>
                  <c:pt idx="66">
                    <c:v>59,45</c:v>
                  </c:pt>
                  <c:pt idx="67">
                    <c:v>59,82</c:v>
                  </c:pt>
                  <c:pt idx="68">
                    <c:v>60,17</c:v>
                  </c:pt>
                  <c:pt idx="69">
                    <c:v>60,36</c:v>
                  </c:pt>
                  <c:pt idx="70">
                    <c:v>60,72</c:v>
                  </c:pt>
                  <c:pt idx="71">
                    <c:v>61,04</c:v>
                  </c:pt>
                  <c:pt idx="72">
                    <c:v>61,31</c:v>
                  </c:pt>
                  <c:pt idx="73">
                    <c:v>61,69</c:v>
                  </c:pt>
                  <c:pt idx="74">
                    <c:v>61,92</c:v>
                  </c:pt>
                  <c:pt idx="75">
                    <c:v>62,24</c:v>
                  </c:pt>
                  <c:pt idx="76">
                    <c:v>62,52</c:v>
                  </c:pt>
                  <c:pt idx="77">
                    <c:v>62,78</c:v>
                  </c:pt>
                  <c:pt idx="78">
                    <c:v>63,03</c:v>
                  </c:pt>
                  <c:pt idx="79">
                    <c:v>63,4</c:v>
                  </c:pt>
                  <c:pt idx="80">
                    <c:v>63,65</c:v>
                  </c:pt>
                  <c:pt idx="81">
                    <c:v>63,97</c:v>
                  </c:pt>
                  <c:pt idx="82">
                    <c:v>64,38</c:v>
                  </c:pt>
                  <c:pt idx="83">
                    <c:v>64,66</c:v>
                  </c:pt>
                  <c:pt idx="84">
                    <c:v>64,94</c:v>
                  </c:pt>
                  <c:pt idx="85">
                    <c:v>65,29</c:v>
                  </c:pt>
                  <c:pt idx="86">
                    <c:v>65,59</c:v>
                  </c:pt>
                  <c:pt idx="87">
                    <c:v>65,94</c:v>
                  </c:pt>
                  <c:pt idx="88">
                    <c:v>66,24</c:v>
                  </c:pt>
                  <c:pt idx="89">
                    <c:v>66,56</c:v>
                  </c:pt>
                  <c:pt idx="90">
                    <c:v>66,88</c:v>
                  </c:pt>
                  <c:pt idx="91">
                    <c:v>67,28</c:v>
                  </c:pt>
                  <c:pt idx="92">
                    <c:v>67,54</c:v>
                  </c:pt>
                  <c:pt idx="93">
                    <c:v>67,89</c:v>
                  </c:pt>
                  <c:pt idx="94">
                    <c:v>68,2</c:v>
                  </c:pt>
                  <c:pt idx="95">
                    <c:v>68,56</c:v>
                  </c:pt>
                  <c:pt idx="96">
                    <c:v>68,9</c:v>
                  </c:pt>
                  <c:pt idx="97">
                    <c:v>69,19</c:v>
                  </c:pt>
                  <c:pt idx="98">
                    <c:v>69,53</c:v>
                  </c:pt>
                  <c:pt idx="99">
                    <c:v>69,82</c:v>
                  </c:pt>
                  <c:pt idx="100">
                    <c:v>70,17</c:v>
                  </c:pt>
                  <c:pt idx="101">
                    <c:v>70,43</c:v>
                  </c:pt>
                  <c:pt idx="102">
                    <c:v>70,92</c:v>
                  </c:pt>
                  <c:pt idx="103">
                    <c:v>71,12</c:v>
                  </c:pt>
                  <c:pt idx="104">
                    <c:v>71,56</c:v>
                  </c:pt>
                  <c:pt idx="105">
                    <c:v>71,88</c:v>
                  </c:pt>
                  <c:pt idx="106">
                    <c:v>72,21</c:v>
                  </c:pt>
                  <c:pt idx="107">
                    <c:v>72,54</c:v>
                  </c:pt>
                  <c:pt idx="108">
                    <c:v>72,88</c:v>
                  </c:pt>
                  <c:pt idx="109">
                    <c:v>73,24</c:v>
                  </c:pt>
                  <c:pt idx="110">
                    <c:v>73,56</c:v>
                  </c:pt>
                  <c:pt idx="111">
                    <c:v>73,88</c:v>
                  </c:pt>
                  <c:pt idx="112">
                    <c:v>74,26</c:v>
                  </c:pt>
                  <c:pt idx="113">
                    <c:v>74,6</c:v>
                  </c:pt>
                  <c:pt idx="114">
                    <c:v>74,93</c:v>
                  </c:pt>
                  <c:pt idx="115">
                    <c:v>75,29</c:v>
                  </c:pt>
                  <c:pt idx="116">
                    <c:v>75,61</c:v>
                  </c:pt>
                  <c:pt idx="117">
                    <c:v>75,92</c:v>
                  </c:pt>
                  <c:pt idx="118">
                    <c:v>76,23</c:v>
                  </c:pt>
                  <c:pt idx="119">
                    <c:v>76,55</c:v>
                  </c:pt>
                  <c:pt idx="120">
                    <c:v>76,96</c:v>
                  </c:pt>
                  <c:pt idx="121">
                    <c:v>77,28</c:v>
                  </c:pt>
                  <c:pt idx="122">
                    <c:v>77,59</c:v>
                  </c:pt>
                  <c:pt idx="123">
                    <c:v>77,94</c:v>
                  </c:pt>
                  <c:pt idx="124">
                    <c:v>78,23</c:v>
                  </c:pt>
                  <c:pt idx="125">
                    <c:v>78,59</c:v>
                  </c:pt>
                  <c:pt idx="126">
                    <c:v>78,88</c:v>
                  </c:pt>
                  <c:pt idx="127">
                    <c:v>79,29</c:v>
                  </c:pt>
                  <c:pt idx="128">
                    <c:v>79,62</c:v>
                  </c:pt>
                  <c:pt idx="129">
                    <c:v>79,94</c:v>
                  </c:pt>
                  <c:pt idx="130">
                    <c:v>80,2</c:v>
                  </c:pt>
                  <c:pt idx="131">
                    <c:v>80,56</c:v>
                  </c:pt>
                  <c:pt idx="132">
                    <c:v>80,97</c:v>
                  </c:pt>
                  <c:pt idx="133">
                    <c:v>81,34</c:v>
                  </c:pt>
                  <c:pt idx="134">
                    <c:v>81,69</c:v>
                  </c:pt>
                  <c:pt idx="135">
                    <c:v>81,98</c:v>
                  </c:pt>
                  <c:pt idx="136">
                    <c:v>82,06</c:v>
                  </c:pt>
                  <c:pt idx="137">
                    <c:v>82,14</c:v>
                  </c:pt>
                  <c:pt idx="138">
                    <c:v>82,01</c:v>
                  </c:pt>
                  <c:pt idx="139">
                    <c:v>81,91</c:v>
                  </c:pt>
                  <c:pt idx="140">
                    <c:v>81,7</c:v>
                  </c:pt>
                  <c:pt idx="141">
                    <c:v>81,64</c:v>
                  </c:pt>
                  <c:pt idx="142">
                    <c:v>81,45</c:v>
                  </c:pt>
                  <c:pt idx="143">
                    <c:v>81,35</c:v>
                  </c:pt>
                  <c:pt idx="144">
                    <c:v>81,27</c:v>
                  </c:pt>
                  <c:pt idx="145">
                    <c:v>81,17</c:v>
                  </c:pt>
                  <c:pt idx="146">
                    <c:v>81,1</c:v>
                  </c:pt>
                  <c:pt idx="147">
                    <c:v>81,06</c:v>
                  </c:pt>
                  <c:pt idx="148">
                    <c:v>81,03</c:v>
                  </c:pt>
                  <c:pt idx="149">
                    <c:v>81,03</c:v>
                  </c:pt>
                  <c:pt idx="150">
                    <c:v>80,98</c:v>
                  </c:pt>
                  <c:pt idx="151">
                    <c:v>80,97</c:v>
                  </c:pt>
                  <c:pt idx="152">
                    <c:v>81,01</c:v>
                  </c:pt>
                  <c:pt idx="153">
                    <c:v>81</c:v>
                  </c:pt>
                  <c:pt idx="154">
                    <c:v>80,99</c:v>
                  </c:pt>
                  <c:pt idx="155">
                    <c:v>81</c:v>
                  </c:pt>
                  <c:pt idx="156">
                    <c:v>80,95</c:v>
                  </c:pt>
                  <c:pt idx="157">
                    <c:v>81,01</c:v>
                  </c:pt>
                  <c:pt idx="158">
                    <c:v>80,95</c:v>
                  </c:pt>
                  <c:pt idx="159">
                    <c:v>80,93</c:v>
                  </c:pt>
                  <c:pt idx="160">
                    <c:v>81,04</c:v>
                  </c:pt>
                  <c:pt idx="161">
                    <c:v>81,02</c:v>
                  </c:pt>
                  <c:pt idx="162">
                    <c:v>81,05</c:v>
                  </c:pt>
                  <c:pt idx="163">
                    <c:v>81,01</c:v>
                  </c:pt>
                  <c:pt idx="164">
                    <c:v>80,98</c:v>
                  </c:pt>
                  <c:pt idx="165">
                    <c:v>80,99</c:v>
                  </c:pt>
                  <c:pt idx="166">
                    <c:v>81,03</c:v>
                  </c:pt>
                  <c:pt idx="167">
                    <c:v>80,96</c:v>
                  </c:pt>
                  <c:pt idx="168">
                    <c:v>80,94</c:v>
                  </c:pt>
                  <c:pt idx="169">
                    <c:v>80,97</c:v>
                  </c:pt>
                  <c:pt idx="170">
                    <c:v>80,93</c:v>
                  </c:pt>
                  <c:pt idx="171">
                    <c:v>80,99</c:v>
                  </c:pt>
                  <c:pt idx="172">
                    <c:v>80,99</c:v>
                  </c:pt>
                  <c:pt idx="173">
                    <c:v>80,94</c:v>
                  </c:pt>
                  <c:pt idx="174">
                    <c:v>80,96</c:v>
                  </c:pt>
                  <c:pt idx="175">
                    <c:v>81,02</c:v>
                  </c:pt>
                  <c:pt idx="176">
                    <c:v>81,02</c:v>
                  </c:pt>
                  <c:pt idx="177">
                    <c:v>80,99</c:v>
                  </c:pt>
                  <c:pt idx="178">
                    <c:v>80,96</c:v>
                  </c:pt>
                  <c:pt idx="179">
                    <c:v>81,08</c:v>
                  </c:pt>
                </c:lvl>
                <c:lvl>
                  <c:pt idx="0">
                    <c:v>13/02/2024  00:00</c:v>
                  </c:pt>
                  <c:pt idx="1">
                    <c:v>13/02/2024  00:01</c:v>
                  </c:pt>
                  <c:pt idx="2">
                    <c:v>13/02/2024  00:02</c:v>
                  </c:pt>
                  <c:pt idx="3">
                    <c:v>13/02/2024  00:03</c:v>
                  </c:pt>
                  <c:pt idx="4">
                    <c:v>13/02/2024  00:04</c:v>
                  </c:pt>
                  <c:pt idx="5">
                    <c:v>13/02/2024  00:05</c:v>
                  </c:pt>
                  <c:pt idx="6">
                    <c:v>13/02/2024  00:06</c:v>
                  </c:pt>
                  <c:pt idx="7">
                    <c:v>13/02/2024  00:07</c:v>
                  </c:pt>
                  <c:pt idx="8">
                    <c:v>13/02/2024  00:08</c:v>
                  </c:pt>
                  <c:pt idx="9">
                    <c:v>13/02/2024  00:09</c:v>
                  </c:pt>
                  <c:pt idx="10">
                    <c:v>13/02/2024  00:10</c:v>
                  </c:pt>
                  <c:pt idx="11">
                    <c:v>13/02/2024  00:11</c:v>
                  </c:pt>
                  <c:pt idx="12">
                    <c:v>13/02/2024  00:12</c:v>
                  </c:pt>
                  <c:pt idx="13">
                    <c:v>13/02/2024  00:13</c:v>
                  </c:pt>
                  <c:pt idx="14">
                    <c:v>13/02/2024  00:14</c:v>
                  </c:pt>
                  <c:pt idx="15">
                    <c:v>13/02/2024  00:15</c:v>
                  </c:pt>
                  <c:pt idx="16">
                    <c:v>13/02/2024  00:16</c:v>
                  </c:pt>
                  <c:pt idx="17">
                    <c:v>13/02/2024  00:17</c:v>
                  </c:pt>
                  <c:pt idx="18">
                    <c:v>13/02/2024  00:18</c:v>
                  </c:pt>
                  <c:pt idx="19">
                    <c:v>13/02/2024  00:19</c:v>
                  </c:pt>
                  <c:pt idx="20">
                    <c:v>13/02/2024  00:20</c:v>
                  </c:pt>
                  <c:pt idx="21">
                    <c:v>13/02/2024  00:21</c:v>
                  </c:pt>
                  <c:pt idx="22">
                    <c:v>13/02/2024  00:22</c:v>
                  </c:pt>
                  <c:pt idx="23">
                    <c:v>13/02/2024  00:23</c:v>
                  </c:pt>
                  <c:pt idx="24">
                    <c:v>13/02/2024  00:24</c:v>
                  </c:pt>
                  <c:pt idx="25">
                    <c:v>13/02/2024  00:25</c:v>
                  </c:pt>
                  <c:pt idx="26">
                    <c:v>13/02/2024  00:26</c:v>
                  </c:pt>
                  <c:pt idx="27">
                    <c:v>13/02/2024  00:27</c:v>
                  </c:pt>
                  <c:pt idx="28">
                    <c:v>13/02/2024  00:28</c:v>
                  </c:pt>
                  <c:pt idx="29">
                    <c:v>13/02/2024  00:29</c:v>
                  </c:pt>
                  <c:pt idx="30">
                    <c:v>13/02/2024  00:30</c:v>
                  </c:pt>
                  <c:pt idx="31">
                    <c:v>13/02/2024  00:31</c:v>
                  </c:pt>
                  <c:pt idx="32">
                    <c:v>13/02/2024  00:32</c:v>
                  </c:pt>
                  <c:pt idx="33">
                    <c:v>13/02/2024  00:33</c:v>
                  </c:pt>
                  <c:pt idx="34">
                    <c:v>13/02/2024  00:34</c:v>
                  </c:pt>
                  <c:pt idx="35">
                    <c:v>13/02/2024  00:35</c:v>
                  </c:pt>
                  <c:pt idx="36">
                    <c:v>13/02/2024  00:36</c:v>
                  </c:pt>
                  <c:pt idx="37">
                    <c:v>13/02/2024  00:37</c:v>
                  </c:pt>
                  <c:pt idx="38">
                    <c:v>13/02/2024  00:38</c:v>
                  </c:pt>
                  <c:pt idx="39">
                    <c:v>13/02/2024  00:39</c:v>
                  </c:pt>
                  <c:pt idx="40">
                    <c:v>13/02/2024  00:40</c:v>
                  </c:pt>
                  <c:pt idx="41">
                    <c:v>13/02/2024  00:41</c:v>
                  </c:pt>
                  <c:pt idx="42">
                    <c:v>13/02/2024  00:42</c:v>
                  </c:pt>
                  <c:pt idx="43">
                    <c:v>13/02/2024  00:43</c:v>
                  </c:pt>
                  <c:pt idx="44">
                    <c:v>13/02/2024  00:44</c:v>
                  </c:pt>
                  <c:pt idx="45">
                    <c:v>13/02/2024  00:45</c:v>
                  </c:pt>
                  <c:pt idx="46">
                    <c:v>13/02/2024  00:46</c:v>
                  </c:pt>
                  <c:pt idx="47">
                    <c:v>13/02/2024  00:47</c:v>
                  </c:pt>
                  <c:pt idx="48">
                    <c:v>13/02/2024  00:48</c:v>
                  </c:pt>
                  <c:pt idx="49">
                    <c:v>13/02/2024  00:49</c:v>
                  </c:pt>
                  <c:pt idx="50">
                    <c:v>13/02/2024  00:50</c:v>
                  </c:pt>
                  <c:pt idx="51">
                    <c:v>13/02/2024  00:51</c:v>
                  </c:pt>
                  <c:pt idx="52">
                    <c:v>13/02/2024  00:52</c:v>
                  </c:pt>
                  <c:pt idx="53">
                    <c:v>13/02/2024  00:53</c:v>
                  </c:pt>
                  <c:pt idx="54">
                    <c:v>13/02/2024  00:54</c:v>
                  </c:pt>
                  <c:pt idx="55">
                    <c:v>13/02/2024  00:55</c:v>
                  </c:pt>
                  <c:pt idx="56">
                    <c:v>13/02/2024  00:56</c:v>
                  </c:pt>
                  <c:pt idx="57">
                    <c:v>13/02/2024  00:57</c:v>
                  </c:pt>
                  <c:pt idx="58">
                    <c:v>13/02/2024  00:58</c:v>
                  </c:pt>
                  <c:pt idx="59">
                    <c:v>13/02/2024  00:59</c:v>
                  </c:pt>
                  <c:pt idx="60">
                    <c:v>13/02/2024  01:00</c:v>
                  </c:pt>
                  <c:pt idx="61">
                    <c:v>13/02/2024  01:01</c:v>
                  </c:pt>
                  <c:pt idx="62">
                    <c:v>13/02/2024  01:02</c:v>
                  </c:pt>
                  <c:pt idx="63">
                    <c:v>13/02/2024  01:03</c:v>
                  </c:pt>
                  <c:pt idx="64">
                    <c:v>13/02/2024  01:04</c:v>
                  </c:pt>
                  <c:pt idx="65">
                    <c:v>13/02/2024  01:05</c:v>
                  </c:pt>
                  <c:pt idx="66">
                    <c:v>13/02/2024  01:06</c:v>
                  </c:pt>
                  <c:pt idx="67">
                    <c:v>13/02/2024  01:07</c:v>
                  </c:pt>
                  <c:pt idx="68">
                    <c:v>13/02/2024  01:08</c:v>
                  </c:pt>
                  <c:pt idx="69">
                    <c:v>13/02/2024  01:09</c:v>
                  </c:pt>
                  <c:pt idx="70">
                    <c:v>13/02/2024  01:10</c:v>
                  </c:pt>
                  <c:pt idx="71">
                    <c:v>13/02/2024  01:11</c:v>
                  </c:pt>
                  <c:pt idx="72">
                    <c:v>13/02/2024  01:12</c:v>
                  </c:pt>
                  <c:pt idx="73">
                    <c:v>13/02/2024  01:13</c:v>
                  </c:pt>
                  <c:pt idx="74">
                    <c:v>13/02/2024  01:14</c:v>
                  </c:pt>
                  <c:pt idx="75">
                    <c:v>13/02/2024  01:15</c:v>
                  </c:pt>
                  <c:pt idx="76">
                    <c:v>13/02/2024  01:16</c:v>
                  </c:pt>
                  <c:pt idx="77">
                    <c:v>13/02/2024  01:17</c:v>
                  </c:pt>
                  <c:pt idx="78">
                    <c:v>13/02/2024  01:18</c:v>
                  </c:pt>
                  <c:pt idx="79">
                    <c:v>13/02/2024  01:19</c:v>
                  </c:pt>
                  <c:pt idx="80">
                    <c:v>13/02/2024  01:20</c:v>
                  </c:pt>
                  <c:pt idx="81">
                    <c:v>13/02/2024  01:21</c:v>
                  </c:pt>
                  <c:pt idx="82">
                    <c:v>13/02/2024  01:22</c:v>
                  </c:pt>
                  <c:pt idx="83">
                    <c:v>13/02/2024  01:23</c:v>
                  </c:pt>
                  <c:pt idx="84">
                    <c:v>13/02/2024  01:24</c:v>
                  </c:pt>
                  <c:pt idx="85">
                    <c:v>13/02/2024  01:25</c:v>
                  </c:pt>
                  <c:pt idx="86">
                    <c:v>13/02/2024  01:26</c:v>
                  </c:pt>
                  <c:pt idx="87">
                    <c:v>13/02/2024  01:27</c:v>
                  </c:pt>
                  <c:pt idx="88">
                    <c:v>13/02/2024  01:28</c:v>
                  </c:pt>
                  <c:pt idx="89">
                    <c:v>13/02/2024  01:29</c:v>
                  </c:pt>
                  <c:pt idx="90">
                    <c:v>13/02/2024  01:30</c:v>
                  </c:pt>
                  <c:pt idx="91">
                    <c:v>13/02/2024  01:31</c:v>
                  </c:pt>
                  <c:pt idx="92">
                    <c:v>13/02/2024  01:32</c:v>
                  </c:pt>
                  <c:pt idx="93">
                    <c:v>13/02/2024  01:33</c:v>
                  </c:pt>
                  <c:pt idx="94">
                    <c:v>13/02/2024  01:34</c:v>
                  </c:pt>
                  <c:pt idx="95">
                    <c:v>13/02/2024  01:35</c:v>
                  </c:pt>
                  <c:pt idx="96">
                    <c:v>13/02/2024  01:36</c:v>
                  </c:pt>
                  <c:pt idx="97">
                    <c:v>13/02/2024  01:37</c:v>
                  </c:pt>
                  <c:pt idx="98">
                    <c:v>13/02/2024  01:38</c:v>
                  </c:pt>
                  <c:pt idx="99">
                    <c:v>13/02/2024  01:39</c:v>
                  </c:pt>
                  <c:pt idx="100">
                    <c:v>13/02/2024  01:40</c:v>
                  </c:pt>
                  <c:pt idx="101">
                    <c:v>13/02/2024  01:41</c:v>
                  </c:pt>
                  <c:pt idx="102">
                    <c:v>13/02/2024  01:42</c:v>
                  </c:pt>
                  <c:pt idx="103">
                    <c:v>13/02/2024  01:43</c:v>
                  </c:pt>
                  <c:pt idx="104">
                    <c:v>13/02/2024  01:44</c:v>
                  </c:pt>
                  <c:pt idx="105">
                    <c:v>13/02/2024  01:45</c:v>
                  </c:pt>
                  <c:pt idx="106">
                    <c:v>13/02/2024  01:46</c:v>
                  </c:pt>
                  <c:pt idx="107">
                    <c:v>13/02/2024  01:47</c:v>
                  </c:pt>
                  <c:pt idx="108">
                    <c:v>13/02/2024  01:48</c:v>
                  </c:pt>
                  <c:pt idx="109">
                    <c:v>13/02/2024  01:49</c:v>
                  </c:pt>
                  <c:pt idx="110">
                    <c:v>13/02/2024  01:50</c:v>
                  </c:pt>
                  <c:pt idx="111">
                    <c:v>13/02/2024  01:51</c:v>
                  </c:pt>
                  <c:pt idx="112">
                    <c:v>13/02/2024  01:52</c:v>
                  </c:pt>
                  <c:pt idx="113">
                    <c:v>13/02/2024  01:53</c:v>
                  </c:pt>
                  <c:pt idx="114">
                    <c:v>13/02/2024  01:54</c:v>
                  </c:pt>
                  <c:pt idx="115">
                    <c:v>13/02/2024  01:55</c:v>
                  </c:pt>
                  <c:pt idx="116">
                    <c:v>13/02/2024  01:56</c:v>
                  </c:pt>
                  <c:pt idx="117">
                    <c:v>13/02/2024  01:57</c:v>
                  </c:pt>
                  <c:pt idx="118">
                    <c:v>13/02/2024  01:58</c:v>
                  </c:pt>
                  <c:pt idx="119">
                    <c:v>13/02/2024  01:59</c:v>
                  </c:pt>
                  <c:pt idx="120">
                    <c:v>13/02/2024  02:00</c:v>
                  </c:pt>
                  <c:pt idx="121">
                    <c:v>13/02/2024  02:01</c:v>
                  </c:pt>
                  <c:pt idx="122">
                    <c:v>13/02/2024  02:02</c:v>
                  </c:pt>
                  <c:pt idx="123">
                    <c:v>13/02/2024  02:03</c:v>
                  </c:pt>
                  <c:pt idx="124">
                    <c:v>13/02/2024  02:04</c:v>
                  </c:pt>
                  <c:pt idx="125">
                    <c:v>13/02/2024  02:05</c:v>
                  </c:pt>
                  <c:pt idx="126">
                    <c:v>13/02/2024  02:06</c:v>
                  </c:pt>
                  <c:pt idx="127">
                    <c:v>13/02/2024  02:07</c:v>
                  </c:pt>
                  <c:pt idx="128">
                    <c:v>13/02/2024  02:08</c:v>
                  </c:pt>
                  <c:pt idx="129">
                    <c:v>13/02/2024  02:09</c:v>
                  </c:pt>
                  <c:pt idx="130">
                    <c:v>13/02/2024  02:10</c:v>
                  </c:pt>
                  <c:pt idx="131">
                    <c:v>13/02/2024  02:11</c:v>
                  </c:pt>
                  <c:pt idx="132">
                    <c:v>13/02/2024  02:12</c:v>
                  </c:pt>
                  <c:pt idx="133">
                    <c:v>13/02/2024  02:13</c:v>
                  </c:pt>
                  <c:pt idx="134">
                    <c:v>13/02/2024  02:14</c:v>
                  </c:pt>
                  <c:pt idx="135">
                    <c:v>13/02/2024  02:15</c:v>
                  </c:pt>
                  <c:pt idx="136">
                    <c:v>13/02/2024  02:16</c:v>
                  </c:pt>
                  <c:pt idx="137">
                    <c:v>13/02/2024  02:17</c:v>
                  </c:pt>
                  <c:pt idx="138">
                    <c:v>13/02/2024  02:18</c:v>
                  </c:pt>
                  <c:pt idx="139">
                    <c:v>13/02/2024  02:19</c:v>
                  </c:pt>
                  <c:pt idx="140">
                    <c:v>13/02/2024  02:20</c:v>
                  </c:pt>
                  <c:pt idx="141">
                    <c:v>13/02/2024  02:21</c:v>
                  </c:pt>
                  <c:pt idx="142">
                    <c:v>13/02/2024  02:22</c:v>
                  </c:pt>
                  <c:pt idx="143">
                    <c:v>13/02/2024  02:23</c:v>
                  </c:pt>
                  <c:pt idx="144">
                    <c:v>13/02/2024  02:24</c:v>
                  </c:pt>
                  <c:pt idx="145">
                    <c:v>13/02/2024  02:25</c:v>
                  </c:pt>
                  <c:pt idx="146">
                    <c:v>13/02/2024  02:26</c:v>
                  </c:pt>
                  <c:pt idx="147">
                    <c:v>13/02/2024  02:27</c:v>
                  </c:pt>
                  <c:pt idx="148">
                    <c:v>13/02/2024  02:28</c:v>
                  </c:pt>
                  <c:pt idx="149">
                    <c:v>13/02/2024  02:29</c:v>
                  </c:pt>
                  <c:pt idx="150">
                    <c:v>13/02/2024  02:30</c:v>
                  </c:pt>
                  <c:pt idx="151">
                    <c:v>13/02/2024  02:31</c:v>
                  </c:pt>
                  <c:pt idx="152">
                    <c:v>13/02/2024  02:32</c:v>
                  </c:pt>
                  <c:pt idx="153">
                    <c:v>13/02/2024  02:33</c:v>
                  </c:pt>
                  <c:pt idx="154">
                    <c:v>13/02/2024  02:34</c:v>
                  </c:pt>
                  <c:pt idx="155">
                    <c:v>13/02/2024  02:35</c:v>
                  </c:pt>
                  <c:pt idx="156">
                    <c:v>13/02/2024  02:36</c:v>
                  </c:pt>
                  <c:pt idx="157">
                    <c:v>13/02/2024  02:37</c:v>
                  </c:pt>
                  <c:pt idx="158">
                    <c:v>13/02/2024  02:38</c:v>
                  </c:pt>
                  <c:pt idx="159">
                    <c:v>13/02/2024  02:39</c:v>
                  </c:pt>
                  <c:pt idx="160">
                    <c:v>13/02/2024  02:40</c:v>
                  </c:pt>
                  <c:pt idx="161">
                    <c:v>13/02/2024  02:41</c:v>
                  </c:pt>
                  <c:pt idx="162">
                    <c:v>13/02/2024  02:42</c:v>
                  </c:pt>
                  <c:pt idx="163">
                    <c:v>13/02/2024  02:43</c:v>
                  </c:pt>
                  <c:pt idx="164">
                    <c:v>13/02/2024  02:44</c:v>
                  </c:pt>
                  <c:pt idx="165">
                    <c:v>13/02/2024  02:45</c:v>
                  </c:pt>
                  <c:pt idx="166">
                    <c:v>13/02/2024  02:46</c:v>
                  </c:pt>
                  <c:pt idx="167">
                    <c:v>13/02/2024  02:47</c:v>
                  </c:pt>
                  <c:pt idx="168">
                    <c:v>13/02/2024  02:48</c:v>
                  </c:pt>
                  <c:pt idx="169">
                    <c:v>13/02/2024  02:49</c:v>
                  </c:pt>
                  <c:pt idx="170">
                    <c:v>13/02/2024  02:50</c:v>
                  </c:pt>
                  <c:pt idx="171">
                    <c:v>13/02/2024  02:51</c:v>
                  </c:pt>
                  <c:pt idx="172">
                    <c:v>13/02/2024  02:52</c:v>
                  </c:pt>
                  <c:pt idx="173">
                    <c:v>13/02/2024  02:53</c:v>
                  </c:pt>
                  <c:pt idx="174">
                    <c:v>13/02/2024  02:54</c:v>
                  </c:pt>
                  <c:pt idx="175">
                    <c:v>13/02/2024  02:55</c:v>
                  </c:pt>
                  <c:pt idx="176">
                    <c:v>13/02/2024  02:56</c:v>
                  </c:pt>
                  <c:pt idx="177">
                    <c:v>13/02/2024  02:57</c:v>
                  </c:pt>
                  <c:pt idx="178">
                    <c:v>13/02/2024  02:58</c:v>
                  </c:pt>
                  <c:pt idx="179">
                    <c:v>13/02/2024  02:59</c:v>
                  </c:pt>
                </c:lvl>
              </c:multiLvlStrCache>
            </c:multiLvlStrRef>
          </c:cat>
          <c:val>
            <c:numRef>
              <c:f>'transfert 80'!$J$2:$J$181</c:f>
              <c:numCache>
                <c:formatCode>General</c:formatCode>
                <c:ptCount val="180"/>
                <c:pt idx="0">
                  <c:v>41.69</c:v>
                </c:pt>
                <c:pt idx="1">
                  <c:v>41.97</c:v>
                </c:pt>
                <c:pt idx="2">
                  <c:v>42.19</c:v>
                </c:pt>
                <c:pt idx="3">
                  <c:v>42.34</c:v>
                </c:pt>
                <c:pt idx="4">
                  <c:v>42.56</c:v>
                </c:pt>
                <c:pt idx="5">
                  <c:v>42.67</c:v>
                </c:pt>
                <c:pt idx="6">
                  <c:v>42.82</c:v>
                </c:pt>
                <c:pt idx="7">
                  <c:v>42.98</c:v>
                </c:pt>
                <c:pt idx="8">
                  <c:v>43.11</c:v>
                </c:pt>
                <c:pt idx="9">
                  <c:v>43.26</c:v>
                </c:pt>
                <c:pt idx="10">
                  <c:v>43.41</c:v>
                </c:pt>
                <c:pt idx="11">
                  <c:v>43.52</c:v>
                </c:pt>
                <c:pt idx="12">
                  <c:v>43.64</c:v>
                </c:pt>
                <c:pt idx="13">
                  <c:v>43.76</c:v>
                </c:pt>
                <c:pt idx="14">
                  <c:v>43.85</c:v>
                </c:pt>
                <c:pt idx="15">
                  <c:v>43.99</c:v>
                </c:pt>
                <c:pt idx="16">
                  <c:v>44.12</c:v>
                </c:pt>
                <c:pt idx="17">
                  <c:v>44.27</c:v>
                </c:pt>
                <c:pt idx="18">
                  <c:v>44.36</c:v>
                </c:pt>
                <c:pt idx="19">
                  <c:v>44.5</c:v>
                </c:pt>
                <c:pt idx="20">
                  <c:v>44.6</c:v>
                </c:pt>
                <c:pt idx="21">
                  <c:v>44.7</c:v>
                </c:pt>
                <c:pt idx="22">
                  <c:v>44.76</c:v>
                </c:pt>
                <c:pt idx="23">
                  <c:v>44.9</c:v>
                </c:pt>
                <c:pt idx="24">
                  <c:v>44.99</c:v>
                </c:pt>
                <c:pt idx="25">
                  <c:v>45.05</c:v>
                </c:pt>
                <c:pt idx="26">
                  <c:v>45.18</c:v>
                </c:pt>
                <c:pt idx="27">
                  <c:v>45.27</c:v>
                </c:pt>
                <c:pt idx="28">
                  <c:v>45.39</c:v>
                </c:pt>
                <c:pt idx="29">
                  <c:v>45.47</c:v>
                </c:pt>
                <c:pt idx="30">
                  <c:v>45.55</c:v>
                </c:pt>
                <c:pt idx="31">
                  <c:v>45.64</c:v>
                </c:pt>
                <c:pt idx="32">
                  <c:v>45.73</c:v>
                </c:pt>
                <c:pt idx="33">
                  <c:v>45.84</c:v>
                </c:pt>
                <c:pt idx="34">
                  <c:v>45.93</c:v>
                </c:pt>
                <c:pt idx="35">
                  <c:v>46.03</c:v>
                </c:pt>
                <c:pt idx="36">
                  <c:v>46.12</c:v>
                </c:pt>
                <c:pt idx="37">
                  <c:v>46.17</c:v>
                </c:pt>
                <c:pt idx="38">
                  <c:v>46.26</c:v>
                </c:pt>
                <c:pt idx="39">
                  <c:v>46.36</c:v>
                </c:pt>
                <c:pt idx="40">
                  <c:v>46.39</c:v>
                </c:pt>
                <c:pt idx="41">
                  <c:v>46.44</c:v>
                </c:pt>
                <c:pt idx="42">
                  <c:v>46.61</c:v>
                </c:pt>
                <c:pt idx="43">
                  <c:v>46.68</c:v>
                </c:pt>
                <c:pt idx="44">
                  <c:v>46.74</c:v>
                </c:pt>
                <c:pt idx="45">
                  <c:v>46.81</c:v>
                </c:pt>
                <c:pt idx="46">
                  <c:v>46.86</c:v>
                </c:pt>
                <c:pt idx="47">
                  <c:v>46.97</c:v>
                </c:pt>
                <c:pt idx="48">
                  <c:v>47.03</c:v>
                </c:pt>
                <c:pt idx="49">
                  <c:v>47.07</c:v>
                </c:pt>
                <c:pt idx="50">
                  <c:v>47.16</c:v>
                </c:pt>
                <c:pt idx="51">
                  <c:v>47.26</c:v>
                </c:pt>
                <c:pt idx="52">
                  <c:v>47.29</c:v>
                </c:pt>
                <c:pt idx="53">
                  <c:v>47.38</c:v>
                </c:pt>
                <c:pt idx="54">
                  <c:v>47.56</c:v>
                </c:pt>
                <c:pt idx="55">
                  <c:v>48.29</c:v>
                </c:pt>
                <c:pt idx="56">
                  <c:v>49.67</c:v>
                </c:pt>
                <c:pt idx="57">
                  <c:v>51.1</c:v>
                </c:pt>
                <c:pt idx="58">
                  <c:v>52.61</c:v>
                </c:pt>
                <c:pt idx="59">
                  <c:v>54.1</c:v>
                </c:pt>
                <c:pt idx="60">
                  <c:v>55.51</c:v>
                </c:pt>
                <c:pt idx="61">
                  <c:v>56.57</c:v>
                </c:pt>
                <c:pt idx="62">
                  <c:v>57.44</c:v>
                </c:pt>
                <c:pt idx="63">
                  <c:v>58.38</c:v>
                </c:pt>
                <c:pt idx="64">
                  <c:v>58.92</c:v>
                </c:pt>
                <c:pt idx="65">
                  <c:v>59.44</c:v>
                </c:pt>
                <c:pt idx="66">
                  <c:v>59.78</c:v>
                </c:pt>
                <c:pt idx="67">
                  <c:v>60.15</c:v>
                </c:pt>
                <c:pt idx="68">
                  <c:v>60.45</c:v>
                </c:pt>
                <c:pt idx="69">
                  <c:v>60.79</c:v>
                </c:pt>
                <c:pt idx="70">
                  <c:v>61.1</c:v>
                </c:pt>
                <c:pt idx="71">
                  <c:v>61.38</c:v>
                </c:pt>
                <c:pt idx="72">
                  <c:v>61.66</c:v>
                </c:pt>
                <c:pt idx="73">
                  <c:v>61.89</c:v>
                </c:pt>
                <c:pt idx="74">
                  <c:v>62.19</c:v>
                </c:pt>
                <c:pt idx="75">
                  <c:v>62.4</c:v>
                </c:pt>
                <c:pt idx="76">
                  <c:v>62.75</c:v>
                </c:pt>
                <c:pt idx="77">
                  <c:v>63.01</c:v>
                </c:pt>
                <c:pt idx="78">
                  <c:v>63.25</c:v>
                </c:pt>
                <c:pt idx="79">
                  <c:v>63.56</c:v>
                </c:pt>
                <c:pt idx="80">
                  <c:v>63.85</c:v>
                </c:pt>
                <c:pt idx="81">
                  <c:v>64.260000000000005</c:v>
                </c:pt>
                <c:pt idx="82">
                  <c:v>64.5</c:v>
                </c:pt>
                <c:pt idx="83">
                  <c:v>64.81</c:v>
                </c:pt>
                <c:pt idx="84">
                  <c:v>65.180000000000007</c:v>
                </c:pt>
                <c:pt idx="85">
                  <c:v>65.400000000000006</c:v>
                </c:pt>
                <c:pt idx="86">
                  <c:v>65.739999999999995</c:v>
                </c:pt>
                <c:pt idx="87">
                  <c:v>66.03</c:v>
                </c:pt>
                <c:pt idx="88">
                  <c:v>66.48</c:v>
                </c:pt>
                <c:pt idx="89">
                  <c:v>66.77</c:v>
                </c:pt>
                <c:pt idx="90">
                  <c:v>67.069999999999993</c:v>
                </c:pt>
                <c:pt idx="91">
                  <c:v>67.38</c:v>
                </c:pt>
                <c:pt idx="92">
                  <c:v>67.72</c:v>
                </c:pt>
                <c:pt idx="93">
                  <c:v>68.05</c:v>
                </c:pt>
                <c:pt idx="94">
                  <c:v>68.37</c:v>
                </c:pt>
                <c:pt idx="95">
                  <c:v>68.73</c:v>
                </c:pt>
                <c:pt idx="96">
                  <c:v>69.02</c:v>
                </c:pt>
                <c:pt idx="97">
                  <c:v>69.39</c:v>
                </c:pt>
                <c:pt idx="98">
                  <c:v>69.72</c:v>
                </c:pt>
                <c:pt idx="99">
                  <c:v>70.03</c:v>
                </c:pt>
                <c:pt idx="100">
                  <c:v>70.37</c:v>
                </c:pt>
                <c:pt idx="101">
                  <c:v>70.66</c:v>
                </c:pt>
                <c:pt idx="102">
                  <c:v>70.900000000000006</c:v>
                </c:pt>
                <c:pt idx="103">
                  <c:v>71.37</c:v>
                </c:pt>
                <c:pt idx="104">
                  <c:v>71.7</c:v>
                </c:pt>
                <c:pt idx="105">
                  <c:v>72</c:v>
                </c:pt>
                <c:pt idx="106">
                  <c:v>72.349999999999994</c:v>
                </c:pt>
                <c:pt idx="107">
                  <c:v>72.72</c:v>
                </c:pt>
                <c:pt idx="108">
                  <c:v>73.02</c:v>
                </c:pt>
                <c:pt idx="109">
                  <c:v>73.38</c:v>
                </c:pt>
                <c:pt idx="110">
                  <c:v>73.69</c:v>
                </c:pt>
                <c:pt idx="111">
                  <c:v>74.040000000000006</c:v>
                </c:pt>
                <c:pt idx="112">
                  <c:v>74.37</c:v>
                </c:pt>
                <c:pt idx="113">
                  <c:v>74.790000000000006</c:v>
                </c:pt>
                <c:pt idx="114">
                  <c:v>75.05</c:v>
                </c:pt>
                <c:pt idx="115">
                  <c:v>75.430000000000007</c:v>
                </c:pt>
                <c:pt idx="116">
                  <c:v>75.7</c:v>
                </c:pt>
                <c:pt idx="117">
                  <c:v>76.09</c:v>
                </c:pt>
                <c:pt idx="118">
                  <c:v>76.45</c:v>
                </c:pt>
                <c:pt idx="119">
                  <c:v>76.709999999999994</c:v>
                </c:pt>
                <c:pt idx="120">
                  <c:v>77.08</c:v>
                </c:pt>
                <c:pt idx="121">
                  <c:v>77.42</c:v>
                </c:pt>
                <c:pt idx="122">
                  <c:v>77.8</c:v>
                </c:pt>
                <c:pt idx="123">
                  <c:v>78.12</c:v>
                </c:pt>
                <c:pt idx="124">
                  <c:v>78.349999999999994</c:v>
                </c:pt>
                <c:pt idx="125">
                  <c:v>78.75</c:v>
                </c:pt>
                <c:pt idx="126">
                  <c:v>79</c:v>
                </c:pt>
                <c:pt idx="127">
                  <c:v>79.400000000000006</c:v>
                </c:pt>
                <c:pt idx="128">
                  <c:v>79.75</c:v>
                </c:pt>
                <c:pt idx="129">
                  <c:v>80.08</c:v>
                </c:pt>
                <c:pt idx="130">
                  <c:v>80.37</c:v>
                </c:pt>
                <c:pt idx="131">
                  <c:v>80.709999999999994</c:v>
                </c:pt>
                <c:pt idx="132">
                  <c:v>81.09</c:v>
                </c:pt>
                <c:pt idx="133">
                  <c:v>81.47</c:v>
                </c:pt>
                <c:pt idx="134">
                  <c:v>81.790000000000006</c:v>
                </c:pt>
                <c:pt idx="135">
                  <c:v>82.09</c:v>
                </c:pt>
                <c:pt idx="136">
                  <c:v>82.24</c:v>
                </c:pt>
                <c:pt idx="137">
                  <c:v>82.2</c:v>
                </c:pt>
                <c:pt idx="138">
                  <c:v>82.13</c:v>
                </c:pt>
                <c:pt idx="139">
                  <c:v>81.96</c:v>
                </c:pt>
                <c:pt idx="140">
                  <c:v>81.8</c:v>
                </c:pt>
                <c:pt idx="141">
                  <c:v>81.66</c:v>
                </c:pt>
                <c:pt idx="142">
                  <c:v>81.510000000000005</c:v>
                </c:pt>
                <c:pt idx="143">
                  <c:v>81.39</c:v>
                </c:pt>
                <c:pt idx="144">
                  <c:v>81.31</c:v>
                </c:pt>
                <c:pt idx="145">
                  <c:v>81.23</c:v>
                </c:pt>
                <c:pt idx="146">
                  <c:v>81.13</c:v>
                </c:pt>
                <c:pt idx="147">
                  <c:v>81.09</c:v>
                </c:pt>
                <c:pt idx="148">
                  <c:v>81.06</c:v>
                </c:pt>
                <c:pt idx="149">
                  <c:v>81.05</c:v>
                </c:pt>
                <c:pt idx="150">
                  <c:v>80.98</c:v>
                </c:pt>
                <c:pt idx="151">
                  <c:v>80.94</c:v>
                </c:pt>
                <c:pt idx="152">
                  <c:v>80.959999999999994</c:v>
                </c:pt>
                <c:pt idx="153">
                  <c:v>80.989999999999995</c:v>
                </c:pt>
                <c:pt idx="154">
                  <c:v>80.95</c:v>
                </c:pt>
                <c:pt idx="155">
                  <c:v>80.930000000000007</c:v>
                </c:pt>
                <c:pt idx="156">
                  <c:v>80.94</c:v>
                </c:pt>
                <c:pt idx="157">
                  <c:v>80.94</c:v>
                </c:pt>
                <c:pt idx="158">
                  <c:v>80.91</c:v>
                </c:pt>
                <c:pt idx="159">
                  <c:v>80.89</c:v>
                </c:pt>
                <c:pt idx="160">
                  <c:v>80.930000000000007</c:v>
                </c:pt>
                <c:pt idx="161">
                  <c:v>81.010000000000005</c:v>
                </c:pt>
                <c:pt idx="162">
                  <c:v>81</c:v>
                </c:pt>
                <c:pt idx="163">
                  <c:v>80.92</c:v>
                </c:pt>
                <c:pt idx="164">
                  <c:v>80.92</c:v>
                </c:pt>
                <c:pt idx="165">
                  <c:v>80.91</c:v>
                </c:pt>
                <c:pt idx="166">
                  <c:v>80.930000000000007</c:v>
                </c:pt>
                <c:pt idx="167">
                  <c:v>80.98</c:v>
                </c:pt>
                <c:pt idx="168">
                  <c:v>80.900000000000006</c:v>
                </c:pt>
                <c:pt idx="169">
                  <c:v>80.91</c:v>
                </c:pt>
                <c:pt idx="170">
                  <c:v>80.91</c:v>
                </c:pt>
                <c:pt idx="171">
                  <c:v>80.89</c:v>
                </c:pt>
                <c:pt idx="172">
                  <c:v>80.88</c:v>
                </c:pt>
                <c:pt idx="173">
                  <c:v>80.87</c:v>
                </c:pt>
                <c:pt idx="174">
                  <c:v>80.88</c:v>
                </c:pt>
                <c:pt idx="175">
                  <c:v>80.930000000000007</c:v>
                </c:pt>
                <c:pt idx="176">
                  <c:v>80.91</c:v>
                </c:pt>
                <c:pt idx="177">
                  <c:v>80.92</c:v>
                </c:pt>
                <c:pt idx="178">
                  <c:v>80.87</c:v>
                </c:pt>
                <c:pt idx="179">
                  <c:v>80.97</c:v>
                </c:pt>
              </c:numCache>
            </c:numRef>
          </c:val>
          <c:smooth val="0"/>
          <c:extLst>
            <c:ext xmlns:c16="http://schemas.microsoft.com/office/drawing/2014/chart" uri="{C3380CC4-5D6E-409C-BE32-E72D297353CC}">
              <c16:uniqueId val="{00000004-F3A7-4533-956A-A326472CF84D}"/>
            </c:ext>
          </c:extLst>
        </c:ser>
        <c:dLbls>
          <c:showLegendKey val="0"/>
          <c:showVal val="0"/>
          <c:showCatName val="0"/>
          <c:showSerName val="0"/>
          <c:showPercent val="0"/>
          <c:showBubbleSize val="0"/>
        </c:dLbls>
        <c:smooth val="0"/>
        <c:axId val="329596008"/>
        <c:axId val="329596400"/>
        <c:extLst/>
      </c:lineChart>
      <c:catAx>
        <c:axId val="329596008"/>
        <c:scaling>
          <c:orientation val="minMax"/>
          <c:min val="1"/>
        </c:scaling>
        <c:delete val="0"/>
        <c:axPos val="b"/>
        <c:numFmt formatCode="d/m/yy\ h:mm;@" sourceLinked="0"/>
        <c:majorTickMark val="out"/>
        <c:minorTickMark val="none"/>
        <c:tickLblPos val="nextTo"/>
        <c:spPr>
          <a:ln/>
        </c:spPr>
        <c:crossAx val="329596400"/>
        <c:crosses val="autoZero"/>
        <c:auto val="0"/>
        <c:lblAlgn val="ctr"/>
        <c:lblOffset val="100"/>
        <c:tickMarkSkip val="1"/>
        <c:noMultiLvlLbl val="0"/>
      </c:catAx>
      <c:valAx>
        <c:axId val="329596400"/>
        <c:scaling>
          <c:orientation val="minMax"/>
          <c:max val="85"/>
          <c:min val="35"/>
        </c:scaling>
        <c:delete val="0"/>
        <c:axPos val="l"/>
        <c:majorGridlines/>
        <c:numFmt formatCode="General" sourceLinked="1"/>
        <c:majorTickMark val="out"/>
        <c:minorTickMark val="none"/>
        <c:tickLblPos val="nextTo"/>
        <c:crossAx val="329596008"/>
        <c:crosses val="autoZero"/>
        <c:crossBetween val="between"/>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200'!$B$1</c:f>
              <c:strCache>
                <c:ptCount val="1"/>
                <c:pt idx="0">
                  <c:v>Connecteur 1</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200'!$B$2:$B$98</c:f>
              <c:numCache>
                <c:formatCode>General</c:formatCode>
                <c:ptCount val="97"/>
                <c:pt idx="0">
                  <c:v>163.13</c:v>
                </c:pt>
                <c:pt idx="1">
                  <c:v>167.17</c:v>
                </c:pt>
                <c:pt idx="2">
                  <c:v>171.44</c:v>
                </c:pt>
                <c:pt idx="3">
                  <c:v>175.88</c:v>
                </c:pt>
                <c:pt idx="4">
                  <c:v>180.2</c:v>
                </c:pt>
                <c:pt idx="5">
                  <c:v>184.61</c:v>
                </c:pt>
                <c:pt idx="6">
                  <c:v>188.2</c:v>
                </c:pt>
                <c:pt idx="7">
                  <c:v>191.69</c:v>
                </c:pt>
                <c:pt idx="8">
                  <c:v>192.59</c:v>
                </c:pt>
                <c:pt idx="9">
                  <c:v>192.62</c:v>
                </c:pt>
                <c:pt idx="10">
                  <c:v>192.61</c:v>
                </c:pt>
                <c:pt idx="11">
                  <c:v>192.43</c:v>
                </c:pt>
                <c:pt idx="12">
                  <c:v>191.96</c:v>
                </c:pt>
                <c:pt idx="13">
                  <c:v>191.79</c:v>
                </c:pt>
                <c:pt idx="14">
                  <c:v>191.75</c:v>
                </c:pt>
                <c:pt idx="15">
                  <c:v>191.62</c:v>
                </c:pt>
                <c:pt idx="16">
                  <c:v>191.5</c:v>
                </c:pt>
                <c:pt idx="17">
                  <c:v>191.32</c:v>
                </c:pt>
                <c:pt idx="18">
                  <c:v>191.34</c:v>
                </c:pt>
                <c:pt idx="19">
                  <c:v>191.24</c:v>
                </c:pt>
                <c:pt idx="20">
                  <c:v>191.38</c:v>
                </c:pt>
                <c:pt idx="21">
                  <c:v>191.3</c:v>
                </c:pt>
                <c:pt idx="22">
                  <c:v>191.26</c:v>
                </c:pt>
                <c:pt idx="23">
                  <c:v>191.08</c:v>
                </c:pt>
                <c:pt idx="24">
                  <c:v>191.18</c:v>
                </c:pt>
                <c:pt idx="25">
                  <c:v>191.13</c:v>
                </c:pt>
                <c:pt idx="26">
                  <c:v>191.12</c:v>
                </c:pt>
                <c:pt idx="27">
                  <c:v>191.2</c:v>
                </c:pt>
                <c:pt idx="28">
                  <c:v>191.2</c:v>
                </c:pt>
                <c:pt idx="29">
                  <c:v>191.32</c:v>
                </c:pt>
                <c:pt idx="30">
                  <c:v>191.21</c:v>
                </c:pt>
                <c:pt idx="31">
                  <c:v>191.22</c:v>
                </c:pt>
                <c:pt idx="32">
                  <c:v>191.16</c:v>
                </c:pt>
                <c:pt idx="33">
                  <c:v>191.28</c:v>
                </c:pt>
                <c:pt idx="34">
                  <c:v>191.44</c:v>
                </c:pt>
                <c:pt idx="35">
                  <c:v>191.21</c:v>
                </c:pt>
                <c:pt idx="36">
                  <c:v>191.19</c:v>
                </c:pt>
                <c:pt idx="37">
                  <c:v>191.35</c:v>
                </c:pt>
                <c:pt idx="38">
                  <c:v>191.35</c:v>
                </c:pt>
                <c:pt idx="39">
                  <c:v>192.39</c:v>
                </c:pt>
                <c:pt idx="40">
                  <c:v>193.88</c:v>
                </c:pt>
                <c:pt idx="41">
                  <c:v>195.32</c:v>
                </c:pt>
                <c:pt idx="42">
                  <c:v>196.38</c:v>
                </c:pt>
                <c:pt idx="43">
                  <c:v>197.61</c:v>
                </c:pt>
                <c:pt idx="44">
                  <c:v>198.69</c:v>
                </c:pt>
                <c:pt idx="45">
                  <c:v>199.86</c:v>
                </c:pt>
                <c:pt idx="46">
                  <c:v>200.76</c:v>
                </c:pt>
                <c:pt idx="47">
                  <c:v>201.18</c:v>
                </c:pt>
                <c:pt idx="48">
                  <c:v>201.25</c:v>
                </c:pt>
                <c:pt idx="49">
                  <c:v>201.33</c:v>
                </c:pt>
                <c:pt idx="50">
                  <c:v>201.62</c:v>
                </c:pt>
                <c:pt idx="51">
                  <c:v>201.86</c:v>
                </c:pt>
                <c:pt idx="52">
                  <c:v>202.06</c:v>
                </c:pt>
                <c:pt idx="53">
                  <c:v>202.16</c:v>
                </c:pt>
                <c:pt idx="54">
                  <c:v>201.94</c:v>
                </c:pt>
                <c:pt idx="55">
                  <c:v>201.71</c:v>
                </c:pt>
                <c:pt idx="56">
                  <c:v>201.6</c:v>
                </c:pt>
                <c:pt idx="57">
                  <c:v>201.51</c:v>
                </c:pt>
                <c:pt idx="58">
                  <c:v>201.45</c:v>
                </c:pt>
                <c:pt idx="59">
                  <c:v>201.51</c:v>
                </c:pt>
                <c:pt idx="60">
                  <c:v>201.46</c:v>
                </c:pt>
                <c:pt idx="61">
                  <c:v>201.5</c:v>
                </c:pt>
                <c:pt idx="62">
                  <c:v>201.42</c:v>
                </c:pt>
                <c:pt idx="63">
                  <c:v>201.39</c:v>
                </c:pt>
                <c:pt idx="64">
                  <c:v>201.36</c:v>
                </c:pt>
                <c:pt idx="65">
                  <c:v>201.49</c:v>
                </c:pt>
                <c:pt idx="66">
                  <c:v>201.46</c:v>
                </c:pt>
                <c:pt idx="67">
                  <c:v>201.36</c:v>
                </c:pt>
                <c:pt idx="68">
                  <c:v>201.33</c:v>
                </c:pt>
                <c:pt idx="69">
                  <c:v>201.4</c:v>
                </c:pt>
                <c:pt idx="70">
                  <c:v>201.47</c:v>
                </c:pt>
                <c:pt idx="71">
                  <c:v>201.43</c:v>
                </c:pt>
                <c:pt idx="72">
                  <c:v>201.41</c:v>
                </c:pt>
                <c:pt idx="73">
                  <c:v>201.44</c:v>
                </c:pt>
                <c:pt idx="74">
                  <c:v>201.39</c:v>
                </c:pt>
                <c:pt idx="75">
                  <c:v>201.44</c:v>
                </c:pt>
                <c:pt idx="76">
                  <c:v>201.39</c:v>
                </c:pt>
                <c:pt idx="77">
                  <c:v>201.46</c:v>
                </c:pt>
                <c:pt idx="78">
                  <c:v>201.48</c:v>
                </c:pt>
                <c:pt idx="79">
                  <c:v>201.45</c:v>
                </c:pt>
                <c:pt idx="80">
                  <c:v>201.47</c:v>
                </c:pt>
                <c:pt idx="81">
                  <c:v>201.5</c:v>
                </c:pt>
                <c:pt idx="82">
                  <c:v>201.43</c:v>
                </c:pt>
                <c:pt idx="83">
                  <c:v>201.36</c:v>
                </c:pt>
                <c:pt idx="84">
                  <c:v>201.38</c:v>
                </c:pt>
                <c:pt idx="85">
                  <c:v>201.46</c:v>
                </c:pt>
                <c:pt idx="86">
                  <c:v>201.47</c:v>
                </c:pt>
                <c:pt idx="87">
                  <c:v>201.48</c:v>
                </c:pt>
                <c:pt idx="88">
                  <c:v>201.41</c:v>
                </c:pt>
                <c:pt idx="89">
                  <c:v>201.51</c:v>
                </c:pt>
                <c:pt idx="90">
                  <c:v>201.46</c:v>
                </c:pt>
                <c:pt idx="91">
                  <c:v>201.52</c:v>
                </c:pt>
                <c:pt idx="92">
                  <c:v>201.4</c:v>
                </c:pt>
                <c:pt idx="93">
                  <c:v>201.52</c:v>
                </c:pt>
                <c:pt idx="94">
                  <c:v>201.38</c:v>
                </c:pt>
                <c:pt idx="95">
                  <c:v>201.42</c:v>
                </c:pt>
                <c:pt idx="96">
                  <c:v>201.38</c:v>
                </c:pt>
              </c:numCache>
            </c:numRef>
          </c:val>
          <c:smooth val="0"/>
          <c:extLst xmlns:c15="http://schemas.microsoft.com/office/drawing/2012/chart">
            <c:ext xmlns:c16="http://schemas.microsoft.com/office/drawing/2014/chart" uri="{C3380CC4-5D6E-409C-BE32-E72D297353CC}">
              <c16:uniqueId val="{00000000-B5C6-462F-9759-2EDEB9FDA0AD}"/>
            </c:ext>
          </c:extLst>
        </c:ser>
        <c:ser>
          <c:idx val="1"/>
          <c:order val="1"/>
          <c:tx>
            <c:strRef>
              <c:f>'transfert 200'!$C$1</c:f>
              <c:strCache>
                <c:ptCount val="1"/>
                <c:pt idx="0">
                  <c:v>Connecteur 2</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200'!$C$2:$C$98</c:f>
              <c:numCache>
                <c:formatCode>General</c:formatCode>
                <c:ptCount val="97"/>
                <c:pt idx="0">
                  <c:v>163.51</c:v>
                </c:pt>
                <c:pt idx="1">
                  <c:v>167.41</c:v>
                </c:pt>
                <c:pt idx="2">
                  <c:v>172.08</c:v>
                </c:pt>
                <c:pt idx="3">
                  <c:v>176.39</c:v>
                </c:pt>
                <c:pt idx="4">
                  <c:v>180.15</c:v>
                </c:pt>
                <c:pt idx="5">
                  <c:v>184.68</c:v>
                </c:pt>
                <c:pt idx="6">
                  <c:v>188.8</c:v>
                </c:pt>
                <c:pt idx="7">
                  <c:v>192.37</c:v>
                </c:pt>
                <c:pt idx="8">
                  <c:v>192.99</c:v>
                </c:pt>
                <c:pt idx="9">
                  <c:v>192.81</c:v>
                </c:pt>
                <c:pt idx="10">
                  <c:v>192.79</c:v>
                </c:pt>
                <c:pt idx="11">
                  <c:v>192.27</c:v>
                </c:pt>
                <c:pt idx="12">
                  <c:v>192.04</c:v>
                </c:pt>
                <c:pt idx="13">
                  <c:v>191.96</c:v>
                </c:pt>
                <c:pt idx="14">
                  <c:v>191.83</c:v>
                </c:pt>
                <c:pt idx="15">
                  <c:v>191.61</c:v>
                </c:pt>
                <c:pt idx="16">
                  <c:v>191.29</c:v>
                </c:pt>
                <c:pt idx="17">
                  <c:v>191.23</c:v>
                </c:pt>
                <c:pt idx="18">
                  <c:v>191.19</c:v>
                </c:pt>
                <c:pt idx="19">
                  <c:v>191.14</c:v>
                </c:pt>
                <c:pt idx="20">
                  <c:v>191.22</c:v>
                </c:pt>
                <c:pt idx="21">
                  <c:v>191.19</c:v>
                </c:pt>
                <c:pt idx="22">
                  <c:v>191.1</c:v>
                </c:pt>
                <c:pt idx="23">
                  <c:v>190.93</c:v>
                </c:pt>
                <c:pt idx="24">
                  <c:v>191.03</c:v>
                </c:pt>
                <c:pt idx="25">
                  <c:v>190.99</c:v>
                </c:pt>
                <c:pt idx="26">
                  <c:v>190.99</c:v>
                </c:pt>
                <c:pt idx="27">
                  <c:v>191.1</c:v>
                </c:pt>
                <c:pt idx="28">
                  <c:v>191.11</c:v>
                </c:pt>
                <c:pt idx="29">
                  <c:v>191.13</c:v>
                </c:pt>
                <c:pt idx="30">
                  <c:v>191.09</c:v>
                </c:pt>
                <c:pt idx="31">
                  <c:v>191.04</c:v>
                </c:pt>
                <c:pt idx="32">
                  <c:v>190.98</c:v>
                </c:pt>
                <c:pt idx="33">
                  <c:v>191.09</c:v>
                </c:pt>
                <c:pt idx="34">
                  <c:v>191.27</c:v>
                </c:pt>
                <c:pt idx="35">
                  <c:v>191.02</c:v>
                </c:pt>
                <c:pt idx="36">
                  <c:v>191.03</c:v>
                </c:pt>
                <c:pt idx="37">
                  <c:v>191.17</c:v>
                </c:pt>
                <c:pt idx="38">
                  <c:v>191.2</c:v>
                </c:pt>
                <c:pt idx="39">
                  <c:v>192.17</c:v>
                </c:pt>
                <c:pt idx="40">
                  <c:v>193.68</c:v>
                </c:pt>
                <c:pt idx="41">
                  <c:v>195.06</c:v>
                </c:pt>
                <c:pt idx="42">
                  <c:v>196.23</c:v>
                </c:pt>
                <c:pt idx="43">
                  <c:v>197.53</c:v>
                </c:pt>
                <c:pt idx="44">
                  <c:v>198.58</c:v>
                </c:pt>
                <c:pt idx="45">
                  <c:v>199.68</c:v>
                </c:pt>
                <c:pt idx="46">
                  <c:v>200.62</c:v>
                </c:pt>
                <c:pt idx="47">
                  <c:v>201.13</c:v>
                </c:pt>
                <c:pt idx="48">
                  <c:v>201.17</c:v>
                </c:pt>
                <c:pt idx="49">
                  <c:v>201.29</c:v>
                </c:pt>
                <c:pt idx="50">
                  <c:v>201.52</c:v>
                </c:pt>
                <c:pt idx="51">
                  <c:v>201.77</c:v>
                </c:pt>
                <c:pt idx="52">
                  <c:v>201.99</c:v>
                </c:pt>
                <c:pt idx="53">
                  <c:v>202.04</c:v>
                </c:pt>
                <c:pt idx="54">
                  <c:v>201.84</c:v>
                </c:pt>
                <c:pt idx="55">
                  <c:v>201.55</c:v>
                </c:pt>
                <c:pt idx="56">
                  <c:v>201.47</c:v>
                </c:pt>
                <c:pt idx="57">
                  <c:v>201.35</c:v>
                </c:pt>
                <c:pt idx="58">
                  <c:v>201.26</c:v>
                </c:pt>
                <c:pt idx="59">
                  <c:v>201.31</c:v>
                </c:pt>
                <c:pt idx="60">
                  <c:v>201.29</c:v>
                </c:pt>
                <c:pt idx="61">
                  <c:v>201.3</c:v>
                </c:pt>
                <c:pt idx="62">
                  <c:v>201.22</c:v>
                </c:pt>
                <c:pt idx="63">
                  <c:v>201.19</c:v>
                </c:pt>
                <c:pt idx="64">
                  <c:v>201.19</c:v>
                </c:pt>
                <c:pt idx="65">
                  <c:v>201.31</c:v>
                </c:pt>
                <c:pt idx="66">
                  <c:v>201.26</c:v>
                </c:pt>
                <c:pt idx="67">
                  <c:v>201.19</c:v>
                </c:pt>
                <c:pt idx="68">
                  <c:v>201.18</c:v>
                </c:pt>
                <c:pt idx="69">
                  <c:v>201.18</c:v>
                </c:pt>
                <c:pt idx="70">
                  <c:v>201.26</c:v>
                </c:pt>
                <c:pt idx="71">
                  <c:v>201.27</c:v>
                </c:pt>
                <c:pt idx="72">
                  <c:v>201.24</c:v>
                </c:pt>
                <c:pt idx="73">
                  <c:v>201.24</c:v>
                </c:pt>
                <c:pt idx="74">
                  <c:v>201.16</c:v>
                </c:pt>
                <c:pt idx="75">
                  <c:v>201.3</c:v>
                </c:pt>
                <c:pt idx="76">
                  <c:v>201.23</c:v>
                </c:pt>
                <c:pt idx="77">
                  <c:v>201.32</c:v>
                </c:pt>
                <c:pt idx="78">
                  <c:v>201.32</c:v>
                </c:pt>
                <c:pt idx="79">
                  <c:v>201.27</c:v>
                </c:pt>
                <c:pt idx="80">
                  <c:v>201.27</c:v>
                </c:pt>
                <c:pt idx="81">
                  <c:v>201.36</c:v>
                </c:pt>
                <c:pt idx="82">
                  <c:v>201.25</c:v>
                </c:pt>
                <c:pt idx="83">
                  <c:v>201.18</c:v>
                </c:pt>
                <c:pt idx="84">
                  <c:v>201.14</c:v>
                </c:pt>
                <c:pt idx="85">
                  <c:v>201.3</c:v>
                </c:pt>
                <c:pt idx="86">
                  <c:v>201.29</c:v>
                </c:pt>
                <c:pt idx="87">
                  <c:v>201.26</c:v>
                </c:pt>
                <c:pt idx="88">
                  <c:v>201.22</c:v>
                </c:pt>
                <c:pt idx="89">
                  <c:v>201.31</c:v>
                </c:pt>
                <c:pt idx="90">
                  <c:v>201.27</c:v>
                </c:pt>
                <c:pt idx="91">
                  <c:v>201.33</c:v>
                </c:pt>
                <c:pt idx="92">
                  <c:v>201.21</c:v>
                </c:pt>
                <c:pt idx="93">
                  <c:v>201.31</c:v>
                </c:pt>
                <c:pt idx="94">
                  <c:v>201.21</c:v>
                </c:pt>
                <c:pt idx="95">
                  <c:v>201.21</c:v>
                </c:pt>
                <c:pt idx="96">
                  <c:v>201.22</c:v>
                </c:pt>
              </c:numCache>
            </c:numRef>
          </c:val>
          <c:smooth val="0"/>
          <c:extLst>
            <c:ext xmlns:c16="http://schemas.microsoft.com/office/drawing/2014/chart" uri="{C3380CC4-5D6E-409C-BE32-E72D297353CC}">
              <c16:uniqueId val="{00000001-B5C6-462F-9759-2EDEB9FDA0AD}"/>
            </c:ext>
          </c:extLst>
        </c:ser>
        <c:ser>
          <c:idx val="2"/>
          <c:order val="2"/>
          <c:tx>
            <c:strRef>
              <c:f>'transfert 200'!$D$1</c:f>
              <c:strCache>
                <c:ptCount val="1"/>
                <c:pt idx="0">
                  <c:v>Connecteur 3</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200'!$D$2:$D$98</c:f>
              <c:numCache>
                <c:formatCode>General</c:formatCode>
                <c:ptCount val="97"/>
                <c:pt idx="0">
                  <c:v>159.65</c:v>
                </c:pt>
                <c:pt idx="1">
                  <c:v>164.07</c:v>
                </c:pt>
                <c:pt idx="2">
                  <c:v>168.3</c:v>
                </c:pt>
                <c:pt idx="3">
                  <c:v>172.91</c:v>
                </c:pt>
                <c:pt idx="4">
                  <c:v>177.07</c:v>
                </c:pt>
                <c:pt idx="5">
                  <c:v>181.28</c:v>
                </c:pt>
                <c:pt idx="6">
                  <c:v>185.37</c:v>
                </c:pt>
                <c:pt idx="7">
                  <c:v>188.84</c:v>
                </c:pt>
                <c:pt idx="8">
                  <c:v>190.12</c:v>
                </c:pt>
                <c:pt idx="9">
                  <c:v>190.46</c:v>
                </c:pt>
                <c:pt idx="10">
                  <c:v>190.73</c:v>
                </c:pt>
                <c:pt idx="11">
                  <c:v>190.7</c:v>
                </c:pt>
                <c:pt idx="12">
                  <c:v>190.57</c:v>
                </c:pt>
                <c:pt idx="13">
                  <c:v>190.65</c:v>
                </c:pt>
                <c:pt idx="14">
                  <c:v>190.64</c:v>
                </c:pt>
                <c:pt idx="15">
                  <c:v>190.67</c:v>
                </c:pt>
                <c:pt idx="16">
                  <c:v>190.64</c:v>
                </c:pt>
                <c:pt idx="17">
                  <c:v>190.52</c:v>
                </c:pt>
                <c:pt idx="18">
                  <c:v>190.52</c:v>
                </c:pt>
                <c:pt idx="19">
                  <c:v>190.61</c:v>
                </c:pt>
                <c:pt idx="20">
                  <c:v>190.75</c:v>
                </c:pt>
                <c:pt idx="21">
                  <c:v>190.74</c:v>
                </c:pt>
                <c:pt idx="22">
                  <c:v>190.69</c:v>
                </c:pt>
                <c:pt idx="23">
                  <c:v>190.64</c:v>
                </c:pt>
                <c:pt idx="24">
                  <c:v>190.76</c:v>
                </c:pt>
                <c:pt idx="25">
                  <c:v>190.67</c:v>
                </c:pt>
                <c:pt idx="26">
                  <c:v>190.69</c:v>
                </c:pt>
                <c:pt idx="27">
                  <c:v>190.85</c:v>
                </c:pt>
                <c:pt idx="28">
                  <c:v>190.84</c:v>
                </c:pt>
                <c:pt idx="29">
                  <c:v>190.89</c:v>
                </c:pt>
                <c:pt idx="30">
                  <c:v>190.87</c:v>
                </c:pt>
                <c:pt idx="31">
                  <c:v>190.85</c:v>
                </c:pt>
                <c:pt idx="32">
                  <c:v>190.83</c:v>
                </c:pt>
                <c:pt idx="33">
                  <c:v>190.91</c:v>
                </c:pt>
                <c:pt idx="34">
                  <c:v>191.1</c:v>
                </c:pt>
                <c:pt idx="35">
                  <c:v>190.92</c:v>
                </c:pt>
                <c:pt idx="36">
                  <c:v>190.92</c:v>
                </c:pt>
                <c:pt idx="37">
                  <c:v>191.02</c:v>
                </c:pt>
                <c:pt idx="38">
                  <c:v>191.05</c:v>
                </c:pt>
                <c:pt idx="39">
                  <c:v>191.96</c:v>
                </c:pt>
                <c:pt idx="40">
                  <c:v>193.31</c:v>
                </c:pt>
                <c:pt idx="41">
                  <c:v>194.62</c:v>
                </c:pt>
                <c:pt idx="42">
                  <c:v>195.68</c:v>
                </c:pt>
                <c:pt idx="43">
                  <c:v>196.8</c:v>
                </c:pt>
                <c:pt idx="44">
                  <c:v>197.87</c:v>
                </c:pt>
                <c:pt idx="45">
                  <c:v>198.97</c:v>
                </c:pt>
                <c:pt idx="46">
                  <c:v>199.97</c:v>
                </c:pt>
                <c:pt idx="47">
                  <c:v>200.45</c:v>
                </c:pt>
                <c:pt idx="48">
                  <c:v>200.62</c:v>
                </c:pt>
                <c:pt idx="49">
                  <c:v>200.77</c:v>
                </c:pt>
                <c:pt idx="50">
                  <c:v>201.01</c:v>
                </c:pt>
                <c:pt idx="51">
                  <c:v>201.28</c:v>
                </c:pt>
                <c:pt idx="52">
                  <c:v>201.57</c:v>
                </c:pt>
                <c:pt idx="53">
                  <c:v>201.66</c:v>
                </c:pt>
                <c:pt idx="54">
                  <c:v>201.54</c:v>
                </c:pt>
                <c:pt idx="55">
                  <c:v>201.37</c:v>
                </c:pt>
                <c:pt idx="56">
                  <c:v>201.27</c:v>
                </c:pt>
                <c:pt idx="57">
                  <c:v>201.15</c:v>
                </c:pt>
                <c:pt idx="58">
                  <c:v>201.14</c:v>
                </c:pt>
                <c:pt idx="59">
                  <c:v>201.18</c:v>
                </c:pt>
                <c:pt idx="60">
                  <c:v>201.19</c:v>
                </c:pt>
                <c:pt idx="61">
                  <c:v>201.21</c:v>
                </c:pt>
                <c:pt idx="62">
                  <c:v>201.12</c:v>
                </c:pt>
                <c:pt idx="63">
                  <c:v>201.09</c:v>
                </c:pt>
                <c:pt idx="64">
                  <c:v>201.08</c:v>
                </c:pt>
                <c:pt idx="65">
                  <c:v>201.22</c:v>
                </c:pt>
                <c:pt idx="66">
                  <c:v>201.21</c:v>
                </c:pt>
                <c:pt idx="67">
                  <c:v>201.18</c:v>
                </c:pt>
                <c:pt idx="68">
                  <c:v>201.12</c:v>
                </c:pt>
                <c:pt idx="69">
                  <c:v>201.14</c:v>
                </c:pt>
                <c:pt idx="70">
                  <c:v>201.19</c:v>
                </c:pt>
                <c:pt idx="71">
                  <c:v>201.21</c:v>
                </c:pt>
                <c:pt idx="72">
                  <c:v>201.19</c:v>
                </c:pt>
                <c:pt idx="73">
                  <c:v>201.2</c:v>
                </c:pt>
                <c:pt idx="74">
                  <c:v>201.16</c:v>
                </c:pt>
                <c:pt idx="75">
                  <c:v>201.22</c:v>
                </c:pt>
                <c:pt idx="76">
                  <c:v>201.18</c:v>
                </c:pt>
                <c:pt idx="77">
                  <c:v>201.21</c:v>
                </c:pt>
                <c:pt idx="78">
                  <c:v>201.27</c:v>
                </c:pt>
                <c:pt idx="79">
                  <c:v>201.2</c:v>
                </c:pt>
                <c:pt idx="80">
                  <c:v>201.23</c:v>
                </c:pt>
                <c:pt idx="81">
                  <c:v>201.29</c:v>
                </c:pt>
                <c:pt idx="82">
                  <c:v>201.2</c:v>
                </c:pt>
                <c:pt idx="83">
                  <c:v>201.18</c:v>
                </c:pt>
                <c:pt idx="84">
                  <c:v>201.13</c:v>
                </c:pt>
                <c:pt idx="85">
                  <c:v>201.25</c:v>
                </c:pt>
                <c:pt idx="86">
                  <c:v>201.26</c:v>
                </c:pt>
                <c:pt idx="87">
                  <c:v>201.23</c:v>
                </c:pt>
                <c:pt idx="88">
                  <c:v>201.21</c:v>
                </c:pt>
                <c:pt idx="89">
                  <c:v>201.27</c:v>
                </c:pt>
                <c:pt idx="90">
                  <c:v>201.25</c:v>
                </c:pt>
                <c:pt idx="91">
                  <c:v>201.29</c:v>
                </c:pt>
                <c:pt idx="92">
                  <c:v>201.22</c:v>
                </c:pt>
                <c:pt idx="93">
                  <c:v>201.27</c:v>
                </c:pt>
                <c:pt idx="94">
                  <c:v>201.18</c:v>
                </c:pt>
                <c:pt idx="95">
                  <c:v>201.21</c:v>
                </c:pt>
                <c:pt idx="96">
                  <c:v>201.21</c:v>
                </c:pt>
              </c:numCache>
            </c:numRef>
          </c:val>
          <c:smooth val="0"/>
          <c:extLst>
            <c:ext xmlns:c16="http://schemas.microsoft.com/office/drawing/2014/chart" uri="{C3380CC4-5D6E-409C-BE32-E72D297353CC}">
              <c16:uniqueId val="{00000002-B5C6-462F-9759-2EDEB9FDA0AD}"/>
            </c:ext>
          </c:extLst>
        </c:ser>
        <c:ser>
          <c:idx val="3"/>
          <c:order val="3"/>
          <c:tx>
            <c:strRef>
              <c:f>'transfert 200'!$E$1</c:f>
              <c:strCache>
                <c:ptCount val="1"/>
                <c:pt idx="0">
                  <c:v>Connecteur 4</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200'!$E$2:$E$98</c:f>
              <c:numCache>
                <c:formatCode>General</c:formatCode>
                <c:ptCount val="97"/>
                <c:pt idx="0">
                  <c:v>165.95</c:v>
                </c:pt>
                <c:pt idx="1">
                  <c:v>170.34</c:v>
                </c:pt>
                <c:pt idx="2">
                  <c:v>174.62</c:v>
                </c:pt>
                <c:pt idx="3">
                  <c:v>178.8</c:v>
                </c:pt>
                <c:pt idx="4">
                  <c:v>183.03</c:v>
                </c:pt>
                <c:pt idx="5">
                  <c:v>187.17</c:v>
                </c:pt>
                <c:pt idx="6">
                  <c:v>191.39</c:v>
                </c:pt>
                <c:pt idx="7">
                  <c:v>194.52</c:v>
                </c:pt>
                <c:pt idx="8">
                  <c:v>194.9</c:v>
                </c:pt>
                <c:pt idx="9">
                  <c:v>194.69</c:v>
                </c:pt>
                <c:pt idx="10">
                  <c:v>194.33</c:v>
                </c:pt>
                <c:pt idx="11">
                  <c:v>193.55</c:v>
                </c:pt>
                <c:pt idx="12">
                  <c:v>193.15</c:v>
                </c:pt>
                <c:pt idx="13">
                  <c:v>192.89</c:v>
                </c:pt>
                <c:pt idx="14">
                  <c:v>192.62</c:v>
                </c:pt>
                <c:pt idx="15">
                  <c:v>192.35</c:v>
                </c:pt>
                <c:pt idx="16">
                  <c:v>192.05</c:v>
                </c:pt>
                <c:pt idx="17">
                  <c:v>191.8</c:v>
                </c:pt>
                <c:pt idx="18">
                  <c:v>191.72</c:v>
                </c:pt>
                <c:pt idx="19">
                  <c:v>191.6</c:v>
                </c:pt>
                <c:pt idx="20">
                  <c:v>191.68</c:v>
                </c:pt>
                <c:pt idx="21">
                  <c:v>191.58</c:v>
                </c:pt>
                <c:pt idx="22">
                  <c:v>191.42</c:v>
                </c:pt>
                <c:pt idx="23">
                  <c:v>191.29</c:v>
                </c:pt>
                <c:pt idx="24">
                  <c:v>191.34</c:v>
                </c:pt>
                <c:pt idx="25">
                  <c:v>191.22</c:v>
                </c:pt>
                <c:pt idx="26">
                  <c:v>191.18</c:v>
                </c:pt>
                <c:pt idx="27">
                  <c:v>191.29</c:v>
                </c:pt>
                <c:pt idx="28">
                  <c:v>191.22</c:v>
                </c:pt>
                <c:pt idx="29">
                  <c:v>191.3</c:v>
                </c:pt>
                <c:pt idx="30">
                  <c:v>191.23</c:v>
                </c:pt>
                <c:pt idx="31">
                  <c:v>191.19</c:v>
                </c:pt>
                <c:pt idx="32">
                  <c:v>191.1</c:v>
                </c:pt>
                <c:pt idx="33">
                  <c:v>191.26</c:v>
                </c:pt>
                <c:pt idx="34">
                  <c:v>191.42</c:v>
                </c:pt>
                <c:pt idx="35">
                  <c:v>191.15</c:v>
                </c:pt>
                <c:pt idx="36">
                  <c:v>191.16</c:v>
                </c:pt>
                <c:pt idx="37">
                  <c:v>191.27</c:v>
                </c:pt>
                <c:pt idx="38">
                  <c:v>191.31</c:v>
                </c:pt>
                <c:pt idx="39">
                  <c:v>192.38</c:v>
                </c:pt>
                <c:pt idx="40">
                  <c:v>194.03</c:v>
                </c:pt>
                <c:pt idx="41">
                  <c:v>195.52</c:v>
                </c:pt>
                <c:pt idx="42">
                  <c:v>196.68</c:v>
                </c:pt>
                <c:pt idx="43">
                  <c:v>197.91</c:v>
                </c:pt>
                <c:pt idx="44">
                  <c:v>199.11</c:v>
                </c:pt>
                <c:pt idx="45">
                  <c:v>200.22</c:v>
                </c:pt>
                <c:pt idx="46">
                  <c:v>201.19</c:v>
                </c:pt>
                <c:pt idx="47">
                  <c:v>201.56</c:v>
                </c:pt>
                <c:pt idx="48">
                  <c:v>201.62</c:v>
                </c:pt>
                <c:pt idx="49">
                  <c:v>201.64</c:v>
                </c:pt>
                <c:pt idx="50">
                  <c:v>201.85</c:v>
                </c:pt>
                <c:pt idx="51">
                  <c:v>202.12</c:v>
                </c:pt>
                <c:pt idx="52">
                  <c:v>202.3</c:v>
                </c:pt>
                <c:pt idx="53">
                  <c:v>202.31</c:v>
                </c:pt>
                <c:pt idx="54">
                  <c:v>201.99</c:v>
                </c:pt>
                <c:pt idx="55">
                  <c:v>201.76</c:v>
                </c:pt>
                <c:pt idx="56">
                  <c:v>201.62</c:v>
                </c:pt>
                <c:pt idx="57">
                  <c:v>201.47</c:v>
                </c:pt>
                <c:pt idx="58">
                  <c:v>201.42</c:v>
                </c:pt>
                <c:pt idx="59">
                  <c:v>201.47</c:v>
                </c:pt>
                <c:pt idx="60">
                  <c:v>201.38</c:v>
                </c:pt>
                <c:pt idx="61">
                  <c:v>201.41</c:v>
                </c:pt>
                <c:pt idx="62">
                  <c:v>201.32</c:v>
                </c:pt>
                <c:pt idx="63">
                  <c:v>201.27</c:v>
                </c:pt>
                <c:pt idx="64">
                  <c:v>201.24</c:v>
                </c:pt>
                <c:pt idx="65">
                  <c:v>201.39</c:v>
                </c:pt>
                <c:pt idx="66">
                  <c:v>201.35</c:v>
                </c:pt>
                <c:pt idx="67">
                  <c:v>201.25</c:v>
                </c:pt>
                <c:pt idx="68">
                  <c:v>201.27</c:v>
                </c:pt>
                <c:pt idx="69">
                  <c:v>201.23</c:v>
                </c:pt>
                <c:pt idx="70">
                  <c:v>201.32</c:v>
                </c:pt>
                <c:pt idx="71">
                  <c:v>201.33</c:v>
                </c:pt>
                <c:pt idx="72">
                  <c:v>201.28</c:v>
                </c:pt>
                <c:pt idx="73">
                  <c:v>201.27</c:v>
                </c:pt>
                <c:pt idx="74">
                  <c:v>201.23</c:v>
                </c:pt>
                <c:pt idx="75">
                  <c:v>201.34</c:v>
                </c:pt>
                <c:pt idx="76">
                  <c:v>201.29</c:v>
                </c:pt>
                <c:pt idx="77">
                  <c:v>201.37</c:v>
                </c:pt>
                <c:pt idx="78">
                  <c:v>201.39</c:v>
                </c:pt>
                <c:pt idx="79">
                  <c:v>201.29</c:v>
                </c:pt>
                <c:pt idx="80">
                  <c:v>201.31</c:v>
                </c:pt>
                <c:pt idx="81">
                  <c:v>201.4</c:v>
                </c:pt>
                <c:pt idx="82">
                  <c:v>201.27</c:v>
                </c:pt>
                <c:pt idx="83">
                  <c:v>201.22</c:v>
                </c:pt>
                <c:pt idx="84">
                  <c:v>201.22</c:v>
                </c:pt>
                <c:pt idx="85">
                  <c:v>201.31</c:v>
                </c:pt>
                <c:pt idx="86">
                  <c:v>201.31</c:v>
                </c:pt>
                <c:pt idx="87">
                  <c:v>201.29</c:v>
                </c:pt>
                <c:pt idx="88">
                  <c:v>201.3</c:v>
                </c:pt>
                <c:pt idx="89">
                  <c:v>201.35</c:v>
                </c:pt>
                <c:pt idx="90">
                  <c:v>201.31</c:v>
                </c:pt>
                <c:pt idx="91">
                  <c:v>201.37</c:v>
                </c:pt>
                <c:pt idx="92">
                  <c:v>201.27</c:v>
                </c:pt>
                <c:pt idx="93">
                  <c:v>201.34</c:v>
                </c:pt>
                <c:pt idx="94">
                  <c:v>201.23</c:v>
                </c:pt>
                <c:pt idx="95">
                  <c:v>201.26</c:v>
                </c:pt>
                <c:pt idx="96">
                  <c:v>201.23</c:v>
                </c:pt>
              </c:numCache>
            </c:numRef>
          </c:val>
          <c:smooth val="0"/>
          <c:extLst>
            <c:ext xmlns:c16="http://schemas.microsoft.com/office/drawing/2014/chart" uri="{C3380CC4-5D6E-409C-BE32-E72D297353CC}">
              <c16:uniqueId val="{00000003-B5C6-462F-9759-2EDEB9FDA0AD}"/>
            </c:ext>
          </c:extLst>
        </c:ser>
        <c:ser>
          <c:idx val="4"/>
          <c:order val="4"/>
          <c:tx>
            <c:strRef>
              <c:f>'transfert 200'!$F$1</c:f>
              <c:strCache>
                <c:ptCount val="1"/>
                <c:pt idx="0">
                  <c:v>Connecteur 5</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200'!$F$2:$F$98</c:f>
              <c:numCache>
                <c:formatCode>General</c:formatCode>
                <c:ptCount val="97"/>
                <c:pt idx="0">
                  <c:v>165.79</c:v>
                </c:pt>
                <c:pt idx="1">
                  <c:v>170.05</c:v>
                </c:pt>
                <c:pt idx="2">
                  <c:v>174.4</c:v>
                </c:pt>
                <c:pt idx="3">
                  <c:v>178.58</c:v>
                </c:pt>
                <c:pt idx="4">
                  <c:v>182.83</c:v>
                </c:pt>
                <c:pt idx="5">
                  <c:v>187.14</c:v>
                </c:pt>
                <c:pt idx="6">
                  <c:v>190.95</c:v>
                </c:pt>
                <c:pt idx="7">
                  <c:v>194.24</c:v>
                </c:pt>
                <c:pt idx="8">
                  <c:v>194.68</c:v>
                </c:pt>
                <c:pt idx="9">
                  <c:v>194.42</c:v>
                </c:pt>
                <c:pt idx="10">
                  <c:v>194.25</c:v>
                </c:pt>
                <c:pt idx="11">
                  <c:v>193.82</c:v>
                </c:pt>
                <c:pt idx="12">
                  <c:v>193.22</c:v>
                </c:pt>
                <c:pt idx="13">
                  <c:v>192.94</c:v>
                </c:pt>
                <c:pt idx="14">
                  <c:v>192.77</c:v>
                </c:pt>
                <c:pt idx="15">
                  <c:v>192.49</c:v>
                </c:pt>
                <c:pt idx="16">
                  <c:v>192.31</c:v>
                </c:pt>
                <c:pt idx="17">
                  <c:v>191.95</c:v>
                </c:pt>
                <c:pt idx="18">
                  <c:v>191.91</c:v>
                </c:pt>
                <c:pt idx="19">
                  <c:v>191.87</c:v>
                </c:pt>
                <c:pt idx="20">
                  <c:v>191.84</c:v>
                </c:pt>
                <c:pt idx="21">
                  <c:v>191.78</c:v>
                </c:pt>
                <c:pt idx="22">
                  <c:v>191.48</c:v>
                </c:pt>
                <c:pt idx="23">
                  <c:v>191.43</c:v>
                </c:pt>
                <c:pt idx="24">
                  <c:v>191.48</c:v>
                </c:pt>
                <c:pt idx="25">
                  <c:v>191.36</c:v>
                </c:pt>
                <c:pt idx="26">
                  <c:v>191.25</c:v>
                </c:pt>
                <c:pt idx="27">
                  <c:v>191.38</c:v>
                </c:pt>
                <c:pt idx="28">
                  <c:v>191.42</c:v>
                </c:pt>
                <c:pt idx="29">
                  <c:v>191.39</c:v>
                </c:pt>
                <c:pt idx="30">
                  <c:v>191.27</c:v>
                </c:pt>
                <c:pt idx="31">
                  <c:v>191.35</c:v>
                </c:pt>
                <c:pt idx="32">
                  <c:v>191.17</c:v>
                </c:pt>
                <c:pt idx="33">
                  <c:v>191.34</c:v>
                </c:pt>
                <c:pt idx="34">
                  <c:v>191.49</c:v>
                </c:pt>
                <c:pt idx="35">
                  <c:v>191.33</c:v>
                </c:pt>
                <c:pt idx="36">
                  <c:v>191.21</c:v>
                </c:pt>
                <c:pt idx="37">
                  <c:v>191.4</c:v>
                </c:pt>
                <c:pt idx="38">
                  <c:v>191.52</c:v>
                </c:pt>
                <c:pt idx="39">
                  <c:v>192.43</c:v>
                </c:pt>
                <c:pt idx="40">
                  <c:v>193.98</c:v>
                </c:pt>
                <c:pt idx="41">
                  <c:v>195.5</c:v>
                </c:pt>
                <c:pt idx="42">
                  <c:v>196.61</c:v>
                </c:pt>
                <c:pt idx="43">
                  <c:v>197.85</c:v>
                </c:pt>
                <c:pt idx="44">
                  <c:v>199.02</c:v>
                </c:pt>
                <c:pt idx="45">
                  <c:v>200.09</c:v>
                </c:pt>
                <c:pt idx="46">
                  <c:v>201.03</c:v>
                </c:pt>
                <c:pt idx="47">
                  <c:v>201.44</c:v>
                </c:pt>
                <c:pt idx="48">
                  <c:v>201.56</c:v>
                </c:pt>
                <c:pt idx="49">
                  <c:v>201.62</c:v>
                </c:pt>
                <c:pt idx="50">
                  <c:v>201.75</c:v>
                </c:pt>
                <c:pt idx="51">
                  <c:v>202.06</c:v>
                </c:pt>
                <c:pt idx="52">
                  <c:v>202.26</c:v>
                </c:pt>
                <c:pt idx="53">
                  <c:v>202.36</c:v>
                </c:pt>
                <c:pt idx="54">
                  <c:v>202.1</c:v>
                </c:pt>
                <c:pt idx="55">
                  <c:v>201.8</c:v>
                </c:pt>
                <c:pt idx="56">
                  <c:v>201.69</c:v>
                </c:pt>
                <c:pt idx="57">
                  <c:v>201.52</c:v>
                </c:pt>
                <c:pt idx="58">
                  <c:v>201.57</c:v>
                </c:pt>
                <c:pt idx="59">
                  <c:v>201.54</c:v>
                </c:pt>
                <c:pt idx="60">
                  <c:v>201.47</c:v>
                </c:pt>
                <c:pt idx="61">
                  <c:v>201.43</c:v>
                </c:pt>
                <c:pt idx="62">
                  <c:v>201.45</c:v>
                </c:pt>
                <c:pt idx="63">
                  <c:v>201.28</c:v>
                </c:pt>
                <c:pt idx="64">
                  <c:v>201.37</c:v>
                </c:pt>
                <c:pt idx="65">
                  <c:v>201.52</c:v>
                </c:pt>
                <c:pt idx="66">
                  <c:v>201.34</c:v>
                </c:pt>
                <c:pt idx="67">
                  <c:v>201.45</c:v>
                </c:pt>
                <c:pt idx="68">
                  <c:v>201.33</c:v>
                </c:pt>
                <c:pt idx="69">
                  <c:v>201.17</c:v>
                </c:pt>
                <c:pt idx="70">
                  <c:v>201.36</c:v>
                </c:pt>
                <c:pt idx="71">
                  <c:v>201.33</c:v>
                </c:pt>
                <c:pt idx="72">
                  <c:v>201.36</c:v>
                </c:pt>
                <c:pt idx="73">
                  <c:v>201.42</c:v>
                </c:pt>
                <c:pt idx="74">
                  <c:v>201.3</c:v>
                </c:pt>
                <c:pt idx="75">
                  <c:v>201.33</c:v>
                </c:pt>
                <c:pt idx="76">
                  <c:v>201.29</c:v>
                </c:pt>
                <c:pt idx="77">
                  <c:v>201.4</c:v>
                </c:pt>
                <c:pt idx="78">
                  <c:v>201.42</c:v>
                </c:pt>
                <c:pt idx="79">
                  <c:v>201.33</c:v>
                </c:pt>
                <c:pt idx="80">
                  <c:v>201.33</c:v>
                </c:pt>
                <c:pt idx="81">
                  <c:v>201.43</c:v>
                </c:pt>
                <c:pt idx="82">
                  <c:v>201.36</c:v>
                </c:pt>
                <c:pt idx="83">
                  <c:v>201.3</c:v>
                </c:pt>
                <c:pt idx="84">
                  <c:v>201.24</c:v>
                </c:pt>
                <c:pt idx="85">
                  <c:v>201.44</c:v>
                </c:pt>
                <c:pt idx="86">
                  <c:v>201.07</c:v>
                </c:pt>
                <c:pt idx="87">
                  <c:v>201.34</c:v>
                </c:pt>
                <c:pt idx="88">
                  <c:v>201.26</c:v>
                </c:pt>
                <c:pt idx="89">
                  <c:v>201.34</c:v>
                </c:pt>
                <c:pt idx="90">
                  <c:v>201.41</c:v>
                </c:pt>
                <c:pt idx="91">
                  <c:v>201.34</c:v>
                </c:pt>
                <c:pt idx="92">
                  <c:v>201.32</c:v>
                </c:pt>
                <c:pt idx="93">
                  <c:v>201.37</c:v>
                </c:pt>
                <c:pt idx="94">
                  <c:v>201.36</c:v>
                </c:pt>
                <c:pt idx="95">
                  <c:v>201.31</c:v>
                </c:pt>
                <c:pt idx="96">
                  <c:v>201.33</c:v>
                </c:pt>
              </c:numCache>
            </c:numRef>
          </c:val>
          <c:smooth val="0"/>
          <c:extLst>
            <c:ext xmlns:c16="http://schemas.microsoft.com/office/drawing/2014/chart" uri="{C3380CC4-5D6E-409C-BE32-E72D297353CC}">
              <c16:uniqueId val="{00000004-B5C6-462F-9759-2EDEB9FDA0AD}"/>
            </c:ext>
          </c:extLst>
        </c:ser>
        <c:ser>
          <c:idx val="5"/>
          <c:order val="5"/>
          <c:tx>
            <c:strRef>
              <c:f>'transfert 200'!$G$1</c:f>
              <c:strCache>
                <c:ptCount val="1"/>
                <c:pt idx="0">
                  <c:v>Connecteur 6</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200'!$G$2:$G$98</c:f>
              <c:numCache>
                <c:formatCode>General</c:formatCode>
                <c:ptCount val="97"/>
                <c:pt idx="0">
                  <c:v>166.71</c:v>
                </c:pt>
                <c:pt idx="1">
                  <c:v>171.2</c:v>
                </c:pt>
                <c:pt idx="2">
                  <c:v>175.49</c:v>
                </c:pt>
                <c:pt idx="3">
                  <c:v>179.7</c:v>
                </c:pt>
                <c:pt idx="4">
                  <c:v>184.18</c:v>
                </c:pt>
                <c:pt idx="5">
                  <c:v>188.46</c:v>
                </c:pt>
                <c:pt idx="6">
                  <c:v>192.71</c:v>
                </c:pt>
                <c:pt idx="7">
                  <c:v>195.48</c:v>
                </c:pt>
                <c:pt idx="8">
                  <c:v>196.11</c:v>
                </c:pt>
                <c:pt idx="9">
                  <c:v>195.85</c:v>
                </c:pt>
                <c:pt idx="10">
                  <c:v>195.5</c:v>
                </c:pt>
                <c:pt idx="11">
                  <c:v>194.99</c:v>
                </c:pt>
                <c:pt idx="12">
                  <c:v>194.42</c:v>
                </c:pt>
                <c:pt idx="13">
                  <c:v>194.14</c:v>
                </c:pt>
                <c:pt idx="14">
                  <c:v>193.89</c:v>
                </c:pt>
                <c:pt idx="15">
                  <c:v>193.62</c:v>
                </c:pt>
                <c:pt idx="16">
                  <c:v>193.37</c:v>
                </c:pt>
                <c:pt idx="17">
                  <c:v>193.04</c:v>
                </c:pt>
                <c:pt idx="18">
                  <c:v>192.97</c:v>
                </c:pt>
                <c:pt idx="19">
                  <c:v>192.87</c:v>
                </c:pt>
                <c:pt idx="20">
                  <c:v>192.91</c:v>
                </c:pt>
                <c:pt idx="21">
                  <c:v>192.8</c:v>
                </c:pt>
                <c:pt idx="22">
                  <c:v>192.53</c:v>
                </c:pt>
                <c:pt idx="23">
                  <c:v>192.49</c:v>
                </c:pt>
                <c:pt idx="24">
                  <c:v>192.46</c:v>
                </c:pt>
                <c:pt idx="25">
                  <c:v>192.4</c:v>
                </c:pt>
                <c:pt idx="26">
                  <c:v>192.25</c:v>
                </c:pt>
                <c:pt idx="27">
                  <c:v>192.42</c:v>
                </c:pt>
                <c:pt idx="28">
                  <c:v>192.28</c:v>
                </c:pt>
                <c:pt idx="29">
                  <c:v>192.42</c:v>
                </c:pt>
                <c:pt idx="30">
                  <c:v>192.25</c:v>
                </c:pt>
                <c:pt idx="31">
                  <c:v>192.18</c:v>
                </c:pt>
                <c:pt idx="32">
                  <c:v>192.08</c:v>
                </c:pt>
                <c:pt idx="33">
                  <c:v>192.24</c:v>
                </c:pt>
                <c:pt idx="34">
                  <c:v>192.38</c:v>
                </c:pt>
                <c:pt idx="35">
                  <c:v>192.15</c:v>
                </c:pt>
                <c:pt idx="36">
                  <c:v>192.18</c:v>
                </c:pt>
                <c:pt idx="37">
                  <c:v>192.24</c:v>
                </c:pt>
                <c:pt idx="38">
                  <c:v>192.39</c:v>
                </c:pt>
                <c:pt idx="39">
                  <c:v>193.54</c:v>
                </c:pt>
                <c:pt idx="40">
                  <c:v>195.19</c:v>
                </c:pt>
                <c:pt idx="41">
                  <c:v>196.65</c:v>
                </c:pt>
                <c:pt idx="42">
                  <c:v>197.82</c:v>
                </c:pt>
                <c:pt idx="43">
                  <c:v>198.98</c:v>
                </c:pt>
                <c:pt idx="44">
                  <c:v>200.29</c:v>
                </c:pt>
                <c:pt idx="45">
                  <c:v>201.33</c:v>
                </c:pt>
                <c:pt idx="46">
                  <c:v>202.2</c:v>
                </c:pt>
                <c:pt idx="47">
                  <c:v>202.62</c:v>
                </c:pt>
                <c:pt idx="48">
                  <c:v>202.57</c:v>
                </c:pt>
                <c:pt idx="49">
                  <c:v>202.62</c:v>
                </c:pt>
                <c:pt idx="50">
                  <c:v>202.77</c:v>
                </c:pt>
                <c:pt idx="51">
                  <c:v>203.12</c:v>
                </c:pt>
                <c:pt idx="52">
                  <c:v>203.3</c:v>
                </c:pt>
                <c:pt idx="53">
                  <c:v>203.27</c:v>
                </c:pt>
                <c:pt idx="54">
                  <c:v>202.98</c:v>
                </c:pt>
                <c:pt idx="55">
                  <c:v>202.7</c:v>
                </c:pt>
                <c:pt idx="56">
                  <c:v>202.57</c:v>
                </c:pt>
                <c:pt idx="57">
                  <c:v>202.41</c:v>
                </c:pt>
                <c:pt idx="58">
                  <c:v>202.36</c:v>
                </c:pt>
                <c:pt idx="59">
                  <c:v>202.42</c:v>
                </c:pt>
                <c:pt idx="60">
                  <c:v>202.3</c:v>
                </c:pt>
                <c:pt idx="61">
                  <c:v>202.39</c:v>
                </c:pt>
                <c:pt idx="62">
                  <c:v>202.26</c:v>
                </c:pt>
                <c:pt idx="63">
                  <c:v>202.16</c:v>
                </c:pt>
                <c:pt idx="64">
                  <c:v>202.15</c:v>
                </c:pt>
                <c:pt idx="65">
                  <c:v>202.32</c:v>
                </c:pt>
                <c:pt idx="66">
                  <c:v>202.23</c:v>
                </c:pt>
                <c:pt idx="67">
                  <c:v>202.14</c:v>
                </c:pt>
                <c:pt idx="68">
                  <c:v>202.09</c:v>
                </c:pt>
                <c:pt idx="69">
                  <c:v>202.09</c:v>
                </c:pt>
                <c:pt idx="70">
                  <c:v>202.21</c:v>
                </c:pt>
                <c:pt idx="71">
                  <c:v>202.18</c:v>
                </c:pt>
                <c:pt idx="72">
                  <c:v>202.15</c:v>
                </c:pt>
                <c:pt idx="73">
                  <c:v>202.14</c:v>
                </c:pt>
                <c:pt idx="74">
                  <c:v>202.11</c:v>
                </c:pt>
                <c:pt idx="75">
                  <c:v>202.18</c:v>
                </c:pt>
                <c:pt idx="76">
                  <c:v>202.1</c:v>
                </c:pt>
                <c:pt idx="77">
                  <c:v>202.19</c:v>
                </c:pt>
                <c:pt idx="78">
                  <c:v>202.23</c:v>
                </c:pt>
                <c:pt idx="79">
                  <c:v>202.14</c:v>
                </c:pt>
                <c:pt idx="80">
                  <c:v>202.15</c:v>
                </c:pt>
                <c:pt idx="81">
                  <c:v>202.29</c:v>
                </c:pt>
                <c:pt idx="82">
                  <c:v>202.1</c:v>
                </c:pt>
                <c:pt idx="83">
                  <c:v>202.07</c:v>
                </c:pt>
                <c:pt idx="84">
                  <c:v>202.01</c:v>
                </c:pt>
                <c:pt idx="85">
                  <c:v>202.15</c:v>
                </c:pt>
                <c:pt idx="86">
                  <c:v>202.11</c:v>
                </c:pt>
                <c:pt idx="87">
                  <c:v>202.17</c:v>
                </c:pt>
                <c:pt idx="88">
                  <c:v>202.12</c:v>
                </c:pt>
                <c:pt idx="89">
                  <c:v>202.11</c:v>
                </c:pt>
                <c:pt idx="90">
                  <c:v>202.1</c:v>
                </c:pt>
                <c:pt idx="91">
                  <c:v>202.14</c:v>
                </c:pt>
                <c:pt idx="92">
                  <c:v>202.07</c:v>
                </c:pt>
                <c:pt idx="93">
                  <c:v>202.12</c:v>
                </c:pt>
                <c:pt idx="94">
                  <c:v>202.02</c:v>
                </c:pt>
                <c:pt idx="95">
                  <c:v>202.04</c:v>
                </c:pt>
                <c:pt idx="96">
                  <c:v>201.98</c:v>
                </c:pt>
              </c:numCache>
            </c:numRef>
          </c:val>
          <c:smooth val="0"/>
          <c:extLst>
            <c:ext xmlns:c16="http://schemas.microsoft.com/office/drawing/2014/chart" uri="{C3380CC4-5D6E-409C-BE32-E72D297353CC}">
              <c16:uniqueId val="{00000005-B5C6-462F-9759-2EDEB9FDA0AD}"/>
            </c:ext>
          </c:extLst>
        </c:ser>
        <c:ser>
          <c:idx val="6"/>
          <c:order val="6"/>
          <c:tx>
            <c:strRef>
              <c:f>'transfert 200'!$H$1</c:f>
              <c:strCache>
                <c:ptCount val="1"/>
                <c:pt idx="0">
                  <c:v>Connecteur 7</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200'!$H$2:$H$98</c:f>
              <c:numCache>
                <c:formatCode>General</c:formatCode>
                <c:ptCount val="97"/>
                <c:pt idx="0">
                  <c:v>149.13</c:v>
                </c:pt>
                <c:pt idx="1">
                  <c:v>153.75</c:v>
                </c:pt>
                <c:pt idx="2">
                  <c:v>158.44</c:v>
                </c:pt>
                <c:pt idx="3">
                  <c:v>162.55000000000001</c:v>
                </c:pt>
                <c:pt idx="4">
                  <c:v>166.83</c:v>
                </c:pt>
                <c:pt idx="5">
                  <c:v>171.71</c:v>
                </c:pt>
                <c:pt idx="6">
                  <c:v>175.64</c:v>
                </c:pt>
                <c:pt idx="7">
                  <c:v>180.03</c:v>
                </c:pt>
                <c:pt idx="8">
                  <c:v>182.31</c:v>
                </c:pt>
                <c:pt idx="9">
                  <c:v>184.18</c:v>
                </c:pt>
                <c:pt idx="10">
                  <c:v>185.47</c:v>
                </c:pt>
                <c:pt idx="11">
                  <c:v>186.49</c:v>
                </c:pt>
                <c:pt idx="12">
                  <c:v>187.23</c:v>
                </c:pt>
                <c:pt idx="13">
                  <c:v>187.9</c:v>
                </c:pt>
                <c:pt idx="14">
                  <c:v>188.45</c:v>
                </c:pt>
                <c:pt idx="15">
                  <c:v>188.95</c:v>
                </c:pt>
                <c:pt idx="16">
                  <c:v>189.15</c:v>
                </c:pt>
                <c:pt idx="17">
                  <c:v>189.45</c:v>
                </c:pt>
                <c:pt idx="18">
                  <c:v>189.78</c:v>
                </c:pt>
                <c:pt idx="19">
                  <c:v>189.86</c:v>
                </c:pt>
                <c:pt idx="20">
                  <c:v>190.06</c:v>
                </c:pt>
                <c:pt idx="21">
                  <c:v>190.21</c:v>
                </c:pt>
                <c:pt idx="22">
                  <c:v>190.32</c:v>
                </c:pt>
                <c:pt idx="23">
                  <c:v>190.29</c:v>
                </c:pt>
                <c:pt idx="24">
                  <c:v>190.45</c:v>
                </c:pt>
                <c:pt idx="25">
                  <c:v>190.45</c:v>
                </c:pt>
                <c:pt idx="26">
                  <c:v>190.5</c:v>
                </c:pt>
                <c:pt idx="27">
                  <c:v>190.57</c:v>
                </c:pt>
                <c:pt idx="28">
                  <c:v>190.55</c:v>
                </c:pt>
                <c:pt idx="29">
                  <c:v>190.78</c:v>
                </c:pt>
                <c:pt idx="30">
                  <c:v>190.65</c:v>
                </c:pt>
                <c:pt idx="31">
                  <c:v>190.66</c:v>
                </c:pt>
                <c:pt idx="32">
                  <c:v>190.65</c:v>
                </c:pt>
                <c:pt idx="33">
                  <c:v>190.71</c:v>
                </c:pt>
                <c:pt idx="34">
                  <c:v>190.86</c:v>
                </c:pt>
                <c:pt idx="35">
                  <c:v>190.71</c:v>
                </c:pt>
                <c:pt idx="36">
                  <c:v>190.7</c:v>
                </c:pt>
                <c:pt idx="37">
                  <c:v>190.76</c:v>
                </c:pt>
                <c:pt idx="38">
                  <c:v>190.83</c:v>
                </c:pt>
                <c:pt idx="39">
                  <c:v>191.44</c:v>
                </c:pt>
                <c:pt idx="40">
                  <c:v>192.32</c:v>
                </c:pt>
                <c:pt idx="41">
                  <c:v>193.38</c:v>
                </c:pt>
                <c:pt idx="42">
                  <c:v>194.13</c:v>
                </c:pt>
                <c:pt idx="43">
                  <c:v>195.2</c:v>
                </c:pt>
                <c:pt idx="44">
                  <c:v>196.14</c:v>
                </c:pt>
                <c:pt idx="45">
                  <c:v>197.12</c:v>
                </c:pt>
                <c:pt idx="46">
                  <c:v>197.91</c:v>
                </c:pt>
                <c:pt idx="47">
                  <c:v>198.6</c:v>
                </c:pt>
                <c:pt idx="48">
                  <c:v>199.2</c:v>
                </c:pt>
                <c:pt idx="49">
                  <c:v>199.42</c:v>
                </c:pt>
                <c:pt idx="50">
                  <c:v>199.84</c:v>
                </c:pt>
                <c:pt idx="51">
                  <c:v>200.28</c:v>
                </c:pt>
                <c:pt idx="52">
                  <c:v>200.47</c:v>
                </c:pt>
                <c:pt idx="53">
                  <c:v>200.71</c:v>
                </c:pt>
                <c:pt idx="54">
                  <c:v>200.77</c:v>
                </c:pt>
                <c:pt idx="55">
                  <c:v>200.77</c:v>
                </c:pt>
                <c:pt idx="56">
                  <c:v>200.82</c:v>
                </c:pt>
                <c:pt idx="57">
                  <c:v>200.72</c:v>
                </c:pt>
                <c:pt idx="58">
                  <c:v>200.79</c:v>
                </c:pt>
                <c:pt idx="59">
                  <c:v>200.84</c:v>
                </c:pt>
                <c:pt idx="60">
                  <c:v>200.83</c:v>
                </c:pt>
                <c:pt idx="61">
                  <c:v>200.9</c:v>
                </c:pt>
                <c:pt idx="62">
                  <c:v>200.87</c:v>
                </c:pt>
                <c:pt idx="63">
                  <c:v>200.84</c:v>
                </c:pt>
                <c:pt idx="64">
                  <c:v>200.79</c:v>
                </c:pt>
                <c:pt idx="65">
                  <c:v>200.9</c:v>
                </c:pt>
                <c:pt idx="66">
                  <c:v>200.92</c:v>
                </c:pt>
                <c:pt idx="67">
                  <c:v>200.92</c:v>
                </c:pt>
                <c:pt idx="68">
                  <c:v>200.87</c:v>
                </c:pt>
                <c:pt idx="69">
                  <c:v>200.87</c:v>
                </c:pt>
                <c:pt idx="70">
                  <c:v>200.9</c:v>
                </c:pt>
                <c:pt idx="71">
                  <c:v>200.91</c:v>
                </c:pt>
                <c:pt idx="72">
                  <c:v>200.91</c:v>
                </c:pt>
                <c:pt idx="73">
                  <c:v>200.92</c:v>
                </c:pt>
                <c:pt idx="74">
                  <c:v>200.88</c:v>
                </c:pt>
                <c:pt idx="75">
                  <c:v>200.94</c:v>
                </c:pt>
                <c:pt idx="76">
                  <c:v>200.94</c:v>
                </c:pt>
                <c:pt idx="77">
                  <c:v>201</c:v>
                </c:pt>
                <c:pt idx="78">
                  <c:v>200.99</c:v>
                </c:pt>
                <c:pt idx="79">
                  <c:v>200.96</c:v>
                </c:pt>
                <c:pt idx="80">
                  <c:v>200.95</c:v>
                </c:pt>
                <c:pt idx="81">
                  <c:v>200.98</c:v>
                </c:pt>
                <c:pt idx="82">
                  <c:v>200.97</c:v>
                </c:pt>
                <c:pt idx="83">
                  <c:v>200.92</c:v>
                </c:pt>
                <c:pt idx="84">
                  <c:v>200.9</c:v>
                </c:pt>
                <c:pt idx="85">
                  <c:v>200.99</c:v>
                </c:pt>
                <c:pt idx="86">
                  <c:v>201.01</c:v>
                </c:pt>
                <c:pt idx="87">
                  <c:v>200.99</c:v>
                </c:pt>
                <c:pt idx="88">
                  <c:v>201</c:v>
                </c:pt>
                <c:pt idx="89">
                  <c:v>200.97</c:v>
                </c:pt>
                <c:pt idx="90">
                  <c:v>201</c:v>
                </c:pt>
                <c:pt idx="91">
                  <c:v>201.01</c:v>
                </c:pt>
                <c:pt idx="92">
                  <c:v>200.95</c:v>
                </c:pt>
                <c:pt idx="93">
                  <c:v>201.05</c:v>
                </c:pt>
                <c:pt idx="94">
                  <c:v>201</c:v>
                </c:pt>
                <c:pt idx="95">
                  <c:v>200.95</c:v>
                </c:pt>
                <c:pt idx="96">
                  <c:v>200.96</c:v>
                </c:pt>
              </c:numCache>
            </c:numRef>
          </c:val>
          <c:smooth val="0"/>
          <c:extLst>
            <c:ext xmlns:c16="http://schemas.microsoft.com/office/drawing/2014/chart" uri="{C3380CC4-5D6E-409C-BE32-E72D297353CC}">
              <c16:uniqueId val="{00000006-B5C6-462F-9759-2EDEB9FDA0AD}"/>
            </c:ext>
          </c:extLst>
        </c:ser>
        <c:ser>
          <c:idx val="7"/>
          <c:order val="7"/>
          <c:tx>
            <c:strRef>
              <c:f>'transfert 200'!$I$1</c:f>
              <c:strCache>
                <c:ptCount val="1"/>
                <c:pt idx="0">
                  <c:v>Connecteur 8</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200'!$I$2:$I$98</c:f>
              <c:numCache>
                <c:formatCode>General</c:formatCode>
                <c:ptCount val="97"/>
                <c:pt idx="0">
                  <c:v>169.38</c:v>
                </c:pt>
                <c:pt idx="1">
                  <c:v>173.71</c:v>
                </c:pt>
                <c:pt idx="2">
                  <c:v>178.02</c:v>
                </c:pt>
                <c:pt idx="3">
                  <c:v>182.17</c:v>
                </c:pt>
                <c:pt idx="4">
                  <c:v>186.35</c:v>
                </c:pt>
                <c:pt idx="5">
                  <c:v>190.44</c:v>
                </c:pt>
                <c:pt idx="6">
                  <c:v>194.71</c:v>
                </c:pt>
                <c:pt idx="7">
                  <c:v>197.6</c:v>
                </c:pt>
                <c:pt idx="8">
                  <c:v>197.52</c:v>
                </c:pt>
                <c:pt idx="9">
                  <c:v>196.94</c:v>
                </c:pt>
                <c:pt idx="10">
                  <c:v>196.39</c:v>
                </c:pt>
                <c:pt idx="11">
                  <c:v>195.2</c:v>
                </c:pt>
                <c:pt idx="12">
                  <c:v>194.71</c:v>
                </c:pt>
                <c:pt idx="13">
                  <c:v>194.3</c:v>
                </c:pt>
                <c:pt idx="14">
                  <c:v>193.86</c:v>
                </c:pt>
                <c:pt idx="15">
                  <c:v>193.4</c:v>
                </c:pt>
                <c:pt idx="16">
                  <c:v>193.08</c:v>
                </c:pt>
                <c:pt idx="17">
                  <c:v>192.71</c:v>
                </c:pt>
                <c:pt idx="18">
                  <c:v>192.51</c:v>
                </c:pt>
                <c:pt idx="19">
                  <c:v>192.42</c:v>
                </c:pt>
                <c:pt idx="20">
                  <c:v>192.44</c:v>
                </c:pt>
                <c:pt idx="21">
                  <c:v>192.23</c:v>
                </c:pt>
                <c:pt idx="22">
                  <c:v>191.92</c:v>
                </c:pt>
                <c:pt idx="23">
                  <c:v>191.86</c:v>
                </c:pt>
                <c:pt idx="24">
                  <c:v>191.86</c:v>
                </c:pt>
                <c:pt idx="25">
                  <c:v>191.75</c:v>
                </c:pt>
                <c:pt idx="26">
                  <c:v>191.65</c:v>
                </c:pt>
                <c:pt idx="27">
                  <c:v>191.72</c:v>
                </c:pt>
                <c:pt idx="28">
                  <c:v>191.57</c:v>
                </c:pt>
                <c:pt idx="29">
                  <c:v>191.78</c:v>
                </c:pt>
                <c:pt idx="30">
                  <c:v>191.54</c:v>
                </c:pt>
                <c:pt idx="31">
                  <c:v>191.54</c:v>
                </c:pt>
                <c:pt idx="32">
                  <c:v>191.41</c:v>
                </c:pt>
                <c:pt idx="33">
                  <c:v>191.56</c:v>
                </c:pt>
                <c:pt idx="34">
                  <c:v>191.72</c:v>
                </c:pt>
                <c:pt idx="35">
                  <c:v>191.46</c:v>
                </c:pt>
                <c:pt idx="36">
                  <c:v>191.45</c:v>
                </c:pt>
                <c:pt idx="37">
                  <c:v>191.49</c:v>
                </c:pt>
                <c:pt idx="38">
                  <c:v>191.63</c:v>
                </c:pt>
                <c:pt idx="39">
                  <c:v>192.94</c:v>
                </c:pt>
                <c:pt idx="40">
                  <c:v>194.69</c:v>
                </c:pt>
                <c:pt idx="41">
                  <c:v>196.22</c:v>
                </c:pt>
                <c:pt idx="42">
                  <c:v>197.42</c:v>
                </c:pt>
                <c:pt idx="43">
                  <c:v>198.72</c:v>
                </c:pt>
                <c:pt idx="44">
                  <c:v>199.9</c:v>
                </c:pt>
                <c:pt idx="45">
                  <c:v>201.12</c:v>
                </c:pt>
                <c:pt idx="46">
                  <c:v>202.01</c:v>
                </c:pt>
                <c:pt idx="47">
                  <c:v>202.32</c:v>
                </c:pt>
                <c:pt idx="48">
                  <c:v>202.24</c:v>
                </c:pt>
                <c:pt idx="49">
                  <c:v>202.24</c:v>
                </c:pt>
                <c:pt idx="50">
                  <c:v>202.42</c:v>
                </c:pt>
                <c:pt idx="51">
                  <c:v>202.67</c:v>
                </c:pt>
                <c:pt idx="52">
                  <c:v>202.86</c:v>
                </c:pt>
                <c:pt idx="53">
                  <c:v>202.78</c:v>
                </c:pt>
                <c:pt idx="54">
                  <c:v>202.41</c:v>
                </c:pt>
                <c:pt idx="55">
                  <c:v>202.08</c:v>
                </c:pt>
                <c:pt idx="56">
                  <c:v>201.96</c:v>
                </c:pt>
                <c:pt idx="57">
                  <c:v>201.8</c:v>
                </c:pt>
                <c:pt idx="58">
                  <c:v>201.77</c:v>
                </c:pt>
                <c:pt idx="59">
                  <c:v>201.74</c:v>
                </c:pt>
                <c:pt idx="60">
                  <c:v>201.67</c:v>
                </c:pt>
                <c:pt idx="61">
                  <c:v>201.65</c:v>
                </c:pt>
                <c:pt idx="62">
                  <c:v>201.51</c:v>
                </c:pt>
                <c:pt idx="63">
                  <c:v>201.45</c:v>
                </c:pt>
                <c:pt idx="64">
                  <c:v>201.48</c:v>
                </c:pt>
                <c:pt idx="65">
                  <c:v>201.63</c:v>
                </c:pt>
                <c:pt idx="66">
                  <c:v>201.54</c:v>
                </c:pt>
                <c:pt idx="67">
                  <c:v>201.42</c:v>
                </c:pt>
                <c:pt idx="68">
                  <c:v>201.43</c:v>
                </c:pt>
                <c:pt idx="69">
                  <c:v>201.42</c:v>
                </c:pt>
                <c:pt idx="70">
                  <c:v>201.48</c:v>
                </c:pt>
                <c:pt idx="71">
                  <c:v>201.47</c:v>
                </c:pt>
                <c:pt idx="72">
                  <c:v>201.5</c:v>
                </c:pt>
                <c:pt idx="73">
                  <c:v>201.46</c:v>
                </c:pt>
                <c:pt idx="74">
                  <c:v>201.4</c:v>
                </c:pt>
                <c:pt idx="75">
                  <c:v>201.44</c:v>
                </c:pt>
                <c:pt idx="76">
                  <c:v>201.46</c:v>
                </c:pt>
                <c:pt idx="77">
                  <c:v>201.57</c:v>
                </c:pt>
                <c:pt idx="78">
                  <c:v>201.53</c:v>
                </c:pt>
                <c:pt idx="79">
                  <c:v>201.48</c:v>
                </c:pt>
                <c:pt idx="80">
                  <c:v>201.45</c:v>
                </c:pt>
                <c:pt idx="81">
                  <c:v>201.53</c:v>
                </c:pt>
                <c:pt idx="82">
                  <c:v>201.42</c:v>
                </c:pt>
                <c:pt idx="83">
                  <c:v>201.37</c:v>
                </c:pt>
                <c:pt idx="84">
                  <c:v>201.33</c:v>
                </c:pt>
                <c:pt idx="85">
                  <c:v>201.5</c:v>
                </c:pt>
                <c:pt idx="86">
                  <c:v>201.38</c:v>
                </c:pt>
                <c:pt idx="87">
                  <c:v>201.43</c:v>
                </c:pt>
                <c:pt idx="88">
                  <c:v>201.41</c:v>
                </c:pt>
                <c:pt idx="89">
                  <c:v>201.4</c:v>
                </c:pt>
                <c:pt idx="90">
                  <c:v>201.43</c:v>
                </c:pt>
                <c:pt idx="91">
                  <c:v>201.51</c:v>
                </c:pt>
                <c:pt idx="92">
                  <c:v>201.4</c:v>
                </c:pt>
                <c:pt idx="93">
                  <c:v>201.49</c:v>
                </c:pt>
                <c:pt idx="94">
                  <c:v>201.36</c:v>
                </c:pt>
                <c:pt idx="95">
                  <c:v>201.35</c:v>
                </c:pt>
                <c:pt idx="96">
                  <c:v>201.35</c:v>
                </c:pt>
              </c:numCache>
            </c:numRef>
          </c:val>
          <c:smooth val="0"/>
          <c:extLst>
            <c:ext xmlns:c16="http://schemas.microsoft.com/office/drawing/2014/chart" uri="{C3380CC4-5D6E-409C-BE32-E72D297353CC}">
              <c16:uniqueId val="{00000007-B5C6-462F-9759-2EDEB9FDA0AD}"/>
            </c:ext>
          </c:extLst>
        </c:ser>
        <c:ser>
          <c:idx val="8"/>
          <c:order val="8"/>
          <c:tx>
            <c:strRef>
              <c:f>'transfert 200'!$J$1</c:f>
              <c:strCache>
                <c:ptCount val="1"/>
                <c:pt idx="0">
                  <c:v>Connecteur 9</c:v>
                </c:pt>
              </c:strCache>
            </c:strRef>
          </c:tx>
          <c:marker>
            <c:symbol val="none"/>
          </c:marker>
          <c:cat>
            <c:strRef>
              <c:f>'transfert 200'!$A$2:$A$98</c:f>
              <c:strCache>
                <c:ptCount val="97"/>
                <c:pt idx="0">
                  <c:v>13/02/2024  03:13</c:v>
                </c:pt>
                <c:pt idx="1">
                  <c:v>13/02/2024  03:14</c:v>
                </c:pt>
                <c:pt idx="2">
                  <c:v>13/02/2024  03:15</c:v>
                </c:pt>
                <c:pt idx="3">
                  <c:v>13/02/2024  03:16</c:v>
                </c:pt>
                <c:pt idx="4">
                  <c:v>13/02/2024  03:17</c:v>
                </c:pt>
                <c:pt idx="5">
                  <c:v>13/02/2024  03:18</c:v>
                </c:pt>
                <c:pt idx="6">
                  <c:v>13/02/2024  03:19</c:v>
                </c:pt>
                <c:pt idx="7">
                  <c:v>13/02/2024  03:20</c:v>
                </c:pt>
                <c:pt idx="8">
                  <c:v>13/02/2024  03:21</c:v>
                </c:pt>
                <c:pt idx="9">
                  <c:v>13/02/2024  03:22</c:v>
                </c:pt>
                <c:pt idx="10">
                  <c:v>13/02/2024  03:23</c:v>
                </c:pt>
                <c:pt idx="11">
                  <c:v>13/02/2024  03:24</c:v>
                </c:pt>
                <c:pt idx="12">
                  <c:v>13/02/2024  03:25</c:v>
                </c:pt>
                <c:pt idx="13">
                  <c:v>13/02/2024  03:26</c:v>
                </c:pt>
                <c:pt idx="14">
                  <c:v>13/02/2024  03:27</c:v>
                </c:pt>
                <c:pt idx="15">
                  <c:v>13/02/2024  03:28</c:v>
                </c:pt>
                <c:pt idx="16">
                  <c:v>13/02/2024  03:29</c:v>
                </c:pt>
                <c:pt idx="17">
                  <c:v>13/02/2024  03:30</c:v>
                </c:pt>
                <c:pt idx="18">
                  <c:v>13/02/2024  03:31</c:v>
                </c:pt>
                <c:pt idx="19">
                  <c:v>13/02/2024  03:32</c:v>
                </c:pt>
                <c:pt idx="20">
                  <c:v>13/02/2024  03:33</c:v>
                </c:pt>
                <c:pt idx="21">
                  <c:v>13/02/2024  03:34</c:v>
                </c:pt>
                <c:pt idx="22">
                  <c:v>13/02/2024  03:35</c:v>
                </c:pt>
                <c:pt idx="23">
                  <c:v>13/02/2024  03:36</c:v>
                </c:pt>
                <c:pt idx="24">
                  <c:v>13/02/2024  03:37</c:v>
                </c:pt>
                <c:pt idx="25">
                  <c:v>13/02/2024  03:38</c:v>
                </c:pt>
                <c:pt idx="26">
                  <c:v>13/02/2024  03:39</c:v>
                </c:pt>
                <c:pt idx="27">
                  <c:v>13/02/2024  03:40</c:v>
                </c:pt>
                <c:pt idx="28">
                  <c:v>13/02/2024  03:41</c:v>
                </c:pt>
                <c:pt idx="29">
                  <c:v>13/02/2024  03:42</c:v>
                </c:pt>
                <c:pt idx="30">
                  <c:v>13/02/2024  03:43</c:v>
                </c:pt>
                <c:pt idx="31">
                  <c:v>13/02/2024  03:44</c:v>
                </c:pt>
                <c:pt idx="32">
                  <c:v>13/02/2024  03:45</c:v>
                </c:pt>
                <c:pt idx="33">
                  <c:v>13/02/2024  03:46</c:v>
                </c:pt>
                <c:pt idx="34">
                  <c:v>13/02/2024  03:47</c:v>
                </c:pt>
                <c:pt idx="35">
                  <c:v>13/02/2024  03:48</c:v>
                </c:pt>
                <c:pt idx="36">
                  <c:v>13/02/2024  03:49</c:v>
                </c:pt>
                <c:pt idx="37">
                  <c:v>13/02/2024  03:50</c:v>
                </c:pt>
                <c:pt idx="38">
                  <c:v>13/02/2024  03:51</c:v>
                </c:pt>
                <c:pt idx="39">
                  <c:v>13/02/2024  03:52</c:v>
                </c:pt>
                <c:pt idx="40">
                  <c:v>13/02/2024  03:53</c:v>
                </c:pt>
                <c:pt idx="41">
                  <c:v>13/02/2024  03:54</c:v>
                </c:pt>
                <c:pt idx="42">
                  <c:v>13/02/2024  03:55</c:v>
                </c:pt>
                <c:pt idx="43">
                  <c:v>13/02/2024  03:56</c:v>
                </c:pt>
                <c:pt idx="44">
                  <c:v>13/02/2024  03:57</c:v>
                </c:pt>
                <c:pt idx="45">
                  <c:v>13/02/2024  03:58</c:v>
                </c:pt>
                <c:pt idx="46">
                  <c:v>13/02/2024  03:59</c:v>
                </c:pt>
                <c:pt idx="47">
                  <c:v>13/02/2024  04:00</c:v>
                </c:pt>
                <c:pt idx="48">
                  <c:v>13/02/2024  04:01</c:v>
                </c:pt>
                <c:pt idx="49">
                  <c:v>13/02/2024  04:02</c:v>
                </c:pt>
                <c:pt idx="50">
                  <c:v>13/02/2024  04:03</c:v>
                </c:pt>
                <c:pt idx="51">
                  <c:v>13/02/2024  04:04</c:v>
                </c:pt>
                <c:pt idx="52">
                  <c:v>13/02/2024  04:05</c:v>
                </c:pt>
                <c:pt idx="53">
                  <c:v>13/02/2024  04:06</c:v>
                </c:pt>
                <c:pt idx="54">
                  <c:v>13/02/2024  04:07</c:v>
                </c:pt>
                <c:pt idx="55">
                  <c:v>13/02/2024  04:08</c:v>
                </c:pt>
                <c:pt idx="56">
                  <c:v>13/02/2024  04:09</c:v>
                </c:pt>
                <c:pt idx="57">
                  <c:v>13/02/2024  04:10</c:v>
                </c:pt>
                <c:pt idx="58">
                  <c:v>13/02/2024  04:11</c:v>
                </c:pt>
                <c:pt idx="59">
                  <c:v>13/02/2024  04:12</c:v>
                </c:pt>
                <c:pt idx="60">
                  <c:v>13/02/2024  04:13</c:v>
                </c:pt>
                <c:pt idx="61">
                  <c:v>13/02/2024  04:14</c:v>
                </c:pt>
                <c:pt idx="62">
                  <c:v>13/02/2024  04:15</c:v>
                </c:pt>
                <c:pt idx="63">
                  <c:v>13/02/2024  04:16</c:v>
                </c:pt>
                <c:pt idx="64">
                  <c:v>13/02/2024  04:17</c:v>
                </c:pt>
                <c:pt idx="65">
                  <c:v>13/02/2024  04:18</c:v>
                </c:pt>
                <c:pt idx="66">
                  <c:v>13/02/2024  04:19</c:v>
                </c:pt>
                <c:pt idx="67">
                  <c:v>13/02/2024  04:20</c:v>
                </c:pt>
                <c:pt idx="68">
                  <c:v>13/02/2024  04:21</c:v>
                </c:pt>
                <c:pt idx="69">
                  <c:v>13/02/2024  04:22</c:v>
                </c:pt>
                <c:pt idx="70">
                  <c:v>13/02/2024  04:23</c:v>
                </c:pt>
                <c:pt idx="71">
                  <c:v>13/02/2024  04:24</c:v>
                </c:pt>
                <c:pt idx="72">
                  <c:v>13/02/2024  04:25</c:v>
                </c:pt>
                <c:pt idx="73">
                  <c:v>13/02/2024  04:26</c:v>
                </c:pt>
                <c:pt idx="74">
                  <c:v>13/02/2024  04:27</c:v>
                </c:pt>
                <c:pt idx="75">
                  <c:v>13/02/2024  04:28</c:v>
                </c:pt>
                <c:pt idx="76">
                  <c:v>13/02/2024  04:29</c:v>
                </c:pt>
                <c:pt idx="77">
                  <c:v>13/02/2024  04:30</c:v>
                </c:pt>
                <c:pt idx="78">
                  <c:v>13/02/2024  04:31</c:v>
                </c:pt>
                <c:pt idx="79">
                  <c:v>13/02/2024  04:32</c:v>
                </c:pt>
                <c:pt idx="80">
                  <c:v>13/02/2024  04:33</c:v>
                </c:pt>
                <c:pt idx="81">
                  <c:v>13/02/2024  04:34</c:v>
                </c:pt>
                <c:pt idx="82">
                  <c:v>13/02/2024  04:35</c:v>
                </c:pt>
                <c:pt idx="83">
                  <c:v>13/02/2024  04:36</c:v>
                </c:pt>
                <c:pt idx="84">
                  <c:v>13/02/2024  04:37</c:v>
                </c:pt>
                <c:pt idx="85">
                  <c:v>13/02/2024  04:38</c:v>
                </c:pt>
                <c:pt idx="86">
                  <c:v>13/02/2024  04:39</c:v>
                </c:pt>
                <c:pt idx="87">
                  <c:v>13/02/2024  04:40</c:v>
                </c:pt>
                <c:pt idx="88">
                  <c:v>13/02/2024  04:41</c:v>
                </c:pt>
                <c:pt idx="89">
                  <c:v>13/02/2024  04:42</c:v>
                </c:pt>
                <c:pt idx="90">
                  <c:v>13/02/2024  04:43</c:v>
                </c:pt>
                <c:pt idx="91">
                  <c:v>13/02/2024  04:44</c:v>
                </c:pt>
                <c:pt idx="92">
                  <c:v>13/02/2024  04:45</c:v>
                </c:pt>
                <c:pt idx="93">
                  <c:v>13/02/2024  04:46</c:v>
                </c:pt>
                <c:pt idx="94">
                  <c:v>13/02/2024  04:47</c:v>
                </c:pt>
                <c:pt idx="95">
                  <c:v>13/02/2024  04:48</c:v>
                </c:pt>
                <c:pt idx="96">
                  <c:v>13/02/2024  04:49</c:v>
                </c:pt>
              </c:strCache>
            </c:strRef>
          </c:cat>
          <c:val>
            <c:numRef>
              <c:f>'transfert 200'!$J$2:$J$98</c:f>
              <c:numCache>
                <c:formatCode>General</c:formatCode>
                <c:ptCount val="97"/>
                <c:pt idx="0">
                  <c:v>164.55</c:v>
                </c:pt>
                <c:pt idx="1">
                  <c:v>168.51</c:v>
                </c:pt>
                <c:pt idx="2">
                  <c:v>172.82</c:v>
                </c:pt>
                <c:pt idx="3">
                  <c:v>177.29</c:v>
                </c:pt>
                <c:pt idx="4">
                  <c:v>181.44</c:v>
                </c:pt>
                <c:pt idx="5">
                  <c:v>185.58</c:v>
                </c:pt>
                <c:pt idx="6">
                  <c:v>189.75</c:v>
                </c:pt>
                <c:pt idx="7">
                  <c:v>192.97</c:v>
                </c:pt>
                <c:pt idx="8">
                  <c:v>193.71</c:v>
                </c:pt>
                <c:pt idx="9">
                  <c:v>193.76</c:v>
                </c:pt>
                <c:pt idx="10">
                  <c:v>193.49</c:v>
                </c:pt>
                <c:pt idx="11">
                  <c:v>193.13</c:v>
                </c:pt>
                <c:pt idx="12">
                  <c:v>192.72</c:v>
                </c:pt>
                <c:pt idx="13">
                  <c:v>192.52</c:v>
                </c:pt>
                <c:pt idx="14">
                  <c:v>192.27</c:v>
                </c:pt>
                <c:pt idx="15">
                  <c:v>192.08</c:v>
                </c:pt>
                <c:pt idx="16">
                  <c:v>191.9</c:v>
                </c:pt>
                <c:pt idx="17">
                  <c:v>191.64</c:v>
                </c:pt>
                <c:pt idx="18">
                  <c:v>191.53</c:v>
                </c:pt>
                <c:pt idx="19">
                  <c:v>191.46</c:v>
                </c:pt>
                <c:pt idx="20">
                  <c:v>191.54</c:v>
                </c:pt>
                <c:pt idx="21">
                  <c:v>191.43</c:v>
                </c:pt>
                <c:pt idx="22">
                  <c:v>191.29</c:v>
                </c:pt>
                <c:pt idx="23">
                  <c:v>191.2</c:v>
                </c:pt>
                <c:pt idx="24">
                  <c:v>191.22</c:v>
                </c:pt>
                <c:pt idx="25">
                  <c:v>191.15</c:v>
                </c:pt>
                <c:pt idx="26">
                  <c:v>191.08</c:v>
                </c:pt>
                <c:pt idx="27">
                  <c:v>191.2</c:v>
                </c:pt>
                <c:pt idx="28">
                  <c:v>191.08</c:v>
                </c:pt>
                <c:pt idx="29">
                  <c:v>191.23</c:v>
                </c:pt>
                <c:pt idx="30">
                  <c:v>191.09</c:v>
                </c:pt>
                <c:pt idx="31">
                  <c:v>191.05</c:v>
                </c:pt>
                <c:pt idx="32">
                  <c:v>191.04</c:v>
                </c:pt>
                <c:pt idx="33">
                  <c:v>191.13</c:v>
                </c:pt>
                <c:pt idx="34">
                  <c:v>191.28</c:v>
                </c:pt>
                <c:pt idx="35">
                  <c:v>191.11</c:v>
                </c:pt>
                <c:pt idx="36">
                  <c:v>191.07</c:v>
                </c:pt>
                <c:pt idx="37">
                  <c:v>191.17</c:v>
                </c:pt>
                <c:pt idx="38">
                  <c:v>191.2</c:v>
                </c:pt>
                <c:pt idx="39">
                  <c:v>192.2</c:v>
                </c:pt>
                <c:pt idx="40">
                  <c:v>193.78</c:v>
                </c:pt>
                <c:pt idx="41">
                  <c:v>195.14</c:v>
                </c:pt>
                <c:pt idx="42">
                  <c:v>196.29</c:v>
                </c:pt>
                <c:pt idx="43">
                  <c:v>197.51</c:v>
                </c:pt>
                <c:pt idx="44">
                  <c:v>198.75</c:v>
                </c:pt>
                <c:pt idx="45">
                  <c:v>199.78</c:v>
                </c:pt>
                <c:pt idx="46">
                  <c:v>200.73</c:v>
                </c:pt>
                <c:pt idx="47">
                  <c:v>201.16</c:v>
                </c:pt>
                <c:pt idx="48">
                  <c:v>201.29</c:v>
                </c:pt>
                <c:pt idx="49">
                  <c:v>201.34</c:v>
                </c:pt>
                <c:pt idx="50">
                  <c:v>201.55</c:v>
                </c:pt>
                <c:pt idx="51">
                  <c:v>201.83</c:v>
                </c:pt>
                <c:pt idx="52">
                  <c:v>202.08</c:v>
                </c:pt>
                <c:pt idx="53">
                  <c:v>202.15</c:v>
                </c:pt>
                <c:pt idx="54">
                  <c:v>201.89</c:v>
                </c:pt>
                <c:pt idx="55">
                  <c:v>201.62</c:v>
                </c:pt>
                <c:pt idx="56">
                  <c:v>201.52</c:v>
                </c:pt>
                <c:pt idx="57">
                  <c:v>201.36</c:v>
                </c:pt>
                <c:pt idx="58">
                  <c:v>201.29</c:v>
                </c:pt>
                <c:pt idx="59">
                  <c:v>201.36</c:v>
                </c:pt>
                <c:pt idx="60">
                  <c:v>201.28</c:v>
                </c:pt>
                <c:pt idx="61">
                  <c:v>201.33</c:v>
                </c:pt>
                <c:pt idx="62">
                  <c:v>201.25</c:v>
                </c:pt>
                <c:pt idx="63">
                  <c:v>201.18</c:v>
                </c:pt>
                <c:pt idx="64">
                  <c:v>201.15</c:v>
                </c:pt>
                <c:pt idx="65">
                  <c:v>201.28</c:v>
                </c:pt>
                <c:pt idx="66">
                  <c:v>201.28</c:v>
                </c:pt>
                <c:pt idx="67">
                  <c:v>201.22</c:v>
                </c:pt>
                <c:pt idx="68">
                  <c:v>201.17</c:v>
                </c:pt>
                <c:pt idx="69">
                  <c:v>201.11</c:v>
                </c:pt>
                <c:pt idx="70">
                  <c:v>201.23</c:v>
                </c:pt>
                <c:pt idx="71">
                  <c:v>201.22</c:v>
                </c:pt>
                <c:pt idx="72">
                  <c:v>201.2</c:v>
                </c:pt>
                <c:pt idx="73">
                  <c:v>201.21</c:v>
                </c:pt>
                <c:pt idx="74">
                  <c:v>201.16</c:v>
                </c:pt>
                <c:pt idx="75">
                  <c:v>201.22</c:v>
                </c:pt>
                <c:pt idx="76">
                  <c:v>201.15</c:v>
                </c:pt>
                <c:pt idx="77">
                  <c:v>201.25</c:v>
                </c:pt>
                <c:pt idx="78">
                  <c:v>201.28</c:v>
                </c:pt>
                <c:pt idx="79">
                  <c:v>201.22</c:v>
                </c:pt>
                <c:pt idx="80">
                  <c:v>201.18</c:v>
                </c:pt>
                <c:pt idx="81">
                  <c:v>201.32</c:v>
                </c:pt>
                <c:pt idx="82">
                  <c:v>201.16</c:v>
                </c:pt>
                <c:pt idx="83">
                  <c:v>201.16</c:v>
                </c:pt>
                <c:pt idx="84">
                  <c:v>201.12</c:v>
                </c:pt>
                <c:pt idx="85">
                  <c:v>201.2</c:v>
                </c:pt>
                <c:pt idx="86">
                  <c:v>201.17</c:v>
                </c:pt>
                <c:pt idx="87">
                  <c:v>201.21</c:v>
                </c:pt>
                <c:pt idx="88">
                  <c:v>201.21</c:v>
                </c:pt>
                <c:pt idx="89">
                  <c:v>201.18</c:v>
                </c:pt>
                <c:pt idx="90">
                  <c:v>201.21</c:v>
                </c:pt>
                <c:pt idx="91">
                  <c:v>201.29</c:v>
                </c:pt>
                <c:pt idx="92">
                  <c:v>201.17</c:v>
                </c:pt>
                <c:pt idx="93">
                  <c:v>201.23</c:v>
                </c:pt>
                <c:pt idx="94">
                  <c:v>201.14</c:v>
                </c:pt>
                <c:pt idx="95">
                  <c:v>201.18</c:v>
                </c:pt>
                <c:pt idx="96">
                  <c:v>201.15</c:v>
                </c:pt>
              </c:numCache>
            </c:numRef>
          </c:val>
          <c:smooth val="0"/>
          <c:extLst>
            <c:ext xmlns:c16="http://schemas.microsoft.com/office/drawing/2014/chart" uri="{C3380CC4-5D6E-409C-BE32-E72D297353CC}">
              <c16:uniqueId val="{00000008-B5C6-462F-9759-2EDEB9FDA0AD}"/>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1"/>
        <c:noMultiLvlLbl val="0"/>
      </c:catAx>
      <c:valAx>
        <c:axId val="329597576"/>
        <c:scaling>
          <c:orientation val="minMax"/>
          <c:max val="205"/>
          <c:min val="170"/>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66572507348184E-2"/>
          <c:y val="1.2785011799848964E-2"/>
          <c:w val="0.8887114423852841"/>
          <c:h val="0.82771626650337493"/>
        </c:manualLayout>
      </c:layout>
      <c:lineChart>
        <c:grouping val="standard"/>
        <c:varyColors val="0"/>
        <c:ser>
          <c:idx val="0"/>
          <c:order val="0"/>
          <c:tx>
            <c:strRef>
              <c:f>'transfert 385'!$B$1</c:f>
              <c:strCache>
                <c:ptCount val="1"/>
                <c:pt idx="0">
                  <c:v>Connecteur 1</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385'!$B$2:$B$61</c:f>
              <c:numCache>
                <c:formatCode>General</c:formatCode>
                <c:ptCount val="60"/>
                <c:pt idx="0">
                  <c:v>343.14</c:v>
                </c:pt>
                <c:pt idx="1">
                  <c:v>346.21</c:v>
                </c:pt>
                <c:pt idx="2">
                  <c:v>349.37</c:v>
                </c:pt>
                <c:pt idx="3">
                  <c:v>352.54</c:v>
                </c:pt>
                <c:pt idx="4">
                  <c:v>355.6</c:v>
                </c:pt>
                <c:pt idx="5">
                  <c:v>358.47</c:v>
                </c:pt>
                <c:pt idx="6">
                  <c:v>361.68</c:v>
                </c:pt>
                <c:pt idx="7">
                  <c:v>364.74</c:v>
                </c:pt>
                <c:pt idx="8">
                  <c:v>367.49</c:v>
                </c:pt>
                <c:pt idx="9">
                  <c:v>370.5</c:v>
                </c:pt>
                <c:pt idx="10">
                  <c:v>373.41</c:v>
                </c:pt>
                <c:pt idx="11">
                  <c:v>376.48</c:v>
                </c:pt>
                <c:pt idx="12">
                  <c:v>379.35</c:v>
                </c:pt>
                <c:pt idx="13">
                  <c:v>382.08</c:v>
                </c:pt>
                <c:pt idx="14">
                  <c:v>383.49</c:v>
                </c:pt>
                <c:pt idx="15">
                  <c:v>384.75</c:v>
                </c:pt>
                <c:pt idx="16">
                  <c:v>385.32</c:v>
                </c:pt>
                <c:pt idx="17">
                  <c:v>385.78</c:v>
                </c:pt>
                <c:pt idx="18">
                  <c:v>386.18</c:v>
                </c:pt>
                <c:pt idx="19">
                  <c:v>386.33</c:v>
                </c:pt>
                <c:pt idx="20">
                  <c:v>386.33</c:v>
                </c:pt>
                <c:pt idx="21">
                  <c:v>386.54</c:v>
                </c:pt>
                <c:pt idx="22">
                  <c:v>386.59</c:v>
                </c:pt>
                <c:pt idx="23">
                  <c:v>386.58</c:v>
                </c:pt>
                <c:pt idx="24">
                  <c:v>386.56</c:v>
                </c:pt>
                <c:pt idx="25">
                  <c:v>386.62</c:v>
                </c:pt>
                <c:pt idx="26">
                  <c:v>386.64</c:v>
                </c:pt>
                <c:pt idx="27">
                  <c:v>386.66</c:v>
                </c:pt>
                <c:pt idx="28">
                  <c:v>386.63</c:v>
                </c:pt>
                <c:pt idx="29">
                  <c:v>386.6</c:v>
                </c:pt>
                <c:pt idx="30">
                  <c:v>386.71</c:v>
                </c:pt>
                <c:pt idx="31">
                  <c:v>386.72</c:v>
                </c:pt>
                <c:pt idx="32">
                  <c:v>386.7</c:v>
                </c:pt>
                <c:pt idx="33">
                  <c:v>386.71</c:v>
                </c:pt>
                <c:pt idx="34">
                  <c:v>386.76</c:v>
                </c:pt>
                <c:pt idx="35">
                  <c:v>386.77</c:v>
                </c:pt>
                <c:pt idx="36">
                  <c:v>387.09</c:v>
                </c:pt>
                <c:pt idx="37">
                  <c:v>386.88</c:v>
                </c:pt>
                <c:pt idx="38">
                  <c:v>386.84</c:v>
                </c:pt>
                <c:pt idx="39">
                  <c:v>386.95</c:v>
                </c:pt>
                <c:pt idx="40">
                  <c:v>386.85</c:v>
                </c:pt>
                <c:pt idx="41">
                  <c:v>386.71</c:v>
                </c:pt>
                <c:pt idx="42">
                  <c:v>386.82</c:v>
                </c:pt>
                <c:pt idx="43">
                  <c:v>387.05</c:v>
                </c:pt>
                <c:pt idx="44">
                  <c:v>386.91</c:v>
                </c:pt>
                <c:pt idx="45">
                  <c:v>386.87</c:v>
                </c:pt>
                <c:pt idx="46">
                  <c:v>387.01</c:v>
                </c:pt>
                <c:pt idx="47">
                  <c:v>386.97</c:v>
                </c:pt>
                <c:pt idx="48">
                  <c:v>386.87</c:v>
                </c:pt>
                <c:pt idx="49">
                  <c:v>386.85</c:v>
                </c:pt>
                <c:pt idx="50">
                  <c:v>386.94</c:v>
                </c:pt>
                <c:pt idx="51">
                  <c:v>386.85</c:v>
                </c:pt>
                <c:pt idx="52">
                  <c:v>387</c:v>
                </c:pt>
                <c:pt idx="53">
                  <c:v>386.83</c:v>
                </c:pt>
                <c:pt idx="54">
                  <c:v>386.78</c:v>
                </c:pt>
                <c:pt idx="55">
                  <c:v>386.78</c:v>
                </c:pt>
                <c:pt idx="56">
                  <c:v>386.86</c:v>
                </c:pt>
                <c:pt idx="57">
                  <c:v>386.92</c:v>
                </c:pt>
                <c:pt idx="58">
                  <c:v>386.97</c:v>
                </c:pt>
                <c:pt idx="59">
                  <c:v>386.93</c:v>
                </c:pt>
              </c:numCache>
            </c:numRef>
          </c:val>
          <c:smooth val="0"/>
          <c:extLst xmlns:c15="http://schemas.microsoft.com/office/drawing/2012/chart">
            <c:ext xmlns:c16="http://schemas.microsoft.com/office/drawing/2014/chart" uri="{C3380CC4-5D6E-409C-BE32-E72D297353CC}">
              <c16:uniqueId val="{00000000-1D5C-4678-9FC3-35D4E1920DB5}"/>
            </c:ext>
          </c:extLst>
        </c:ser>
        <c:ser>
          <c:idx val="1"/>
          <c:order val="1"/>
          <c:tx>
            <c:strRef>
              <c:f>'transfert 385'!$C$1</c:f>
              <c:strCache>
                <c:ptCount val="1"/>
                <c:pt idx="0">
                  <c:v>Connecteur 2</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385'!$C$2:$C$61</c:f>
              <c:numCache>
                <c:formatCode>General</c:formatCode>
                <c:ptCount val="60"/>
                <c:pt idx="0">
                  <c:v>341.83</c:v>
                </c:pt>
                <c:pt idx="1">
                  <c:v>345.27</c:v>
                </c:pt>
                <c:pt idx="2">
                  <c:v>348.13</c:v>
                </c:pt>
                <c:pt idx="3">
                  <c:v>351.35</c:v>
                </c:pt>
                <c:pt idx="4">
                  <c:v>354.24</c:v>
                </c:pt>
                <c:pt idx="5">
                  <c:v>357.05</c:v>
                </c:pt>
                <c:pt idx="6">
                  <c:v>360.17</c:v>
                </c:pt>
                <c:pt idx="7">
                  <c:v>363.23</c:v>
                </c:pt>
                <c:pt idx="8">
                  <c:v>365.93</c:v>
                </c:pt>
                <c:pt idx="9">
                  <c:v>369.05</c:v>
                </c:pt>
                <c:pt idx="10">
                  <c:v>371.79</c:v>
                </c:pt>
                <c:pt idx="11">
                  <c:v>374.77</c:v>
                </c:pt>
                <c:pt idx="12">
                  <c:v>378.01</c:v>
                </c:pt>
                <c:pt idx="13">
                  <c:v>380.64</c:v>
                </c:pt>
                <c:pt idx="14">
                  <c:v>382.27</c:v>
                </c:pt>
                <c:pt idx="15">
                  <c:v>383.57</c:v>
                </c:pt>
                <c:pt idx="16">
                  <c:v>384.37</c:v>
                </c:pt>
                <c:pt idx="17">
                  <c:v>384.69</c:v>
                </c:pt>
                <c:pt idx="18">
                  <c:v>385.34</c:v>
                </c:pt>
                <c:pt idx="19">
                  <c:v>385.56</c:v>
                </c:pt>
                <c:pt idx="20">
                  <c:v>385.69</c:v>
                </c:pt>
                <c:pt idx="21">
                  <c:v>385.89</c:v>
                </c:pt>
                <c:pt idx="22">
                  <c:v>386</c:v>
                </c:pt>
                <c:pt idx="23">
                  <c:v>386.05</c:v>
                </c:pt>
                <c:pt idx="24">
                  <c:v>386.03</c:v>
                </c:pt>
                <c:pt idx="25">
                  <c:v>386.15</c:v>
                </c:pt>
                <c:pt idx="26">
                  <c:v>386.16</c:v>
                </c:pt>
                <c:pt idx="27">
                  <c:v>386.21</c:v>
                </c:pt>
                <c:pt idx="28">
                  <c:v>386.17</c:v>
                </c:pt>
                <c:pt idx="29">
                  <c:v>386.22</c:v>
                </c:pt>
                <c:pt idx="30">
                  <c:v>386.24</c:v>
                </c:pt>
                <c:pt idx="31">
                  <c:v>386.3</c:v>
                </c:pt>
                <c:pt idx="32">
                  <c:v>386.32</c:v>
                </c:pt>
                <c:pt idx="33">
                  <c:v>386.39</c:v>
                </c:pt>
                <c:pt idx="34">
                  <c:v>386.39</c:v>
                </c:pt>
                <c:pt idx="35">
                  <c:v>386.5</c:v>
                </c:pt>
                <c:pt idx="36">
                  <c:v>386.66</c:v>
                </c:pt>
                <c:pt idx="37">
                  <c:v>386.52</c:v>
                </c:pt>
                <c:pt idx="38">
                  <c:v>386.49</c:v>
                </c:pt>
                <c:pt idx="39">
                  <c:v>386.57</c:v>
                </c:pt>
                <c:pt idx="40">
                  <c:v>386.47</c:v>
                </c:pt>
                <c:pt idx="41">
                  <c:v>386.37</c:v>
                </c:pt>
                <c:pt idx="42">
                  <c:v>386.44</c:v>
                </c:pt>
                <c:pt idx="43">
                  <c:v>386.67</c:v>
                </c:pt>
                <c:pt idx="44">
                  <c:v>386.64</c:v>
                </c:pt>
                <c:pt idx="45">
                  <c:v>386.48</c:v>
                </c:pt>
                <c:pt idx="46">
                  <c:v>386.65</c:v>
                </c:pt>
                <c:pt idx="47">
                  <c:v>386.62</c:v>
                </c:pt>
                <c:pt idx="48">
                  <c:v>386.58</c:v>
                </c:pt>
                <c:pt idx="49">
                  <c:v>386.58</c:v>
                </c:pt>
                <c:pt idx="50">
                  <c:v>386.56</c:v>
                </c:pt>
                <c:pt idx="51">
                  <c:v>386.59</c:v>
                </c:pt>
                <c:pt idx="52">
                  <c:v>386.69</c:v>
                </c:pt>
                <c:pt idx="53">
                  <c:v>386.55</c:v>
                </c:pt>
                <c:pt idx="54">
                  <c:v>386.45</c:v>
                </c:pt>
                <c:pt idx="55">
                  <c:v>386.46</c:v>
                </c:pt>
                <c:pt idx="56">
                  <c:v>386.51</c:v>
                </c:pt>
                <c:pt idx="57">
                  <c:v>386.57</c:v>
                </c:pt>
                <c:pt idx="58">
                  <c:v>386.67</c:v>
                </c:pt>
                <c:pt idx="59">
                  <c:v>386.62</c:v>
                </c:pt>
              </c:numCache>
            </c:numRef>
          </c:val>
          <c:smooth val="0"/>
          <c:extLst>
            <c:ext xmlns:c16="http://schemas.microsoft.com/office/drawing/2014/chart" uri="{C3380CC4-5D6E-409C-BE32-E72D297353CC}">
              <c16:uniqueId val="{00000001-1D5C-4678-9FC3-35D4E1920DB5}"/>
            </c:ext>
          </c:extLst>
        </c:ser>
        <c:ser>
          <c:idx val="2"/>
          <c:order val="2"/>
          <c:tx>
            <c:strRef>
              <c:f>'transfert 385'!$D$1</c:f>
              <c:strCache>
                <c:ptCount val="1"/>
                <c:pt idx="0">
                  <c:v>Connecteur 3</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385'!$D$2:$D$61</c:f>
              <c:numCache>
                <c:formatCode>General</c:formatCode>
                <c:ptCount val="60"/>
                <c:pt idx="0">
                  <c:v>340.21</c:v>
                </c:pt>
                <c:pt idx="1">
                  <c:v>343.37</c:v>
                </c:pt>
                <c:pt idx="2">
                  <c:v>346.48</c:v>
                </c:pt>
                <c:pt idx="3">
                  <c:v>349.58</c:v>
                </c:pt>
                <c:pt idx="4">
                  <c:v>352.66</c:v>
                </c:pt>
                <c:pt idx="5">
                  <c:v>355.68</c:v>
                </c:pt>
                <c:pt idx="6">
                  <c:v>358.78</c:v>
                </c:pt>
                <c:pt idx="7">
                  <c:v>361.72</c:v>
                </c:pt>
                <c:pt idx="8">
                  <c:v>364.73</c:v>
                </c:pt>
                <c:pt idx="9">
                  <c:v>367.77</c:v>
                </c:pt>
                <c:pt idx="10">
                  <c:v>370.6</c:v>
                </c:pt>
                <c:pt idx="11">
                  <c:v>373.6</c:v>
                </c:pt>
                <c:pt idx="12">
                  <c:v>376.5</c:v>
                </c:pt>
                <c:pt idx="13">
                  <c:v>379.47</c:v>
                </c:pt>
                <c:pt idx="14">
                  <c:v>381.1</c:v>
                </c:pt>
                <c:pt idx="15">
                  <c:v>382.42</c:v>
                </c:pt>
                <c:pt idx="16">
                  <c:v>383.36</c:v>
                </c:pt>
                <c:pt idx="17">
                  <c:v>384.02</c:v>
                </c:pt>
                <c:pt idx="18">
                  <c:v>384.6</c:v>
                </c:pt>
                <c:pt idx="19">
                  <c:v>384.92</c:v>
                </c:pt>
                <c:pt idx="20">
                  <c:v>385.16</c:v>
                </c:pt>
                <c:pt idx="21">
                  <c:v>385.41</c:v>
                </c:pt>
                <c:pt idx="22">
                  <c:v>385.56</c:v>
                </c:pt>
                <c:pt idx="23">
                  <c:v>385.69</c:v>
                </c:pt>
                <c:pt idx="24">
                  <c:v>385.68</c:v>
                </c:pt>
                <c:pt idx="25">
                  <c:v>385.83</c:v>
                </c:pt>
                <c:pt idx="26">
                  <c:v>385.87</c:v>
                </c:pt>
                <c:pt idx="27">
                  <c:v>385.92</c:v>
                </c:pt>
                <c:pt idx="28">
                  <c:v>385.94</c:v>
                </c:pt>
                <c:pt idx="29">
                  <c:v>385.92</c:v>
                </c:pt>
                <c:pt idx="30">
                  <c:v>386.07</c:v>
                </c:pt>
                <c:pt idx="31">
                  <c:v>386.1</c:v>
                </c:pt>
                <c:pt idx="32">
                  <c:v>386.07</c:v>
                </c:pt>
                <c:pt idx="33">
                  <c:v>386.17</c:v>
                </c:pt>
                <c:pt idx="34">
                  <c:v>386.21</c:v>
                </c:pt>
                <c:pt idx="35">
                  <c:v>386.19</c:v>
                </c:pt>
                <c:pt idx="36">
                  <c:v>386.46</c:v>
                </c:pt>
                <c:pt idx="37">
                  <c:v>386.34</c:v>
                </c:pt>
                <c:pt idx="38">
                  <c:v>386.39</c:v>
                </c:pt>
                <c:pt idx="39">
                  <c:v>386.38</c:v>
                </c:pt>
                <c:pt idx="40">
                  <c:v>386.35</c:v>
                </c:pt>
                <c:pt idx="41">
                  <c:v>386.27</c:v>
                </c:pt>
                <c:pt idx="42">
                  <c:v>386.34</c:v>
                </c:pt>
                <c:pt idx="43">
                  <c:v>386.53</c:v>
                </c:pt>
                <c:pt idx="44">
                  <c:v>386.45</c:v>
                </c:pt>
                <c:pt idx="45">
                  <c:v>386.41</c:v>
                </c:pt>
                <c:pt idx="46">
                  <c:v>386.51</c:v>
                </c:pt>
                <c:pt idx="47">
                  <c:v>386.47</c:v>
                </c:pt>
                <c:pt idx="48">
                  <c:v>386.41</c:v>
                </c:pt>
                <c:pt idx="49">
                  <c:v>386.4</c:v>
                </c:pt>
                <c:pt idx="50">
                  <c:v>386.45</c:v>
                </c:pt>
                <c:pt idx="51">
                  <c:v>386.44</c:v>
                </c:pt>
                <c:pt idx="52">
                  <c:v>386.53</c:v>
                </c:pt>
                <c:pt idx="53">
                  <c:v>386.45</c:v>
                </c:pt>
                <c:pt idx="54">
                  <c:v>386.38</c:v>
                </c:pt>
                <c:pt idx="55">
                  <c:v>386.33</c:v>
                </c:pt>
                <c:pt idx="56">
                  <c:v>386.44</c:v>
                </c:pt>
                <c:pt idx="57">
                  <c:v>386.45</c:v>
                </c:pt>
                <c:pt idx="58">
                  <c:v>386.48</c:v>
                </c:pt>
                <c:pt idx="59">
                  <c:v>386.48</c:v>
                </c:pt>
              </c:numCache>
            </c:numRef>
          </c:val>
          <c:smooth val="0"/>
          <c:extLst>
            <c:ext xmlns:c16="http://schemas.microsoft.com/office/drawing/2014/chart" uri="{C3380CC4-5D6E-409C-BE32-E72D297353CC}">
              <c16:uniqueId val="{00000002-1D5C-4678-9FC3-35D4E1920DB5}"/>
            </c:ext>
          </c:extLst>
        </c:ser>
        <c:ser>
          <c:idx val="3"/>
          <c:order val="3"/>
          <c:tx>
            <c:strRef>
              <c:f>'transfert 385'!$E$1</c:f>
              <c:strCache>
                <c:ptCount val="1"/>
                <c:pt idx="0">
                  <c:v>Connecteur 4</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385'!$E$2:$E$61</c:f>
              <c:numCache>
                <c:formatCode>General</c:formatCode>
                <c:ptCount val="60"/>
                <c:pt idx="0">
                  <c:v>344.7</c:v>
                </c:pt>
                <c:pt idx="1">
                  <c:v>347.75</c:v>
                </c:pt>
                <c:pt idx="2">
                  <c:v>350.94</c:v>
                </c:pt>
                <c:pt idx="3">
                  <c:v>353.99</c:v>
                </c:pt>
                <c:pt idx="4">
                  <c:v>357.01</c:v>
                </c:pt>
                <c:pt idx="5">
                  <c:v>359.97</c:v>
                </c:pt>
                <c:pt idx="6">
                  <c:v>363.09</c:v>
                </c:pt>
                <c:pt idx="7">
                  <c:v>365.83</c:v>
                </c:pt>
                <c:pt idx="8">
                  <c:v>368.91</c:v>
                </c:pt>
                <c:pt idx="9">
                  <c:v>371.8</c:v>
                </c:pt>
                <c:pt idx="10">
                  <c:v>374.65</c:v>
                </c:pt>
                <c:pt idx="11">
                  <c:v>377.61</c:v>
                </c:pt>
                <c:pt idx="12">
                  <c:v>380.55</c:v>
                </c:pt>
                <c:pt idx="13">
                  <c:v>383.33</c:v>
                </c:pt>
                <c:pt idx="14">
                  <c:v>384.61</c:v>
                </c:pt>
                <c:pt idx="15">
                  <c:v>385.61</c:v>
                </c:pt>
                <c:pt idx="16">
                  <c:v>386.13</c:v>
                </c:pt>
                <c:pt idx="17">
                  <c:v>386.27</c:v>
                </c:pt>
                <c:pt idx="18">
                  <c:v>386.6</c:v>
                </c:pt>
                <c:pt idx="19">
                  <c:v>386.66</c:v>
                </c:pt>
                <c:pt idx="20">
                  <c:v>386.56</c:v>
                </c:pt>
                <c:pt idx="21">
                  <c:v>386.66</c:v>
                </c:pt>
                <c:pt idx="22">
                  <c:v>386.64</c:v>
                </c:pt>
                <c:pt idx="23">
                  <c:v>386.61</c:v>
                </c:pt>
                <c:pt idx="24">
                  <c:v>386.43</c:v>
                </c:pt>
                <c:pt idx="25">
                  <c:v>386.52</c:v>
                </c:pt>
                <c:pt idx="26">
                  <c:v>386.48</c:v>
                </c:pt>
                <c:pt idx="27">
                  <c:v>386.45</c:v>
                </c:pt>
                <c:pt idx="28">
                  <c:v>386.4</c:v>
                </c:pt>
                <c:pt idx="29">
                  <c:v>386.3</c:v>
                </c:pt>
                <c:pt idx="30">
                  <c:v>386.49</c:v>
                </c:pt>
                <c:pt idx="31">
                  <c:v>386.42</c:v>
                </c:pt>
                <c:pt idx="32">
                  <c:v>386.37</c:v>
                </c:pt>
                <c:pt idx="33">
                  <c:v>386.38</c:v>
                </c:pt>
                <c:pt idx="34">
                  <c:v>386.44</c:v>
                </c:pt>
                <c:pt idx="35">
                  <c:v>386.46</c:v>
                </c:pt>
                <c:pt idx="36">
                  <c:v>386.74</c:v>
                </c:pt>
                <c:pt idx="37">
                  <c:v>386.55</c:v>
                </c:pt>
                <c:pt idx="38">
                  <c:v>386.54</c:v>
                </c:pt>
                <c:pt idx="39">
                  <c:v>386.55</c:v>
                </c:pt>
                <c:pt idx="40">
                  <c:v>386.46</c:v>
                </c:pt>
                <c:pt idx="41">
                  <c:v>386.35</c:v>
                </c:pt>
                <c:pt idx="42">
                  <c:v>386.44</c:v>
                </c:pt>
                <c:pt idx="43">
                  <c:v>386.66</c:v>
                </c:pt>
                <c:pt idx="44">
                  <c:v>386.53</c:v>
                </c:pt>
                <c:pt idx="45">
                  <c:v>386.49</c:v>
                </c:pt>
                <c:pt idx="46">
                  <c:v>386.65</c:v>
                </c:pt>
                <c:pt idx="47">
                  <c:v>386.61</c:v>
                </c:pt>
                <c:pt idx="48">
                  <c:v>386.46</c:v>
                </c:pt>
                <c:pt idx="49">
                  <c:v>386.49</c:v>
                </c:pt>
                <c:pt idx="50">
                  <c:v>386.54</c:v>
                </c:pt>
                <c:pt idx="51">
                  <c:v>386.45</c:v>
                </c:pt>
                <c:pt idx="52">
                  <c:v>386.61</c:v>
                </c:pt>
                <c:pt idx="53">
                  <c:v>386.48</c:v>
                </c:pt>
                <c:pt idx="54">
                  <c:v>386.4</c:v>
                </c:pt>
                <c:pt idx="55">
                  <c:v>386.39</c:v>
                </c:pt>
                <c:pt idx="56">
                  <c:v>386.47</c:v>
                </c:pt>
                <c:pt idx="57">
                  <c:v>386.55</c:v>
                </c:pt>
                <c:pt idx="58">
                  <c:v>386.55</c:v>
                </c:pt>
                <c:pt idx="59">
                  <c:v>386.5</c:v>
                </c:pt>
              </c:numCache>
            </c:numRef>
          </c:val>
          <c:smooth val="0"/>
          <c:extLst>
            <c:ext xmlns:c16="http://schemas.microsoft.com/office/drawing/2014/chart" uri="{C3380CC4-5D6E-409C-BE32-E72D297353CC}">
              <c16:uniqueId val="{00000003-1D5C-4678-9FC3-35D4E1920DB5}"/>
            </c:ext>
          </c:extLst>
        </c:ser>
        <c:ser>
          <c:idx val="4"/>
          <c:order val="4"/>
          <c:tx>
            <c:strRef>
              <c:f>'transfert 385'!$F$1</c:f>
              <c:strCache>
                <c:ptCount val="1"/>
                <c:pt idx="0">
                  <c:v>Connecteur 5</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385'!$F$2:$F$61</c:f>
              <c:numCache>
                <c:formatCode>General</c:formatCode>
                <c:ptCount val="60"/>
                <c:pt idx="0">
                  <c:v>344.75</c:v>
                </c:pt>
                <c:pt idx="1">
                  <c:v>348.12</c:v>
                </c:pt>
                <c:pt idx="2">
                  <c:v>350.95</c:v>
                </c:pt>
                <c:pt idx="3">
                  <c:v>354.17</c:v>
                </c:pt>
                <c:pt idx="4">
                  <c:v>356.91</c:v>
                </c:pt>
                <c:pt idx="5">
                  <c:v>360.16</c:v>
                </c:pt>
                <c:pt idx="6">
                  <c:v>363.2</c:v>
                </c:pt>
                <c:pt idx="7">
                  <c:v>365.85</c:v>
                </c:pt>
                <c:pt idx="8">
                  <c:v>369.06</c:v>
                </c:pt>
                <c:pt idx="9">
                  <c:v>372.13</c:v>
                </c:pt>
                <c:pt idx="10">
                  <c:v>375.05</c:v>
                </c:pt>
                <c:pt idx="11">
                  <c:v>377.86</c:v>
                </c:pt>
                <c:pt idx="12">
                  <c:v>380.82</c:v>
                </c:pt>
                <c:pt idx="13">
                  <c:v>383.71</c:v>
                </c:pt>
                <c:pt idx="14">
                  <c:v>384.77</c:v>
                </c:pt>
                <c:pt idx="15">
                  <c:v>385.67</c:v>
                </c:pt>
                <c:pt idx="16">
                  <c:v>386.46</c:v>
                </c:pt>
                <c:pt idx="17">
                  <c:v>386.44</c:v>
                </c:pt>
                <c:pt idx="18">
                  <c:v>387.03</c:v>
                </c:pt>
                <c:pt idx="19">
                  <c:v>386.9</c:v>
                </c:pt>
                <c:pt idx="20">
                  <c:v>386.68</c:v>
                </c:pt>
                <c:pt idx="21">
                  <c:v>386.78</c:v>
                </c:pt>
                <c:pt idx="22">
                  <c:v>386.84</c:v>
                </c:pt>
                <c:pt idx="23">
                  <c:v>386.71</c:v>
                </c:pt>
                <c:pt idx="24">
                  <c:v>386.52</c:v>
                </c:pt>
                <c:pt idx="25">
                  <c:v>386.54</c:v>
                </c:pt>
                <c:pt idx="26">
                  <c:v>386.69</c:v>
                </c:pt>
                <c:pt idx="27">
                  <c:v>386.41</c:v>
                </c:pt>
                <c:pt idx="28">
                  <c:v>386.33</c:v>
                </c:pt>
                <c:pt idx="29">
                  <c:v>386.3</c:v>
                </c:pt>
                <c:pt idx="30">
                  <c:v>386.32</c:v>
                </c:pt>
                <c:pt idx="31">
                  <c:v>386.21</c:v>
                </c:pt>
                <c:pt idx="32">
                  <c:v>386.18</c:v>
                </c:pt>
                <c:pt idx="33">
                  <c:v>386.47</c:v>
                </c:pt>
                <c:pt idx="34">
                  <c:v>386.4</c:v>
                </c:pt>
                <c:pt idx="35">
                  <c:v>386.39</c:v>
                </c:pt>
                <c:pt idx="36">
                  <c:v>386.39</c:v>
                </c:pt>
                <c:pt idx="37">
                  <c:v>386.25</c:v>
                </c:pt>
                <c:pt idx="38">
                  <c:v>386.23</c:v>
                </c:pt>
                <c:pt idx="39">
                  <c:v>386.52</c:v>
                </c:pt>
                <c:pt idx="40">
                  <c:v>386.14</c:v>
                </c:pt>
                <c:pt idx="41">
                  <c:v>385.92</c:v>
                </c:pt>
                <c:pt idx="42">
                  <c:v>386.03</c:v>
                </c:pt>
                <c:pt idx="43">
                  <c:v>386.41</c:v>
                </c:pt>
                <c:pt idx="44">
                  <c:v>386.14</c:v>
                </c:pt>
                <c:pt idx="45">
                  <c:v>386.1</c:v>
                </c:pt>
                <c:pt idx="46">
                  <c:v>386.23</c:v>
                </c:pt>
                <c:pt idx="47">
                  <c:v>386.32</c:v>
                </c:pt>
                <c:pt idx="48">
                  <c:v>386.09</c:v>
                </c:pt>
                <c:pt idx="49">
                  <c:v>385.99</c:v>
                </c:pt>
                <c:pt idx="50">
                  <c:v>386.15</c:v>
                </c:pt>
                <c:pt idx="51">
                  <c:v>386.15</c:v>
                </c:pt>
                <c:pt idx="52">
                  <c:v>386.32</c:v>
                </c:pt>
                <c:pt idx="53">
                  <c:v>386.08</c:v>
                </c:pt>
                <c:pt idx="54">
                  <c:v>385.75</c:v>
                </c:pt>
                <c:pt idx="55">
                  <c:v>385.99</c:v>
                </c:pt>
                <c:pt idx="56">
                  <c:v>386</c:v>
                </c:pt>
                <c:pt idx="57">
                  <c:v>385.88</c:v>
                </c:pt>
                <c:pt idx="58">
                  <c:v>386.38</c:v>
                </c:pt>
                <c:pt idx="59">
                  <c:v>386.08</c:v>
                </c:pt>
              </c:numCache>
            </c:numRef>
          </c:val>
          <c:smooth val="0"/>
          <c:extLst>
            <c:ext xmlns:c16="http://schemas.microsoft.com/office/drawing/2014/chart" uri="{C3380CC4-5D6E-409C-BE32-E72D297353CC}">
              <c16:uniqueId val="{00000004-1D5C-4678-9FC3-35D4E1920DB5}"/>
            </c:ext>
          </c:extLst>
        </c:ser>
        <c:ser>
          <c:idx val="5"/>
          <c:order val="5"/>
          <c:tx>
            <c:strRef>
              <c:f>'transfert 385'!$G$1</c:f>
              <c:strCache>
                <c:ptCount val="1"/>
                <c:pt idx="0">
                  <c:v>Connecteur 6</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385'!$G$2:$G$61</c:f>
              <c:numCache>
                <c:formatCode>General</c:formatCode>
                <c:ptCount val="60"/>
                <c:pt idx="0">
                  <c:v>348.01</c:v>
                </c:pt>
                <c:pt idx="1">
                  <c:v>351</c:v>
                </c:pt>
                <c:pt idx="2">
                  <c:v>354.16</c:v>
                </c:pt>
                <c:pt idx="3">
                  <c:v>357.07</c:v>
                </c:pt>
                <c:pt idx="4">
                  <c:v>360.28</c:v>
                </c:pt>
                <c:pt idx="5">
                  <c:v>363.32</c:v>
                </c:pt>
                <c:pt idx="6">
                  <c:v>366.18</c:v>
                </c:pt>
                <c:pt idx="7">
                  <c:v>369.07</c:v>
                </c:pt>
                <c:pt idx="8">
                  <c:v>372.09</c:v>
                </c:pt>
                <c:pt idx="9">
                  <c:v>375.03</c:v>
                </c:pt>
                <c:pt idx="10">
                  <c:v>377.77</c:v>
                </c:pt>
                <c:pt idx="11">
                  <c:v>380.84</c:v>
                </c:pt>
                <c:pt idx="12">
                  <c:v>383.55</c:v>
                </c:pt>
                <c:pt idx="13">
                  <c:v>386.47</c:v>
                </c:pt>
                <c:pt idx="14">
                  <c:v>387.62</c:v>
                </c:pt>
                <c:pt idx="15">
                  <c:v>388.58</c:v>
                </c:pt>
                <c:pt idx="16">
                  <c:v>389.01</c:v>
                </c:pt>
                <c:pt idx="17">
                  <c:v>389.02</c:v>
                </c:pt>
                <c:pt idx="18">
                  <c:v>389.4</c:v>
                </c:pt>
                <c:pt idx="19">
                  <c:v>389.24</c:v>
                </c:pt>
                <c:pt idx="20">
                  <c:v>389.08</c:v>
                </c:pt>
                <c:pt idx="21">
                  <c:v>389.04</c:v>
                </c:pt>
                <c:pt idx="22">
                  <c:v>388.95</c:v>
                </c:pt>
                <c:pt idx="23">
                  <c:v>388.86</c:v>
                </c:pt>
                <c:pt idx="24">
                  <c:v>388.65</c:v>
                </c:pt>
                <c:pt idx="25">
                  <c:v>388.61</c:v>
                </c:pt>
                <c:pt idx="26">
                  <c:v>388.59</c:v>
                </c:pt>
                <c:pt idx="27">
                  <c:v>388.46</c:v>
                </c:pt>
                <c:pt idx="28">
                  <c:v>388.31</c:v>
                </c:pt>
                <c:pt idx="29">
                  <c:v>388.2</c:v>
                </c:pt>
                <c:pt idx="30">
                  <c:v>388.38</c:v>
                </c:pt>
                <c:pt idx="31">
                  <c:v>388.28</c:v>
                </c:pt>
                <c:pt idx="32">
                  <c:v>388.24</c:v>
                </c:pt>
                <c:pt idx="33">
                  <c:v>388.14</c:v>
                </c:pt>
                <c:pt idx="34">
                  <c:v>388.24</c:v>
                </c:pt>
                <c:pt idx="35">
                  <c:v>388.26</c:v>
                </c:pt>
                <c:pt idx="36">
                  <c:v>388.47</c:v>
                </c:pt>
                <c:pt idx="37">
                  <c:v>388.24</c:v>
                </c:pt>
                <c:pt idx="38">
                  <c:v>388.15</c:v>
                </c:pt>
                <c:pt idx="39">
                  <c:v>388.3</c:v>
                </c:pt>
                <c:pt idx="40">
                  <c:v>388.15</c:v>
                </c:pt>
                <c:pt idx="41">
                  <c:v>388.06</c:v>
                </c:pt>
                <c:pt idx="42">
                  <c:v>388.12</c:v>
                </c:pt>
                <c:pt idx="43">
                  <c:v>388.33</c:v>
                </c:pt>
                <c:pt idx="44">
                  <c:v>388.11</c:v>
                </c:pt>
                <c:pt idx="45">
                  <c:v>388.02</c:v>
                </c:pt>
                <c:pt idx="46">
                  <c:v>388.22</c:v>
                </c:pt>
                <c:pt idx="47">
                  <c:v>388.19</c:v>
                </c:pt>
                <c:pt idx="48">
                  <c:v>388.09</c:v>
                </c:pt>
                <c:pt idx="49">
                  <c:v>387.98</c:v>
                </c:pt>
                <c:pt idx="50">
                  <c:v>388.07</c:v>
                </c:pt>
                <c:pt idx="51">
                  <c:v>388</c:v>
                </c:pt>
                <c:pt idx="52">
                  <c:v>388.18</c:v>
                </c:pt>
                <c:pt idx="53">
                  <c:v>388.02</c:v>
                </c:pt>
                <c:pt idx="54">
                  <c:v>387.9</c:v>
                </c:pt>
                <c:pt idx="55">
                  <c:v>387.96</c:v>
                </c:pt>
                <c:pt idx="56">
                  <c:v>387.9</c:v>
                </c:pt>
                <c:pt idx="57">
                  <c:v>387.99</c:v>
                </c:pt>
                <c:pt idx="58">
                  <c:v>388.09</c:v>
                </c:pt>
                <c:pt idx="59">
                  <c:v>387.98</c:v>
                </c:pt>
              </c:numCache>
            </c:numRef>
          </c:val>
          <c:smooth val="0"/>
          <c:extLst>
            <c:ext xmlns:c16="http://schemas.microsoft.com/office/drawing/2014/chart" uri="{C3380CC4-5D6E-409C-BE32-E72D297353CC}">
              <c16:uniqueId val="{00000005-1D5C-4678-9FC3-35D4E1920DB5}"/>
            </c:ext>
          </c:extLst>
        </c:ser>
        <c:ser>
          <c:idx val="6"/>
          <c:order val="6"/>
          <c:tx>
            <c:strRef>
              <c:f>'transfert 385'!$H$1</c:f>
              <c:strCache>
                <c:ptCount val="1"/>
                <c:pt idx="0">
                  <c:v>Connecteur 7</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385'!$H$2:$H$61</c:f>
              <c:numCache>
                <c:formatCode>General</c:formatCode>
                <c:ptCount val="60"/>
                <c:pt idx="0">
                  <c:v>335.86</c:v>
                </c:pt>
                <c:pt idx="1">
                  <c:v>338.91</c:v>
                </c:pt>
                <c:pt idx="2">
                  <c:v>342.24</c:v>
                </c:pt>
                <c:pt idx="3">
                  <c:v>345.51</c:v>
                </c:pt>
                <c:pt idx="4">
                  <c:v>348.41</c:v>
                </c:pt>
                <c:pt idx="5">
                  <c:v>351.69</c:v>
                </c:pt>
                <c:pt idx="6">
                  <c:v>354.6</c:v>
                </c:pt>
                <c:pt idx="7">
                  <c:v>357.74</c:v>
                </c:pt>
                <c:pt idx="8">
                  <c:v>360.51</c:v>
                </c:pt>
                <c:pt idx="9">
                  <c:v>363.03</c:v>
                </c:pt>
                <c:pt idx="10">
                  <c:v>366.81</c:v>
                </c:pt>
                <c:pt idx="11">
                  <c:v>369.54</c:v>
                </c:pt>
                <c:pt idx="12">
                  <c:v>372.41</c:v>
                </c:pt>
                <c:pt idx="13">
                  <c:v>375.04</c:v>
                </c:pt>
                <c:pt idx="14">
                  <c:v>377.32</c:v>
                </c:pt>
                <c:pt idx="15">
                  <c:v>379.26</c:v>
                </c:pt>
                <c:pt idx="16">
                  <c:v>380.63</c:v>
                </c:pt>
                <c:pt idx="17">
                  <c:v>381.54</c:v>
                </c:pt>
                <c:pt idx="18">
                  <c:v>382.57</c:v>
                </c:pt>
                <c:pt idx="19">
                  <c:v>383.24</c:v>
                </c:pt>
                <c:pt idx="20">
                  <c:v>383.47</c:v>
                </c:pt>
                <c:pt idx="21">
                  <c:v>384</c:v>
                </c:pt>
                <c:pt idx="22">
                  <c:v>384.25</c:v>
                </c:pt>
                <c:pt idx="23">
                  <c:v>384.49</c:v>
                </c:pt>
                <c:pt idx="24">
                  <c:v>384.62</c:v>
                </c:pt>
                <c:pt idx="25">
                  <c:v>384.81</c:v>
                </c:pt>
                <c:pt idx="26">
                  <c:v>384.81</c:v>
                </c:pt>
                <c:pt idx="27">
                  <c:v>384.89</c:v>
                </c:pt>
                <c:pt idx="28">
                  <c:v>384.89</c:v>
                </c:pt>
                <c:pt idx="29">
                  <c:v>385.01</c:v>
                </c:pt>
                <c:pt idx="30">
                  <c:v>385.06</c:v>
                </c:pt>
                <c:pt idx="31">
                  <c:v>385.04</c:v>
                </c:pt>
                <c:pt idx="32">
                  <c:v>385.15</c:v>
                </c:pt>
                <c:pt idx="33">
                  <c:v>384.99</c:v>
                </c:pt>
                <c:pt idx="34">
                  <c:v>385.03</c:v>
                </c:pt>
                <c:pt idx="35">
                  <c:v>385.12</c:v>
                </c:pt>
                <c:pt idx="36">
                  <c:v>385.27</c:v>
                </c:pt>
                <c:pt idx="37">
                  <c:v>385.19</c:v>
                </c:pt>
                <c:pt idx="38">
                  <c:v>385.15</c:v>
                </c:pt>
                <c:pt idx="39">
                  <c:v>385.21</c:v>
                </c:pt>
                <c:pt idx="40">
                  <c:v>385.29</c:v>
                </c:pt>
                <c:pt idx="41">
                  <c:v>385.11</c:v>
                </c:pt>
                <c:pt idx="42">
                  <c:v>385.2</c:v>
                </c:pt>
                <c:pt idx="43">
                  <c:v>385.3</c:v>
                </c:pt>
                <c:pt idx="44">
                  <c:v>385.32</c:v>
                </c:pt>
                <c:pt idx="45">
                  <c:v>385.18</c:v>
                </c:pt>
                <c:pt idx="46">
                  <c:v>385.33</c:v>
                </c:pt>
                <c:pt idx="47">
                  <c:v>385.25</c:v>
                </c:pt>
                <c:pt idx="48">
                  <c:v>385.25</c:v>
                </c:pt>
                <c:pt idx="49">
                  <c:v>385.33</c:v>
                </c:pt>
                <c:pt idx="50">
                  <c:v>385.34</c:v>
                </c:pt>
                <c:pt idx="51">
                  <c:v>385.17</c:v>
                </c:pt>
                <c:pt idx="52">
                  <c:v>385.4</c:v>
                </c:pt>
                <c:pt idx="53">
                  <c:v>385.3</c:v>
                </c:pt>
                <c:pt idx="54">
                  <c:v>385.19</c:v>
                </c:pt>
                <c:pt idx="55">
                  <c:v>385.21</c:v>
                </c:pt>
                <c:pt idx="56">
                  <c:v>385.24</c:v>
                </c:pt>
                <c:pt idx="57">
                  <c:v>385.33</c:v>
                </c:pt>
                <c:pt idx="58">
                  <c:v>385.29</c:v>
                </c:pt>
                <c:pt idx="59">
                  <c:v>385.34</c:v>
                </c:pt>
              </c:numCache>
            </c:numRef>
          </c:val>
          <c:smooth val="0"/>
          <c:extLst>
            <c:ext xmlns:c16="http://schemas.microsoft.com/office/drawing/2014/chart" uri="{C3380CC4-5D6E-409C-BE32-E72D297353CC}">
              <c16:uniqueId val="{00000006-1D5C-4678-9FC3-35D4E1920DB5}"/>
            </c:ext>
          </c:extLst>
        </c:ser>
        <c:ser>
          <c:idx val="7"/>
          <c:order val="7"/>
          <c:tx>
            <c:strRef>
              <c:f>'transfert 385'!$I$1</c:f>
              <c:strCache>
                <c:ptCount val="1"/>
                <c:pt idx="0">
                  <c:v>Connecteur 8</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385'!$I$2:$I$61</c:f>
              <c:numCache>
                <c:formatCode>General</c:formatCode>
                <c:ptCount val="60"/>
                <c:pt idx="0">
                  <c:v>347.94</c:v>
                </c:pt>
                <c:pt idx="1">
                  <c:v>350.98</c:v>
                </c:pt>
                <c:pt idx="2">
                  <c:v>354.22</c:v>
                </c:pt>
                <c:pt idx="3">
                  <c:v>357.16</c:v>
                </c:pt>
                <c:pt idx="4">
                  <c:v>360.14</c:v>
                </c:pt>
                <c:pt idx="5">
                  <c:v>363.13</c:v>
                </c:pt>
                <c:pt idx="6">
                  <c:v>366.06</c:v>
                </c:pt>
                <c:pt idx="7">
                  <c:v>369.13</c:v>
                </c:pt>
                <c:pt idx="8">
                  <c:v>371.95</c:v>
                </c:pt>
                <c:pt idx="9">
                  <c:v>374.93</c:v>
                </c:pt>
                <c:pt idx="10">
                  <c:v>377.71</c:v>
                </c:pt>
                <c:pt idx="11">
                  <c:v>380.7</c:v>
                </c:pt>
                <c:pt idx="12">
                  <c:v>383.68</c:v>
                </c:pt>
                <c:pt idx="13">
                  <c:v>386.34</c:v>
                </c:pt>
                <c:pt idx="14">
                  <c:v>387.38</c:v>
                </c:pt>
                <c:pt idx="15">
                  <c:v>388.14</c:v>
                </c:pt>
                <c:pt idx="16">
                  <c:v>388.36</c:v>
                </c:pt>
                <c:pt idx="17">
                  <c:v>388.29</c:v>
                </c:pt>
                <c:pt idx="18">
                  <c:v>388.53</c:v>
                </c:pt>
                <c:pt idx="19">
                  <c:v>388.31</c:v>
                </c:pt>
                <c:pt idx="20">
                  <c:v>387.96</c:v>
                </c:pt>
                <c:pt idx="21">
                  <c:v>387.97</c:v>
                </c:pt>
                <c:pt idx="22">
                  <c:v>387.65</c:v>
                </c:pt>
                <c:pt idx="23">
                  <c:v>387.55</c:v>
                </c:pt>
                <c:pt idx="24">
                  <c:v>387.34</c:v>
                </c:pt>
                <c:pt idx="25">
                  <c:v>387.32</c:v>
                </c:pt>
                <c:pt idx="26">
                  <c:v>387.21</c:v>
                </c:pt>
                <c:pt idx="27">
                  <c:v>386.94</c:v>
                </c:pt>
                <c:pt idx="28">
                  <c:v>386.95</c:v>
                </c:pt>
                <c:pt idx="29">
                  <c:v>386.93</c:v>
                </c:pt>
                <c:pt idx="30">
                  <c:v>387.03</c:v>
                </c:pt>
                <c:pt idx="31">
                  <c:v>386.93</c:v>
                </c:pt>
                <c:pt idx="32">
                  <c:v>386.8</c:v>
                </c:pt>
                <c:pt idx="33">
                  <c:v>386.8</c:v>
                </c:pt>
                <c:pt idx="34">
                  <c:v>386.9</c:v>
                </c:pt>
                <c:pt idx="35">
                  <c:v>386.74</c:v>
                </c:pt>
                <c:pt idx="36">
                  <c:v>387.1</c:v>
                </c:pt>
                <c:pt idx="37">
                  <c:v>386.81</c:v>
                </c:pt>
                <c:pt idx="38">
                  <c:v>386.86</c:v>
                </c:pt>
                <c:pt idx="39">
                  <c:v>386.9</c:v>
                </c:pt>
                <c:pt idx="40">
                  <c:v>386.76</c:v>
                </c:pt>
                <c:pt idx="41">
                  <c:v>386.58</c:v>
                </c:pt>
                <c:pt idx="42">
                  <c:v>386.76</c:v>
                </c:pt>
                <c:pt idx="43">
                  <c:v>386.91</c:v>
                </c:pt>
                <c:pt idx="44">
                  <c:v>386.74</c:v>
                </c:pt>
                <c:pt idx="45">
                  <c:v>386.71</c:v>
                </c:pt>
                <c:pt idx="46">
                  <c:v>386.88</c:v>
                </c:pt>
                <c:pt idx="47">
                  <c:v>386.9</c:v>
                </c:pt>
                <c:pt idx="48">
                  <c:v>386.62</c:v>
                </c:pt>
                <c:pt idx="49">
                  <c:v>386.61</c:v>
                </c:pt>
                <c:pt idx="50">
                  <c:v>386.69</c:v>
                </c:pt>
                <c:pt idx="51">
                  <c:v>386.65</c:v>
                </c:pt>
                <c:pt idx="52">
                  <c:v>386.77</c:v>
                </c:pt>
                <c:pt idx="53">
                  <c:v>386.67</c:v>
                </c:pt>
                <c:pt idx="54">
                  <c:v>386.51</c:v>
                </c:pt>
                <c:pt idx="55">
                  <c:v>386.56</c:v>
                </c:pt>
                <c:pt idx="56">
                  <c:v>386.66</c:v>
                </c:pt>
                <c:pt idx="57">
                  <c:v>386.7</c:v>
                </c:pt>
                <c:pt idx="58">
                  <c:v>386.71</c:v>
                </c:pt>
                <c:pt idx="59">
                  <c:v>386.62</c:v>
                </c:pt>
              </c:numCache>
            </c:numRef>
          </c:val>
          <c:smooth val="0"/>
          <c:extLst>
            <c:ext xmlns:c16="http://schemas.microsoft.com/office/drawing/2014/chart" uri="{C3380CC4-5D6E-409C-BE32-E72D297353CC}">
              <c16:uniqueId val="{00000007-1D5C-4678-9FC3-35D4E1920DB5}"/>
            </c:ext>
          </c:extLst>
        </c:ser>
        <c:ser>
          <c:idx val="8"/>
          <c:order val="8"/>
          <c:tx>
            <c:strRef>
              <c:f>'transfert 385'!$J$1</c:f>
              <c:strCache>
                <c:ptCount val="1"/>
                <c:pt idx="0">
                  <c:v>Connecteur 9</c:v>
                </c:pt>
              </c:strCache>
            </c:strRef>
          </c:tx>
          <c:marker>
            <c:symbol val="none"/>
          </c:marker>
          <c:cat>
            <c:strRef>
              <c:f>'transfert 385'!$A$2:$A$61</c:f>
              <c:strCache>
                <c:ptCount val="60"/>
                <c:pt idx="0">
                  <c:v>13/02/2024  05:25</c:v>
                </c:pt>
                <c:pt idx="1">
                  <c:v>13/02/2024  05:26</c:v>
                </c:pt>
                <c:pt idx="2">
                  <c:v>13/02/2024  05:27</c:v>
                </c:pt>
                <c:pt idx="3">
                  <c:v>13/02/2024  05:28</c:v>
                </c:pt>
                <c:pt idx="4">
                  <c:v>13/02/2024  05:29</c:v>
                </c:pt>
                <c:pt idx="5">
                  <c:v>13/02/2024  05:30</c:v>
                </c:pt>
                <c:pt idx="6">
                  <c:v>13/02/2024  05:31</c:v>
                </c:pt>
                <c:pt idx="7">
                  <c:v>13/02/2024  05:32</c:v>
                </c:pt>
                <c:pt idx="8">
                  <c:v>13/02/2024  05:33</c:v>
                </c:pt>
                <c:pt idx="9">
                  <c:v>13/02/2024  05:34</c:v>
                </c:pt>
                <c:pt idx="10">
                  <c:v>13/02/2024  05:35</c:v>
                </c:pt>
                <c:pt idx="11">
                  <c:v>13/02/2024  05:36</c:v>
                </c:pt>
                <c:pt idx="12">
                  <c:v>13/02/2024  05:37</c:v>
                </c:pt>
                <c:pt idx="13">
                  <c:v>13/02/2024  05:38</c:v>
                </c:pt>
                <c:pt idx="14">
                  <c:v>13/02/2024  05:39</c:v>
                </c:pt>
                <c:pt idx="15">
                  <c:v>13/02/2024  05:40</c:v>
                </c:pt>
                <c:pt idx="16">
                  <c:v>13/02/2024  05:41</c:v>
                </c:pt>
                <c:pt idx="17">
                  <c:v>13/02/2024  05:42</c:v>
                </c:pt>
                <c:pt idx="18">
                  <c:v>13/02/2024  05:43</c:v>
                </c:pt>
                <c:pt idx="19">
                  <c:v>13/02/2024  05:44</c:v>
                </c:pt>
                <c:pt idx="20">
                  <c:v>13/02/2024  05:45</c:v>
                </c:pt>
                <c:pt idx="21">
                  <c:v>13/02/2024  05:46</c:v>
                </c:pt>
                <c:pt idx="22">
                  <c:v>13/02/2024  05:47</c:v>
                </c:pt>
                <c:pt idx="23">
                  <c:v>13/02/2024  05:48</c:v>
                </c:pt>
                <c:pt idx="24">
                  <c:v>13/02/2024  05:49</c:v>
                </c:pt>
                <c:pt idx="25">
                  <c:v>13/02/2024  05:50</c:v>
                </c:pt>
                <c:pt idx="26">
                  <c:v>13/02/2024  05:51</c:v>
                </c:pt>
                <c:pt idx="27">
                  <c:v>13/02/2024  05:52</c:v>
                </c:pt>
                <c:pt idx="28">
                  <c:v>13/02/2024  05:53</c:v>
                </c:pt>
                <c:pt idx="29">
                  <c:v>13/02/2024  05:54</c:v>
                </c:pt>
                <c:pt idx="30">
                  <c:v>13/02/2024  05:55</c:v>
                </c:pt>
                <c:pt idx="31">
                  <c:v>13/02/2024  05:56</c:v>
                </c:pt>
                <c:pt idx="32">
                  <c:v>13/02/2024  05:57</c:v>
                </c:pt>
                <c:pt idx="33">
                  <c:v>13/02/2024  05:58</c:v>
                </c:pt>
                <c:pt idx="34">
                  <c:v>13/02/2024  05:59</c:v>
                </c:pt>
                <c:pt idx="35">
                  <c:v>13/02/2024  06:00</c:v>
                </c:pt>
                <c:pt idx="36">
                  <c:v>13/02/2024  06:01</c:v>
                </c:pt>
                <c:pt idx="37">
                  <c:v>13/02/2024  06:02</c:v>
                </c:pt>
                <c:pt idx="38">
                  <c:v>13/02/2024  06:03</c:v>
                </c:pt>
                <c:pt idx="39">
                  <c:v>13/02/2024  06:04</c:v>
                </c:pt>
                <c:pt idx="40">
                  <c:v>13/02/2024  06:05</c:v>
                </c:pt>
                <c:pt idx="41">
                  <c:v>13/02/2024  06:06</c:v>
                </c:pt>
                <c:pt idx="42">
                  <c:v>13/02/2024  06:07</c:v>
                </c:pt>
                <c:pt idx="43">
                  <c:v>13/02/2024  06:08</c:v>
                </c:pt>
                <c:pt idx="44">
                  <c:v>13/02/2024  06:09</c:v>
                </c:pt>
                <c:pt idx="45">
                  <c:v>13/02/2024  06:10</c:v>
                </c:pt>
                <c:pt idx="46">
                  <c:v>13/02/2024  06:11</c:v>
                </c:pt>
                <c:pt idx="47">
                  <c:v>13/02/2024  06:12</c:v>
                </c:pt>
                <c:pt idx="48">
                  <c:v>13/02/2024  06:13</c:v>
                </c:pt>
                <c:pt idx="49">
                  <c:v>13/02/2024  06:14</c:v>
                </c:pt>
                <c:pt idx="50">
                  <c:v>13/02/2024  06:15</c:v>
                </c:pt>
                <c:pt idx="51">
                  <c:v>13/02/2024  06:16</c:v>
                </c:pt>
                <c:pt idx="52">
                  <c:v>13/02/2024  06:17</c:v>
                </c:pt>
                <c:pt idx="53">
                  <c:v>13/02/2024  06:18</c:v>
                </c:pt>
                <c:pt idx="54">
                  <c:v>13/02/2024  06:19</c:v>
                </c:pt>
                <c:pt idx="55">
                  <c:v>13/02/2024  06:20</c:v>
                </c:pt>
                <c:pt idx="56">
                  <c:v>13/02/2024  06:21</c:v>
                </c:pt>
                <c:pt idx="57">
                  <c:v>13/02/2024  06:22</c:v>
                </c:pt>
                <c:pt idx="58">
                  <c:v>13/02/2024  06:23</c:v>
                </c:pt>
                <c:pt idx="59">
                  <c:v>13/02/2024  06:24</c:v>
                </c:pt>
              </c:strCache>
            </c:strRef>
          </c:cat>
          <c:val>
            <c:numRef>
              <c:f>'transfert 385'!$J$2:$J$61</c:f>
              <c:numCache>
                <c:formatCode>General</c:formatCode>
                <c:ptCount val="60"/>
                <c:pt idx="0">
                  <c:v>343.69</c:v>
                </c:pt>
                <c:pt idx="1">
                  <c:v>346.84</c:v>
                </c:pt>
                <c:pt idx="2">
                  <c:v>350.12</c:v>
                </c:pt>
                <c:pt idx="3">
                  <c:v>353.08</c:v>
                </c:pt>
                <c:pt idx="4">
                  <c:v>356.21</c:v>
                </c:pt>
                <c:pt idx="5">
                  <c:v>359.07</c:v>
                </c:pt>
                <c:pt idx="6">
                  <c:v>362.08</c:v>
                </c:pt>
                <c:pt idx="7">
                  <c:v>364.99</c:v>
                </c:pt>
                <c:pt idx="8">
                  <c:v>367.99</c:v>
                </c:pt>
                <c:pt idx="9">
                  <c:v>370.97</c:v>
                </c:pt>
                <c:pt idx="10">
                  <c:v>373.83</c:v>
                </c:pt>
                <c:pt idx="11">
                  <c:v>376.77</c:v>
                </c:pt>
                <c:pt idx="12">
                  <c:v>379.78</c:v>
                </c:pt>
                <c:pt idx="13">
                  <c:v>382.42</c:v>
                </c:pt>
                <c:pt idx="14">
                  <c:v>383.99</c:v>
                </c:pt>
                <c:pt idx="15">
                  <c:v>385.01</c:v>
                </c:pt>
                <c:pt idx="16">
                  <c:v>385.7</c:v>
                </c:pt>
                <c:pt idx="17">
                  <c:v>385.85</c:v>
                </c:pt>
                <c:pt idx="18">
                  <c:v>386.26</c:v>
                </c:pt>
                <c:pt idx="19">
                  <c:v>386.36</c:v>
                </c:pt>
                <c:pt idx="20">
                  <c:v>386.34</c:v>
                </c:pt>
                <c:pt idx="21">
                  <c:v>386.48</c:v>
                </c:pt>
                <c:pt idx="22">
                  <c:v>386.47</c:v>
                </c:pt>
                <c:pt idx="23">
                  <c:v>386.41</c:v>
                </c:pt>
                <c:pt idx="24">
                  <c:v>386.33</c:v>
                </c:pt>
                <c:pt idx="25">
                  <c:v>386.43</c:v>
                </c:pt>
                <c:pt idx="26">
                  <c:v>386.34</c:v>
                </c:pt>
                <c:pt idx="27">
                  <c:v>386.33</c:v>
                </c:pt>
                <c:pt idx="28">
                  <c:v>386.27</c:v>
                </c:pt>
                <c:pt idx="29">
                  <c:v>386.21</c:v>
                </c:pt>
                <c:pt idx="30">
                  <c:v>386.33</c:v>
                </c:pt>
                <c:pt idx="31">
                  <c:v>386.26</c:v>
                </c:pt>
                <c:pt idx="32">
                  <c:v>386.26</c:v>
                </c:pt>
                <c:pt idx="33">
                  <c:v>386.24</c:v>
                </c:pt>
                <c:pt idx="34">
                  <c:v>386.31</c:v>
                </c:pt>
                <c:pt idx="35">
                  <c:v>386.26</c:v>
                </c:pt>
                <c:pt idx="36">
                  <c:v>386.57</c:v>
                </c:pt>
                <c:pt idx="37">
                  <c:v>386.39</c:v>
                </c:pt>
                <c:pt idx="38">
                  <c:v>386.36</c:v>
                </c:pt>
                <c:pt idx="39">
                  <c:v>386.43</c:v>
                </c:pt>
                <c:pt idx="40">
                  <c:v>386.35</c:v>
                </c:pt>
                <c:pt idx="41">
                  <c:v>386.17</c:v>
                </c:pt>
                <c:pt idx="42">
                  <c:v>386.28</c:v>
                </c:pt>
                <c:pt idx="43">
                  <c:v>386.46</c:v>
                </c:pt>
                <c:pt idx="44">
                  <c:v>386.32</c:v>
                </c:pt>
                <c:pt idx="45">
                  <c:v>386.3</c:v>
                </c:pt>
                <c:pt idx="46">
                  <c:v>386.46</c:v>
                </c:pt>
                <c:pt idx="47">
                  <c:v>386.45</c:v>
                </c:pt>
                <c:pt idx="48">
                  <c:v>386.28</c:v>
                </c:pt>
                <c:pt idx="49">
                  <c:v>386.29</c:v>
                </c:pt>
                <c:pt idx="50">
                  <c:v>386.35</c:v>
                </c:pt>
                <c:pt idx="51">
                  <c:v>386.21</c:v>
                </c:pt>
                <c:pt idx="52">
                  <c:v>386.41</c:v>
                </c:pt>
                <c:pt idx="53">
                  <c:v>386.28</c:v>
                </c:pt>
                <c:pt idx="54">
                  <c:v>386.2</c:v>
                </c:pt>
                <c:pt idx="55">
                  <c:v>386.21</c:v>
                </c:pt>
                <c:pt idx="56">
                  <c:v>386.26</c:v>
                </c:pt>
                <c:pt idx="57">
                  <c:v>386.32</c:v>
                </c:pt>
                <c:pt idx="58">
                  <c:v>386.33</c:v>
                </c:pt>
                <c:pt idx="59">
                  <c:v>386.31</c:v>
                </c:pt>
              </c:numCache>
            </c:numRef>
          </c:val>
          <c:smooth val="0"/>
          <c:extLst>
            <c:ext xmlns:c16="http://schemas.microsoft.com/office/drawing/2014/chart" uri="{C3380CC4-5D6E-409C-BE32-E72D297353CC}">
              <c16:uniqueId val="{00000008-1D5C-4678-9FC3-35D4E1920DB5}"/>
            </c:ext>
          </c:extLst>
        </c:ser>
        <c:dLbls>
          <c:showLegendKey val="0"/>
          <c:showVal val="0"/>
          <c:showCatName val="0"/>
          <c:showSerName val="0"/>
          <c:showPercent val="0"/>
          <c:showBubbleSize val="0"/>
        </c:dLbls>
        <c:smooth val="0"/>
        <c:axId val="329597184"/>
        <c:axId val="329597576"/>
        <c:extLst/>
      </c:lineChart>
      <c:catAx>
        <c:axId val="329597184"/>
        <c:scaling>
          <c:orientation val="minMax"/>
        </c:scaling>
        <c:delete val="0"/>
        <c:axPos val="b"/>
        <c:numFmt formatCode="General" sourceLinked="1"/>
        <c:majorTickMark val="out"/>
        <c:minorTickMark val="none"/>
        <c:tickLblPos val="nextTo"/>
        <c:crossAx val="329597576"/>
        <c:crosses val="autoZero"/>
        <c:auto val="0"/>
        <c:lblAlgn val="ctr"/>
        <c:lblOffset val="100"/>
        <c:tickMarkSkip val="2"/>
        <c:noMultiLvlLbl val="0"/>
      </c:catAx>
      <c:valAx>
        <c:axId val="329597576"/>
        <c:scaling>
          <c:orientation val="minMax"/>
          <c:max val="390"/>
          <c:min val="335"/>
        </c:scaling>
        <c:delete val="0"/>
        <c:axPos val="l"/>
        <c:majorGridlines/>
        <c:numFmt formatCode="General" sourceLinked="1"/>
        <c:majorTickMark val="out"/>
        <c:minorTickMark val="none"/>
        <c:tickLblPos val="nextTo"/>
        <c:crossAx val="329597184"/>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'transfert 535'!$B$1</c:f>
              <c:strCache>
                <c:ptCount val="1"/>
                <c:pt idx="0">
                  <c:v>Connecteur 1</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535'!$B$2:$B$46</c:f>
              <c:numCache>
                <c:formatCode>General</c:formatCode>
                <c:ptCount val="45"/>
                <c:pt idx="0">
                  <c:v>492.76</c:v>
                </c:pt>
                <c:pt idx="1">
                  <c:v>495.21</c:v>
                </c:pt>
                <c:pt idx="2">
                  <c:v>497.7</c:v>
                </c:pt>
                <c:pt idx="3">
                  <c:v>499.98</c:v>
                </c:pt>
                <c:pt idx="4">
                  <c:v>502.39</c:v>
                </c:pt>
                <c:pt idx="5">
                  <c:v>504.72</c:v>
                </c:pt>
                <c:pt idx="6">
                  <c:v>506.99</c:v>
                </c:pt>
                <c:pt idx="7">
                  <c:v>509.34</c:v>
                </c:pt>
                <c:pt idx="8">
                  <c:v>511.66</c:v>
                </c:pt>
                <c:pt idx="9">
                  <c:v>513.89</c:v>
                </c:pt>
                <c:pt idx="10">
                  <c:v>516.13</c:v>
                </c:pt>
                <c:pt idx="11">
                  <c:v>518.30999999999995</c:v>
                </c:pt>
                <c:pt idx="12">
                  <c:v>520.54</c:v>
                </c:pt>
                <c:pt idx="13">
                  <c:v>522.84</c:v>
                </c:pt>
                <c:pt idx="14">
                  <c:v>524.95000000000005</c:v>
                </c:pt>
                <c:pt idx="15">
                  <c:v>527.17999999999995</c:v>
                </c:pt>
                <c:pt idx="16">
                  <c:v>529.38</c:v>
                </c:pt>
                <c:pt idx="17">
                  <c:v>531.36</c:v>
                </c:pt>
                <c:pt idx="18">
                  <c:v>532.80999999999995</c:v>
                </c:pt>
                <c:pt idx="19">
                  <c:v>534.07000000000005</c:v>
                </c:pt>
                <c:pt idx="20">
                  <c:v>535.15</c:v>
                </c:pt>
                <c:pt idx="21">
                  <c:v>535.82000000000005</c:v>
                </c:pt>
                <c:pt idx="22">
                  <c:v>536.41</c:v>
                </c:pt>
                <c:pt idx="23">
                  <c:v>536.73</c:v>
                </c:pt>
                <c:pt idx="24">
                  <c:v>536.96</c:v>
                </c:pt>
                <c:pt idx="25">
                  <c:v>537.11</c:v>
                </c:pt>
                <c:pt idx="26">
                  <c:v>537.22</c:v>
                </c:pt>
                <c:pt idx="27">
                  <c:v>537.25</c:v>
                </c:pt>
                <c:pt idx="28">
                  <c:v>537.21</c:v>
                </c:pt>
                <c:pt idx="29">
                  <c:v>537.25</c:v>
                </c:pt>
                <c:pt idx="30">
                  <c:v>537.26</c:v>
                </c:pt>
                <c:pt idx="31">
                  <c:v>537.23</c:v>
                </c:pt>
                <c:pt idx="32">
                  <c:v>537.36</c:v>
                </c:pt>
                <c:pt idx="33">
                  <c:v>537.35</c:v>
                </c:pt>
                <c:pt idx="34">
                  <c:v>537.24</c:v>
                </c:pt>
                <c:pt idx="35">
                  <c:v>537.39</c:v>
                </c:pt>
                <c:pt idx="36">
                  <c:v>537.29</c:v>
                </c:pt>
                <c:pt idx="37">
                  <c:v>537.32000000000005</c:v>
                </c:pt>
                <c:pt idx="38">
                  <c:v>537.29999999999995</c:v>
                </c:pt>
                <c:pt idx="39">
                  <c:v>537.41999999999996</c:v>
                </c:pt>
                <c:pt idx="40">
                  <c:v>537.4</c:v>
                </c:pt>
                <c:pt idx="41">
                  <c:v>537.44000000000005</c:v>
                </c:pt>
                <c:pt idx="42">
                  <c:v>537.48</c:v>
                </c:pt>
                <c:pt idx="43">
                  <c:v>537.42999999999995</c:v>
                </c:pt>
                <c:pt idx="44">
                  <c:v>537.33000000000004</c:v>
                </c:pt>
              </c:numCache>
            </c:numRef>
          </c:val>
          <c:smooth val="0"/>
          <c:extLst xmlns:c15="http://schemas.microsoft.com/office/drawing/2012/chart">
            <c:ext xmlns:c16="http://schemas.microsoft.com/office/drawing/2014/chart" uri="{C3380CC4-5D6E-409C-BE32-E72D297353CC}">
              <c16:uniqueId val="{00000000-624A-43B9-8957-D4C03AD56C6F}"/>
            </c:ext>
          </c:extLst>
        </c:ser>
        <c:ser>
          <c:idx val="1"/>
          <c:order val="1"/>
          <c:tx>
            <c:strRef>
              <c:f>'transfert 535'!$C$1</c:f>
              <c:strCache>
                <c:ptCount val="1"/>
                <c:pt idx="0">
                  <c:v>Connecteur 2</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535'!$C$2:$C$46</c:f>
              <c:numCache>
                <c:formatCode>General</c:formatCode>
                <c:ptCount val="45"/>
                <c:pt idx="0">
                  <c:v>491.31</c:v>
                </c:pt>
                <c:pt idx="1">
                  <c:v>493.72</c:v>
                </c:pt>
                <c:pt idx="2">
                  <c:v>496.12</c:v>
                </c:pt>
                <c:pt idx="3">
                  <c:v>498.48</c:v>
                </c:pt>
                <c:pt idx="4">
                  <c:v>500.96</c:v>
                </c:pt>
                <c:pt idx="5">
                  <c:v>503.26</c:v>
                </c:pt>
                <c:pt idx="6">
                  <c:v>505.48</c:v>
                </c:pt>
                <c:pt idx="7">
                  <c:v>507.98</c:v>
                </c:pt>
                <c:pt idx="8">
                  <c:v>510.15</c:v>
                </c:pt>
                <c:pt idx="9">
                  <c:v>512.41</c:v>
                </c:pt>
                <c:pt idx="10">
                  <c:v>514.71</c:v>
                </c:pt>
                <c:pt idx="11">
                  <c:v>516.96</c:v>
                </c:pt>
                <c:pt idx="12">
                  <c:v>519.15</c:v>
                </c:pt>
                <c:pt idx="13">
                  <c:v>521.48</c:v>
                </c:pt>
                <c:pt idx="14">
                  <c:v>523.72</c:v>
                </c:pt>
                <c:pt idx="15">
                  <c:v>525.74</c:v>
                </c:pt>
                <c:pt idx="16">
                  <c:v>527.87</c:v>
                </c:pt>
                <c:pt idx="17">
                  <c:v>530.21</c:v>
                </c:pt>
                <c:pt idx="18">
                  <c:v>531.63</c:v>
                </c:pt>
                <c:pt idx="19">
                  <c:v>532.97</c:v>
                </c:pt>
                <c:pt idx="20">
                  <c:v>534.1</c:v>
                </c:pt>
                <c:pt idx="21">
                  <c:v>535</c:v>
                </c:pt>
                <c:pt idx="22">
                  <c:v>535.66</c:v>
                </c:pt>
                <c:pt idx="23">
                  <c:v>536.07000000000005</c:v>
                </c:pt>
                <c:pt idx="24">
                  <c:v>536.41</c:v>
                </c:pt>
                <c:pt idx="25">
                  <c:v>536.66999999999996</c:v>
                </c:pt>
                <c:pt idx="26">
                  <c:v>536.86</c:v>
                </c:pt>
                <c:pt idx="27">
                  <c:v>536.89</c:v>
                </c:pt>
                <c:pt idx="28">
                  <c:v>536.9</c:v>
                </c:pt>
                <c:pt idx="29">
                  <c:v>536.97</c:v>
                </c:pt>
                <c:pt idx="30">
                  <c:v>537.17999999999995</c:v>
                </c:pt>
                <c:pt idx="31">
                  <c:v>537.16999999999996</c:v>
                </c:pt>
                <c:pt idx="32">
                  <c:v>537.19000000000005</c:v>
                </c:pt>
                <c:pt idx="33">
                  <c:v>537.14</c:v>
                </c:pt>
                <c:pt idx="34">
                  <c:v>537.27</c:v>
                </c:pt>
                <c:pt idx="35">
                  <c:v>537.17999999999995</c:v>
                </c:pt>
                <c:pt idx="36">
                  <c:v>537.19000000000005</c:v>
                </c:pt>
                <c:pt idx="37">
                  <c:v>537.26</c:v>
                </c:pt>
                <c:pt idx="38">
                  <c:v>537.22</c:v>
                </c:pt>
                <c:pt idx="39">
                  <c:v>537.32000000000005</c:v>
                </c:pt>
                <c:pt idx="40">
                  <c:v>537.26</c:v>
                </c:pt>
                <c:pt idx="41">
                  <c:v>537.29</c:v>
                </c:pt>
                <c:pt idx="42">
                  <c:v>537.30999999999995</c:v>
                </c:pt>
                <c:pt idx="43">
                  <c:v>537.32000000000005</c:v>
                </c:pt>
                <c:pt idx="44">
                  <c:v>537.27</c:v>
                </c:pt>
              </c:numCache>
            </c:numRef>
          </c:val>
          <c:smooth val="0"/>
          <c:extLst>
            <c:ext xmlns:c16="http://schemas.microsoft.com/office/drawing/2014/chart" uri="{C3380CC4-5D6E-409C-BE32-E72D297353CC}">
              <c16:uniqueId val="{00000001-624A-43B9-8957-D4C03AD56C6F}"/>
            </c:ext>
          </c:extLst>
        </c:ser>
        <c:ser>
          <c:idx val="2"/>
          <c:order val="2"/>
          <c:tx>
            <c:strRef>
              <c:f>'transfert 535'!$D$1</c:f>
              <c:strCache>
                <c:ptCount val="1"/>
                <c:pt idx="0">
                  <c:v>Connecteur 3</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535'!$D$2:$D$46</c:f>
              <c:numCache>
                <c:formatCode>General</c:formatCode>
                <c:ptCount val="45"/>
                <c:pt idx="0">
                  <c:v>490.8</c:v>
                </c:pt>
                <c:pt idx="1">
                  <c:v>493.16</c:v>
                </c:pt>
                <c:pt idx="2">
                  <c:v>495.56</c:v>
                </c:pt>
                <c:pt idx="3">
                  <c:v>497.95</c:v>
                </c:pt>
                <c:pt idx="4">
                  <c:v>500.28</c:v>
                </c:pt>
                <c:pt idx="5">
                  <c:v>502.63</c:v>
                </c:pt>
                <c:pt idx="6">
                  <c:v>504.93</c:v>
                </c:pt>
                <c:pt idx="7">
                  <c:v>507.28</c:v>
                </c:pt>
                <c:pt idx="8">
                  <c:v>509.56</c:v>
                </c:pt>
                <c:pt idx="9">
                  <c:v>511.9</c:v>
                </c:pt>
                <c:pt idx="10">
                  <c:v>514.07000000000005</c:v>
                </c:pt>
                <c:pt idx="11">
                  <c:v>516.41999999999996</c:v>
                </c:pt>
                <c:pt idx="12">
                  <c:v>518.58000000000004</c:v>
                </c:pt>
                <c:pt idx="13">
                  <c:v>520.83000000000004</c:v>
                </c:pt>
                <c:pt idx="14">
                  <c:v>523.04999999999995</c:v>
                </c:pt>
                <c:pt idx="15">
                  <c:v>525.25</c:v>
                </c:pt>
                <c:pt idx="16">
                  <c:v>527.42999999999995</c:v>
                </c:pt>
                <c:pt idx="17">
                  <c:v>529.52</c:v>
                </c:pt>
                <c:pt idx="18">
                  <c:v>531.11</c:v>
                </c:pt>
                <c:pt idx="19">
                  <c:v>532.4</c:v>
                </c:pt>
                <c:pt idx="20">
                  <c:v>533.63</c:v>
                </c:pt>
                <c:pt idx="21">
                  <c:v>534.5</c:v>
                </c:pt>
                <c:pt idx="22">
                  <c:v>535.16999999999996</c:v>
                </c:pt>
                <c:pt idx="23">
                  <c:v>535.65</c:v>
                </c:pt>
                <c:pt idx="24">
                  <c:v>535.99</c:v>
                </c:pt>
                <c:pt idx="25">
                  <c:v>536.21</c:v>
                </c:pt>
                <c:pt idx="26">
                  <c:v>536.44000000000005</c:v>
                </c:pt>
                <c:pt idx="27">
                  <c:v>536.49</c:v>
                </c:pt>
                <c:pt idx="28">
                  <c:v>536.55999999999995</c:v>
                </c:pt>
                <c:pt idx="29">
                  <c:v>536.6</c:v>
                </c:pt>
                <c:pt idx="30">
                  <c:v>536.64</c:v>
                </c:pt>
                <c:pt idx="31">
                  <c:v>536.66</c:v>
                </c:pt>
                <c:pt idx="32">
                  <c:v>536.78</c:v>
                </c:pt>
                <c:pt idx="33">
                  <c:v>536.77</c:v>
                </c:pt>
                <c:pt idx="34">
                  <c:v>536.74</c:v>
                </c:pt>
                <c:pt idx="35">
                  <c:v>536.85</c:v>
                </c:pt>
                <c:pt idx="36">
                  <c:v>536.82000000000005</c:v>
                </c:pt>
                <c:pt idx="37">
                  <c:v>536.85</c:v>
                </c:pt>
                <c:pt idx="38">
                  <c:v>536.84</c:v>
                </c:pt>
                <c:pt idx="39">
                  <c:v>536.91999999999996</c:v>
                </c:pt>
                <c:pt idx="40">
                  <c:v>536.91999999999996</c:v>
                </c:pt>
                <c:pt idx="41">
                  <c:v>536.95000000000005</c:v>
                </c:pt>
                <c:pt idx="42">
                  <c:v>536.98</c:v>
                </c:pt>
                <c:pt idx="43">
                  <c:v>536.96</c:v>
                </c:pt>
                <c:pt idx="44">
                  <c:v>536.87</c:v>
                </c:pt>
              </c:numCache>
            </c:numRef>
          </c:val>
          <c:smooth val="0"/>
          <c:extLst>
            <c:ext xmlns:c16="http://schemas.microsoft.com/office/drawing/2014/chart" uri="{C3380CC4-5D6E-409C-BE32-E72D297353CC}">
              <c16:uniqueId val="{00000002-624A-43B9-8957-D4C03AD56C6F}"/>
            </c:ext>
          </c:extLst>
        </c:ser>
        <c:ser>
          <c:idx val="3"/>
          <c:order val="3"/>
          <c:tx>
            <c:strRef>
              <c:f>'transfert 535'!$E$1</c:f>
              <c:strCache>
                <c:ptCount val="1"/>
                <c:pt idx="0">
                  <c:v>Connecteur 4</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535'!$E$2:$E$46</c:f>
              <c:numCache>
                <c:formatCode>General</c:formatCode>
                <c:ptCount val="45"/>
                <c:pt idx="0">
                  <c:v>493.46</c:v>
                </c:pt>
                <c:pt idx="1">
                  <c:v>495.83</c:v>
                </c:pt>
                <c:pt idx="2">
                  <c:v>498.16</c:v>
                </c:pt>
                <c:pt idx="3">
                  <c:v>500.54</c:v>
                </c:pt>
                <c:pt idx="4">
                  <c:v>502.86</c:v>
                </c:pt>
                <c:pt idx="5">
                  <c:v>505.17</c:v>
                </c:pt>
                <c:pt idx="6">
                  <c:v>507.47</c:v>
                </c:pt>
                <c:pt idx="7">
                  <c:v>509.73</c:v>
                </c:pt>
                <c:pt idx="8">
                  <c:v>512.09</c:v>
                </c:pt>
                <c:pt idx="9">
                  <c:v>514.28</c:v>
                </c:pt>
                <c:pt idx="10">
                  <c:v>516.5</c:v>
                </c:pt>
                <c:pt idx="11">
                  <c:v>518.78</c:v>
                </c:pt>
                <c:pt idx="12">
                  <c:v>520.98</c:v>
                </c:pt>
                <c:pt idx="13">
                  <c:v>523.16999999999996</c:v>
                </c:pt>
                <c:pt idx="14">
                  <c:v>525.36</c:v>
                </c:pt>
                <c:pt idx="15">
                  <c:v>527.6</c:v>
                </c:pt>
                <c:pt idx="16">
                  <c:v>529.62</c:v>
                </c:pt>
                <c:pt idx="17">
                  <c:v>531.70000000000005</c:v>
                </c:pt>
                <c:pt idx="18">
                  <c:v>533.13</c:v>
                </c:pt>
                <c:pt idx="19">
                  <c:v>534.22</c:v>
                </c:pt>
                <c:pt idx="20">
                  <c:v>535.25</c:v>
                </c:pt>
                <c:pt idx="21">
                  <c:v>535.88</c:v>
                </c:pt>
                <c:pt idx="22">
                  <c:v>536.41</c:v>
                </c:pt>
                <c:pt idx="23">
                  <c:v>536.57000000000005</c:v>
                </c:pt>
                <c:pt idx="24">
                  <c:v>536.78</c:v>
                </c:pt>
                <c:pt idx="25">
                  <c:v>536.80999999999995</c:v>
                </c:pt>
                <c:pt idx="26">
                  <c:v>536.96</c:v>
                </c:pt>
                <c:pt idx="27">
                  <c:v>536.87</c:v>
                </c:pt>
                <c:pt idx="28">
                  <c:v>536.87</c:v>
                </c:pt>
                <c:pt idx="29">
                  <c:v>536.77</c:v>
                </c:pt>
                <c:pt idx="30">
                  <c:v>536.79</c:v>
                </c:pt>
                <c:pt idx="31">
                  <c:v>536.78</c:v>
                </c:pt>
                <c:pt idx="32">
                  <c:v>536.88</c:v>
                </c:pt>
                <c:pt idx="33">
                  <c:v>536.87</c:v>
                </c:pt>
                <c:pt idx="34">
                  <c:v>536.74</c:v>
                </c:pt>
                <c:pt idx="35">
                  <c:v>536.91</c:v>
                </c:pt>
                <c:pt idx="36">
                  <c:v>536.78</c:v>
                </c:pt>
                <c:pt idx="37">
                  <c:v>536.80999999999995</c:v>
                </c:pt>
                <c:pt idx="38">
                  <c:v>536.77</c:v>
                </c:pt>
                <c:pt idx="39">
                  <c:v>536.89</c:v>
                </c:pt>
                <c:pt idx="40">
                  <c:v>536.86</c:v>
                </c:pt>
                <c:pt idx="41">
                  <c:v>536.91</c:v>
                </c:pt>
                <c:pt idx="42">
                  <c:v>536.99</c:v>
                </c:pt>
                <c:pt idx="43">
                  <c:v>536.9</c:v>
                </c:pt>
                <c:pt idx="44">
                  <c:v>536.71</c:v>
                </c:pt>
              </c:numCache>
            </c:numRef>
          </c:val>
          <c:smooth val="0"/>
          <c:extLst>
            <c:ext xmlns:c16="http://schemas.microsoft.com/office/drawing/2014/chart" uri="{C3380CC4-5D6E-409C-BE32-E72D297353CC}">
              <c16:uniqueId val="{00000003-624A-43B9-8957-D4C03AD56C6F}"/>
            </c:ext>
          </c:extLst>
        </c:ser>
        <c:ser>
          <c:idx val="4"/>
          <c:order val="4"/>
          <c:tx>
            <c:strRef>
              <c:f>'transfert 535'!$F$1</c:f>
              <c:strCache>
                <c:ptCount val="1"/>
                <c:pt idx="0">
                  <c:v>Connecteur 5</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535'!$F$2:$F$46</c:f>
              <c:numCache>
                <c:formatCode>General</c:formatCode>
                <c:ptCount val="45"/>
                <c:pt idx="0">
                  <c:v>493.45</c:v>
                </c:pt>
                <c:pt idx="1">
                  <c:v>495.73</c:v>
                </c:pt>
                <c:pt idx="2">
                  <c:v>498.03</c:v>
                </c:pt>
                <c:pt idx="3">
                  <c:v>500.45</c:v>
                </c:pt>
                <c:pt idx="4">
                  <c:v>502.7</c:v>
                </c:pt>
                <c:pt idx="5">
                  <c:v>504.95</c:v>
                </c:pt>
                <c:pt idx="6">
                  <c:v>507.23</c:v>
                </c:pt>
                <c:pt idx="7">
                  <c:v>509.45</c:v>
                </c:pt>
                <c:pt idx="8">
                  <c:v>511.94</c:v>
                </c:pt>
                <c:pt idx="9">
                  <c:v>513.95000000000005</c:v>
                </c:pt>
                <c:pt idx="10">
                  <c:v>516.29</c:v>
                </c:pt>
                <c:pt idx="11">
                  <c:v>518.63</c:v>
                </c:pt>
                <c:pt idx="12">
                  <c:v>520.87</c:v>
                </c:pt>
                <c:pt idx="13">
                  <c:v>523</c:v>
                </c:pt>
                <c:pt idx="14">
                  <c:v>525.37</c:v>
                </c:pt>
                <c:pt idx="15">
                  <c:v>527.34</c:v>
                </c:pt>
                <c:pt idx="16">
                  <c:v>529.44000000000005</c:v>
                </c:pt>
                <c:pt idx="17">
                  <c:v>531.52</c:v>
                </c:pt>
                <c:pt idx="18">
                  <c:v>533.02</c:v>
                </c:pt>
                <c:pt idx="19">
                  <c:v>533.82000000000005</c:v>
                </c:pt>
                <c:pt idx="20">
                  <c:v>535.13</c:v>
                </c:pt>
                <c:pt idx="21">
                  <c:v>535.66999999999996</c:v>
                </c:pt>
                <c:pt idx="22">
                  <c:v>536.1</c:v>
                </c:pt>
                <c:pt idx="23">
                  <c:v>536.45000000000005</c:v>
                </c:pt>
                <c:pt idx="24">
                  <c:v>536.34</c:v>
                </c:pt>
                <c:pt idx="25">
                  <c:v>536.55999999999995</c:v>
                </c:pt>
                <c:pt idx="26">
                  <c:v>536.62</c:v>
                </c:pt>
                <c:pt idx="27">
                  <c:v>536.45000000000005</c:v>
                </c:pt>
                <c:pt idx="28">
                  <c:v>536.41</c:v>
                </c:pt>
                <c:pt idx="29">
                  <c:v>536.39</c:v>
                </c:pt>
                <c:pt idx="30">
                  <c:v>536.55999999999995</c:v>
                </c:pt>
                <c:pt idx="31">
                  <c:v>536.57000000000005</c:v>
                </c:pt>
                <c:pt idx="32">
                  <c:v>536.22</c:v>
                </c:pt>
                <c:pt idx="33">
                  <c:v>536.23</c:v>
                </c:pt>
                <c:pt idx="34">
                  <c:v>536.25</c:v>
                </c:pt>
                <c:pt idx="35">
                  <c:v>536.20000000000005</c:v>
                </c:pt>
                <c:pt idx="36">
                  <c:v>536.28</c:v>
                </c:pt>
                <c:pt idx="37">
                  <c:v>536.15</c:v>
                </c:pt>
                <c:pt idx="38">
                  <c:v>536.21</c:v>
                </c:pt>
                <c:pt idx="39">
                  <c:v>536.03</c:v>
                </c:pt>
                <c:pt idx="40">
                  <c:v>536.1</c:v>
                </c:pt>
                <c:pt idx="41">
                  <c:v>536.03</c:v>
                </c:pt>
                <c:pt idx="42">
                  <c:v>536.23</c:v>
                </c:pt>
                <c:pt idx="43">
                  <c:v>536.1</c:v>
                </c:pt>
                <c:pt idx="44">
                  <c:v>535.99</c:v>
                </c:pt>
              </c:numCache>
            </c:numRef>
          </c:val>
          <c:smooth val="0"/>
          <c:extLst>
            <c:ext xmlns:c16="http://schemas.microsoft.com/office/drawing/2014/chart" uri="{C3380CC4-5D6E-409C-BE32-E72D297353CC}">
              <c16:uniqueId val="{00000004-624A-43B9-8957-D4C03AD56C6F}"/>
            </c:ext>
          </c:extLst>
        </c:ser>
        <c:ser>
          <c:idx val="5"/>
          <c:order val="5"/>
          <c:tx>
            <c:strRef>
              <c:f>'transfert 535'!$G$1</c:f>
              <c:strCache>
                <c:ptCount val="1"/>
                <c:pt idx="0">
                  <c:v>Connecteur 6</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535'!$G$2:$G$46</c:f>
              <c:numCache>
                <c:formatCode>General</c:formatCode>
                <c:ptCount val="45"/>
                <c:pt idx="0">
                  <c:v>496.02</c:v>
                </c:pt>
                <c:pt idx="1">
                  <c:v>498.3</c:v>
                </c:pt>
                <c:pt idx="2">
                  <c:v>500.51</c:v>
                </c:pt>
                <c:pt idx="3">
                  <c:v>502.95</c:v>
                </c:pt>
                <c:pt idx="4">
                  <c:v>505.16</c:v>
                </c:pt>
                <c:pt idx="5">
                  <c:v>507.56</c:v>
                </c:pt>
                <c:pt idx="6">
                  <c:v>509.79</c:v>
                </c:pt>
                <c:pt idx="7">
                  <c:v>512.17999999999995</c:v>
                </c:pt>
                <c:pt idx="8">
                  <c:v>514.36</c:v>
                </c:pt>
                <c:pt idx="9">
                  <c:v>516.65</c:v>
                </c:pt>
                <c:pt idx="10">
                  <c:v>518.75</c:v>
                </c:pt>
                <c:pt idx="11">
                  <c:v>520.98</c:v>
                </c:pt>
                <c:pt idx="12">
                  <c:v>523.4</c:v>
                </c:pt>
                <c:pt idx="13">
                  <c:v>525.57000000000005</c:v>
                </c:pt>
                <c:pt idx="14">
                  <c:v>527.41</c:v>
                </c:pt>
                <c:pt idx="15">
                  <c:v>529.70000000000005</c:v>
                </c:pt>
                <c:pt idx="16">
                  <c:v>531.76</c:v>
                </c:pt>
                <c:pt idx="17">
                  <c:v>533.80999999999995</c:v>
                </c:pt>
                <c:pt idx="18">
                  <c:v>535.11</c:v>
                </c:pt>
                <c:pt idx="19">
                  <c:v>536.13</c:v>
                </c:pt>
                <c:pt idx="20">
                  <c:v>537.11</c:v>
                </c:pt>
                <c:pt idx="21">
                  <c:v>537.77</c:v>
                </c:pt>
                <c:pt idx="22">
                  <c:v>538.26</c:v>
                </c:pt>
                <c:pt idx="23">
                  <c:v>538.32000000000005</c:v>
                </c:pt>
                <c:pt idx="24">
                  <c:v>538.49</c:v>
                </c:pt>
                <c:pt idx="25">
                  <c:v>538.48</c:v>
                </c:pt>
                <c:pt idx="26">
                  <c:v>538.64</c:v>
                </c:pt>
                <c:pt idx="27">
                  <c:v>538.35</c:v>
                </c:pt>
                <c:pt idx="28">
                  <c:v>538.29</c:v>
                </c:pt>
                <c:pt idx="29">
                  <c:v>538.22</c:v>
                </c:pt>
                <c:pt idx="30">
                  <c:v>538.20000000000005</c:v>
                </c:pt>
                <c:pt idx="31">
                  <c:v>538.14</c:v>
                </c:pt>
                <c:pt idx="32">
                  <c:v>538.11</c:v>
                </c:pt>
                <c:pt idx="33">
                  <c:v>538.09</c:v>
                </c:pt>
                <c:pt idx="34">
                  <c:v>537.99</c:v>
                </c:pt>
                <c:pt idx="35">
                  <c:v>537.95000000000005</c:v>
                </c:pt>
                <c:pt idx="36">
                  <c:v>538.01</c:v>
                </c:pt>
                <c:pt idx="37">
                  <c:v>537.86</c:v>
                </c:pt>
                <c:pt idx="38">
                  <c:v>537.83000000000004</c:v>
                </c:pt>
                <c:pt idx="39">
                  <c:v>537.87</c:v>
                </c:pt>
                <c:pt idx="40">
                  <c:v>537.9</c:v>
                </c:pt>
                <c:pt idx="41">
                  <c:v>537.87</c:v>
                </c:pt>
                <c:pt idx="42">
                  <c:v>538</c:v>
                </c:pt>
                <c:pt idx="43">
                  <c:v>537.86</c:v>
                </c:pt>
                <c:pt idx="44">
                  <c:v>537.75</c:v>
                </c:pt>
              </c:numCache>
            </c:numRef>
          </c:val>
          <c:smooth val="0"/>
          <c:extLst>
            <c:ext xmlns:c16="http://schemas.microsoft.com/office/drawing/2014/chart" uri="{C3380CC4-5D6E-409C-BE32-E72D297353CC}">
              <c16:uniqueId val="{00000005-624A-43B9-8957-D4C03AD56C6F}"/>
            </c:ext>
          </c:extLst>
        </c:ser>
        <c:ser>
          <c:idx val="6"/>
          <c:order val="6"/>
          <c:tx>
            <c:strRef>
              <c:f>'transfert 535'!$H$1</c:f>
              <c:strCache>
                <c:ptCount val="1"/>
                <c:pt idx="0">
                  <c:v>Connecteur 7</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535'!$H$2:$H$46</c:f>
              <c:numCache>
                <c:formatCode>General</c:formatCode>
                <c:ptCount val="45"/>
                <c:pt idx="0">
                  <c:v>487.86</c:v>
                </c:pt>
                <c:pt idx="1">
                  <c:v>490.18</c:v>
                </c:pt>
                <c:pt idx="2">
                  <c:v>492.41</c:v>
                </c:pt>
                <c:pt idx="3">
                  <c:v>495.04</c:v>
                </c:pt>
                <c:pt idx="4">
                  <c:v>497.1</c:v>
                </c:pt>
                <c:pt idx="5">
                  <c:v>499.84</c:v>
                </c:pt>
                <c:pt idx="6">
                  <c:v>501.93</c:v>
                </c:pt>
                <c:pt idx="7">
                  <c:v>504.19</c:v>
                </c:pt>
                <c:pt idx="8">
                  <c:v>506.52</c:v>
                </c:pt>
                <c:pt idx="9">
                  <c:v>508.87</c:v>
                </c:pt>
                <c:pt idx="10">
                  <c:v>510.82</c:v>
                </c:pt>
                <c:pt idx="11">
                  <c:v>513.5</c:v>
                </c:pt>
                <c:pt idx="12">
                  <c:v>515.70000000000005</c:v>
                </c:pt>
                <c:pt idx="13">
                  <c:v>517.80999999999995</c:v>
                </c:pt>
                <c:pt idx="14">
                  <c:v>519.94000000000005</c:v>
                </c:pt>
                <c:pt idx="15">
                  <c:v>522.28</c:v>
                </c:pt>
                <c:pt idx="16">
                  <c:v>524.32000000000005</c:v>
                </c:pt>
                <c:pt idx="17">
                  <c:v>526.65</c:v>
                </c:pt>
                <c:pt idx="18">
                  <c:v>528.54</c:v>
                </c:pt>
                <c:pt idx="19">
                  <c:v>529.97</c:v>
                </c:pt>
                <c:pt idx="20">
                  <c:v>531.4</c:v>
                </c:pt>
                <c:pt idx="21">
                  <c:v>532.49</c:v>
                </c:pt>
                <c:pt idx="22">
                  <c:v>533.05999999999995</c:v>
                </c:pt>
                <c:pt idx="23">
                  <c:v>533.66999999999996</c:v>
                </c:pt>
                <c:pt idx="24">
                  <c:v>534.28</c:v>
                </c:pt>
                <c:pt idx="25">
                  <c:v>534.67999999999995</c:v>
                </c:pt>
                <c:pt idx="26">
                  <c:v>534.91999999999996</c:v>
                </c:pt>
                <c:pt idx="27">
                  <c:v>535</c:v>
                </c:pt>
                <c:pt idx="28">
                  <c:v>535.15</c:v>
                </c:pt>
                <c:pt idx="29">
                  <c:v>535.13</c:v>
                </c:pt>
                <c:pt idx="30">
                  <c:v>535.12</c:v>
                </c:pt>
                <c:pt idx="31">
                  <c:v>535.12</c:v>
                </c:pt>
                <c:pt idx="32">
                  <c:v>535.19000000000005</c:v>
                </c:pt>
                <c:pt idx="33">
                  <c:v>535.21</c:v>
                </c:pt>
                <c:pt idx="34">
                  <c:v>535.16</c:v>
                </c:pt>
                <c:pt idx="35">
                  <c:v>535.16999999999996</c:v>
                </c:pt>
                <c:pt idx="36">
                  <c:v>535.17999999999995</c:v>
                </c:pt>
                <c:pt idx="37">
                  <c:v>535.20000000000005</c:v>
                </c:pt>
                <c:pt idx="38">
                  <c:v>535.15</c:v>
                </c:pt>
                <c:pt idx="39">
                  <c:v>535.16</c:v>
                </c:pt>
                <c:pt idx="40">
                  <c:v>535.15</c:v>
                </c:pt>
                <c:pt idx="41">
                  <c:v>535.15</c:v>
                </c:pt>
                <c:pt idx="42">
                  <c:v>535.22</c:v>
                </c:pt>
                <c:pt idx="43">
                  <c:v>535.19000000000005</c:v>
                </c:pt>
                <c:pt idx="44">
                  <c:v>535.16</c:v>
                </c:pt>
              </c:numCache>
            </c:numRef>
          </c:val>
          <c:smooth val="0"/>
          <c:extLst>
            <c:ext xmlns:c16="http://schemas.microsoft.com/office/drawing/2014/chart" uri="{C3380CC4-5D6E-409C-BE32-E72D297353CC}">
              <c16:uniqueId val="{00000006-624A-43B9-8957-D4C03AD56C6F}"/>
            </c:ext>
          </c:extLst>
        </c:ser>
        <c:ser>
          <c:idx val="7"/>
          <c:order val="7"/>
          <c:tx>
            <c:strRef>
              <c:f>'transfert 535'!$I$1</c:f>
              <c:strCache>
                <c:ptCount val="1"/>
                <c:pt idx="0">
                  <c:v>Connecteur 8</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535'!$I$2:$I$46</c:f>
              <c:numCache>
                <c:formatCode>General</c:formatCode>
                <c:ptCount val="45"/>
                <c:pt idx="0">
                  <c:v>496.34</c:v>
                </c:pt>
                <c:pt idx="1">
                  <c:v>498.68</c:v>
                </c:pt>
                <c:pt idx="2">
                  <c:v>501.11</c:v>
                </c:pt>
                <c:pt idx="3">
                  <c:v>503.57</c:v>
                </c:pt>
                <c:pt idx="4">
                  <c:v>505.74</c:v>
                </c:pt>
                <c:pt idx="5">
                  <c:v>508.16</c:v>
                </c:pt>
                <c:pt idx="6">
                  <c:v>510.39</c:v>
                </c:pt>
                <c:pt idx="7">
                  <c:v>512.67999999999995</c:v>
                </c:pt>
                <c:pt idx="8">
                  <c:v>514.77</c:v>
                </c:pt>
                <c:pt idx="9">
                  <c:v>517.13</c:v>
                </c:pt>
                <c:pt idx="10">
                  <c:v>519.27</c:v>
                </c:pt>
                <c:pt idx="11">
                  <c:v>521.53</c:v>
                </c:pt>
                <c:pt idx="12">
                  <c:v>523.64</c:v>
                </c:pt>
                <c:pt idx="13">
                  <c:v>525.96</c:v>
                </c:pt>
                <c:pt idx="14">
                  <c:v>528.04999999999995</c:v>
                </c:pt>
                <c:pt idx="15">
                  <c:v>530.20000000000005</c:v>
                </c:pt>
                <c:pt idx="16">
                  <c:v>532.34</c:v>
                </c:pt>
                <c:pt idx="17">
                  <c:v>534.27</c:v>
                </c:pt>
                <c:pt idx="18">
                  <c:v>535.55999999999995</c:v>
                </c:pt>
                <c:pt idx="19">
                  <c:v>536.45000000000005</c:v>
                </c:pt>
                <c:pt idx="20">
                  <c:v>537.4</c:v>
                </c:pt>
                <c:pt idx="21">
                  <c:v>537.73</c:v>
                </c:pt>
                <c:pt idx="22">
                  <c:v>538.04</c:v>
                </c:pt>
                <c:pt idx="23">
                  <c:v>538.09</c:v>
                </c:pt>
                <c:pt idx="24">
                  <c:v>538.01</c:v>
                </c:pt>
                <c:pt idx="25">
                  <c:v>537.97</c:v>
                </c:pt>
                <c:pt idx="26">
                  <c:v>538.07000000000005</c:v>
                </c:pt>
                <c:pt idx="27">
                  <c:v>537.74</c:v>
                </c:pt>
                <c:pt idx="28">
                  <c:v>537.67999999999995</c:v>
                </c:pt>
                <c:pt idx="29">
                  <c:v>537.41</c:v>
                </c:pt>
                <c:pt idx="30">
                  <c:v>537.33000000000004</c:v>
                </c:pt>
                <c:pt idx="31">
                  <c:v>537.28</c:v>
                </c:pt>
                <c:pt idx="32">
                  <c:v>537.39</c:v>
                </c:pt>
                <c:pt idx="33">
                  <c:v>537.29</c:v>
                </c:pt>
                <c:pt idx="34">
                  <c:v>537.17999999999995</c:v>
                </c:pt>
                <c:pt idx="35">
                  <c:v>537.16</c:v>
                </c:pt>
                <c:pt idx="36">
                  <c:v>537.16999999999996</c:v>
                </c:pt>
                <c:pt idx="37">
                  <c:v>537.17999999999995</c:v>
                </c:pt>
                <c:pt idx="38">
                  <c:v>537.03</c:v>
                </c:pt>
                <c:pt idx="39">
                  <c:v>537.08000000000004</c:v>
                </c:pt>
                <c:pt idx="40">
                  <c:v>537.04999999999995</c:v>
                </c:pt>
                <c:pt idx="41">
                  <c:v>537.12</c:v>
                </c:pt>
                <c:pt idx="42">
                  <c:v>537.29999999999995</c:v>
                </c:pt>
                <c:pt idx="43">
                  <c:v>537.04999999999995</c:v>
                </c:pt>
                <c:pt idx="44">
                  <c:v>536.87</c:v>
                </c:pt>
              </c:numCache>
            </c:numRef>
          </c:val>
          <c:smooth val="0"/>
          <c:extLst>
            <c:ext xmlns:c16="http://schemas.microsoft.com/office/drawing/2014/chart" uri="{C3380CC4-5D6E-409C-BE32-E72D297353CC}">
              <c16:uniqueId val="{00000007-624A-43B9-8957-D4C03AD56C6F}"/>
            </c:ext>
          </c:extLst>
        </c:ser>
        <c:ser>
          <c:idx val="8"/>
          <c:order val="8"/>
          <c:tx>
            <c:strRef>
              <c:f>'transfert 535'!$J$1</c:f>
              <c:strCache>
                <c:ptCount val="1"/>
                <c:pt idx="0">
                  <c:v>Connecteur 9</c:v>
                </c:pt>
              </c:strCache>
            </c:strRef>
          </c:tx>
          <c:marker>
            <c:symbol val="none"/>
          </c:marker>
          <c:cat>
            <c:strRef>
              <c:f>'transfert 535'!$A$2:$A$46</c:f>
              <c:strCache>
                <c:ptCount val="45"/>
                <c:pt idx="0">
                  <c:v>13/02/2024  07:00</c:v>
                </c:pt>
                <c:pt idx="1">
                  <c:v>13/02/2024  07:01</c:v>
                </c:pt>
                <c:pt idx="2">
                  <c:v>13/02/2024  07:02</c:v>
                </c:pt>
                <c:pt idx="3">
                  <c:v>13/02/2024  07:03</c:v>
                </c:pt>
                <c:pt idx="4">
                  <c:v>13/02/2024  07:04</c:v>
                </c:pt>
                <c:pt idx="5">
                  <c:v>13/02/2024  07:05</c:v>
                </c:pt>
                <c:pt idx="6">
                  <c:v>13/02/2024  07:06</c:v>
                </c:pt>
                <c:pt idx="7">
                  <c:v>13/02/2024  07:07</c:v>
                </c:pt>
                <c:pt idx="8">
                  <c:v>13/02/2024  07:08</c:v>
                </c:pt>
                <c:pt idx="9">
                  <c:v>13/02/2024  07:09</c:v>
                </c:pt>
                <c:pt idx="10">
                  <c:v>13/02/2024  07:10</c:v>
                </c:pt>
                <c:pt idx="11">
                  <c:v>13/02/2024  07:11</c:v>
                </c:pt>
                <c:pt idx="12">
                  <c:v>13/02/2024  07:12</c:v>
                </c:pt>
                <c:pt idx="13">
                  <c:v>13/02/2024  07:13</c:v>
                </c:pt>
                <c:pt idx="14">
                  <c:v>13/02/2024  07:14</c:v>
                </c:pt>
                <c:pt idx="15">
                  <c:v>13/02/2024  07:15</c:v>
                </c:pt>
                <c:pt idx="16">
                  <c:v>13/02/2024  07:16</c:v>
                </c:pt>
                <c:pt idx="17">
                  <c:v>13/02/2024  07:17</c:v>
                </c:pt>
                <c:pt idx="18">
                  <c:v>13/02/2024  07:18</c:v>
                </c:pt>
                <c:pt idx="19">
                  <c:v>13/02/2024  07:19</c:v>
                </c:pt>
                <c:pt idx="20">
                  <c:v>13/02/2024  07:20</c:v>
                </c:pt>
                <c:pt idx="21">
                  <c:v>13/02/2024  07:21</c:v>
                </c:pt>
                <c:pt idx="22">
                  <c:v>13/02/2024  07:22</c:v>
                </c:pt>
                <c:pt idx="23">
                  <c:v>13/02/2024  07:23</c:v>
                </c:pt>
                <c:pt idx="24">
                  <c:v>13/02/2024  07:24</c:v>
                </c:pt>
                <c:pt idx="25">
                  <c:v>13/02/2024  07:25</c:v>
                </c:pt>
                <c:pt idx="26">
                  <c:v>13/02/2024  07:26</c:v>
                </c:pt>
                <c:pt idx="27">
                  <c:v>13/02/2024  07:27</c:v>
                </c:pt>
                <c:pt idx="28">
                  <c:v>13/02/2024  07:28</c:v>
                </c:pt>
                <c:pt idx="29">
                  <c:v>13/02/2024  07:29</c:v>
                </c:pt>
                <c:pt idx="30">
                  <c:v>13/02/2024  07:30</c:v>
                </c:pt>
                <c:pt idx="31">
                  <c:v>13/02/2024  07:31</c:v>
                </c:pt>
                <c:pt idx="32">
                  <c:v>13/02/2024  07:32</c:v>
                </c:pt>
                <c:pt idx="33">
                  <c:v>13/02/2024  07:33</c:v>
                </c:pt>
                <c:pt idx="34">
                  <c:v>13/02/2024  07:34</c:v>
                </c:pt>
                <c:pt idx="35">
                  <c:v>13/02/2024  07:35</c:v>
                </c:pt>
                <c:pt idx="36">
                  <c:v>13/02/2024  07:36</c:v>
                </c:pt>
                <c:pt idx="37">
                  <c:v>13/02/2024  07:37</c:v>
                </c:pt>
                <c:pt idx="38">
                  <c:v>13/02/2024  07:38</c:v>
                </c:pt>
                <c:pt idx="39">
                  <c:v>13/02/2024  07:39</c:v>
                </c:pt>
                <c:pt idx="40">
                  <c:v>13/02/2024  07:40</c:v>
                </c:pt>
                <c:pt idx="41">
                  <c:v>13/02/2024  07:41</c:v>
                </c:pt>
                <c:pt idx="42">
                  <c:v>13/02/2024  07:42</c:v>
                </c:pt>
                <c:pt idx="43">
                  <c:v>13/02/2024  07:43</c:v>
                </c:pt>
                <c:pt idx="44">
                  <c:v>13/02/2024  07:44</c:v>
                </c:pt>
              </c:strCache>
            </c:strRef>
          </c:cat>
          <c:val>
            <c:numRef>
              <c:f>'transfert 535'!$J$2:$J$46</c:f>
              <c:numCache>
                <c:formatCode>General</c:formatCode>
                <c:ptCount val="45"/>
                <c:pt idx="0">
                  <c:v>493.07</c:v>
                </c:pt>
                <c:pt idx="1">
                  <c:v>495.37</c:v>
                </c:pt>
                <c:pt idx="2">
                  <c:v>497.81</c:v>
                </c:pt>
                <c:pt idx="3">
                  <c:v>500.15</c:v>
                </c:pt>
                <c:pt idx="4">
                  <c:v>502.62</c:v>
                </c:pt>
                <c:pt idx="5">
                  <c:v>504.88</c:v>
                </c:pt>
                <c:pt idx="6">
                  <c:v>507.2</c:v>
                </c:pt>
                <c:pt idx="7">
                  <c:v>509.45</c:v>
                </c:pt>
                <c:pt idx="8">
                  <c:v>511.83</c:v>
                </c:pt>
                <c:pt idx="9">
                  <c:v>513.99</c:v>
                </c:pt>
                <c:pt idx="10">
                  <c:v>516.29</c:v>
                </c:pt>
                <c:pt idx="11">
                  <c:v>518.52</c:v>
                </c:pt>
                <c:pt idx="12">
                  <c:v>520.71</c:v>
                </c:pt>
                <c:pt idx="13">
                  <c:v>522.88</c:v>
                </c:pt>
                <c:pt idx="14">
                  <c:v>525.12</c:v>
                </c:pt>
                <c:pt idx="15">
                  <c:v>527.32000000000005</c:v>
                </c:pt>
                <c:pt idx="16">
                  <c:v>529.5</c:v>
                </c:pt>
                <c:pt idx="17">
                  <c:v>531.58000000000004</c:v>
                </c:pt>
                <c:pt idx="18">
                  <c:v>533.09</c:v>
                </c:pt>
                <c:pt idx="19">
                  <c:v>534.17999999999995</c:v>
                </c:pt>
                <c:pt idx="20">
                  <c:v>535.23</c:v>
                </c:pt>
                <c:pt idx="21">
                  <c:v>535.97</c:v>
                </c:pt>
                <c:pt idx="22">
                  <c:v>536.46</c:v>
                </c:pt>
                <c:pt idx="23">
                  <c:v>536.74</c:v>
                </c:pt>
                <c:pt idx="24">
                  <c:v>536.91999999999996</c:v>
                </c:pt>
                <c:pt idx="25">
                  <c:v>537.01</c:v>
                </c:pt>
                <c:pt idx="26">
                  <c:v>537.16</c:v>
                </c:pt>
                <c:pt idx="27">
                  <c:v>537.08000000000004</c:v>
                </c:pt>
                <c:pt idx="28">
                  <c:v>537.05999999999995</c:v>
                </c:pt>
                <c:pt idx="29">
                  <c:v>536.94000000000005</c:v>
                </c:pt>
                <c:pt idx="30">
                  <c:v>536.92999999999995</c:v>
                </c:pt>
                <c:pt idx="31">
                  <c:v>536.96</c:v>
                </c:pt>
                <c:pt idx="32">
                  <c:v>537.02</c:v>
                </c:pt>
                <c:pt idx="33">
                  <c:v>537.01</c:v>
                </c:pt>
                <c:pt idx="34">
                  <c:v>536.88</c:v>
                </c:pt>
                <c:pt idx="35">
                  <c:v>537</c:v>
                </c:pt>
                <c:pt idx="36">
                  <c:v>536.94000000000005</c:v>
                </c:pt>
                <c:pt idx="37">
                  <c:v>536.91</c:v>
                </c:pt>
                <c:pt idx="38">
                  <c:v>536.85</c:v>
                </c:pt>
                <c:pt idx="39">
                  <c:v>536.98</c:v>
                </c:pt>
                <c:pt idx="40">
                  <c:v>536.88</c:v>
                </c:pt>
                <c:pt idx="41">
                  <c:v>536.99</c:v>
                </c:pt>
                <c:pt idx="42">
                  <c:v>537.05999999999995</c:v>
                </c:pt>
                <c:pt idx="43">
                  <c:v>536.96</c:v>
                </c:pt>
                <c:pt idx="44">
                  <c:v>536.76</c:v>
                </c:pt>
              </c:numCache>
            </c:numRef>
          </c:val>
          <c:smooth val="0"/>
          <c:extLst>
            <c:ext xmlns:c16="http://schemas.microsoft.com/office/drawing/2014/chart" uri="{C3380CC4-5D6E-409C-BE32-E72D297353CC}">
              <c16:uniqueId val="{00000008-624A-43B9-8957-D4C03AD56C6F}"/>
            </c:ext>
          </c:extLst>
        </c:ser>
        <c:dLbls>
          <c:showLegendKey val="0"/>
          <c:showVal val="0"/>
          <c:showCatName val="0"/>
          <c:showSerName val="0"/>
          <c:showPercent val="0"/>
          <c:showBubbleSize val="0"/>
        </c:dLbls>
        <c:smooth val="0"/>
        <c:axId val="329598360"/>
        <c:axId val="330390600"/>
        <c:extLst/>
      </c:lineChart>
      <c:catAx>
        <c:axId val="329598360"/>
        <c:scaling>
          <c:orientation val="minMax"/>
          <c:min val="1"/>
        </c:scaling>
        <c:delete val="0"/>
        <c:axPos val="b"/>
        <c:numFmt formatCode="d/m/yy\ h:mm;@" sourceLinked="0"/>
        <c:majorTickMark val="out"/>
        <c:minorTickMark val="none"/>
        <c:tickLblPos val="nextTo"/>
        <c:crossAx val="330390600"/>
        <c:crosses val="autoZero"/>
        <c:auto val="0"/>
        <c:lblAlgn val="ctr"/>
        <c:lblOffset val="100"/>
        <c:tickMarkSkip val="2"/>
        <c:noMultiLvlLbl val="0"/>
      </c:catAx>
      <c:valAx>
        <c:axId val="330390600"/>
        <c:scaling>
          <c:orientation val="minMax"/>
          <c:max val="540"/>
          <c:min val="485"/>
        </c:scaling>
        <c:delete val="0"/>
        <c:axPos val="l"/>
        <c:majorGridlines/>
        <c:numFmt formatCode="General" sourceLinked="1"/>
        <c:majorTickMark val="out"/>
        <c:minorTickMark val="none"/>
        <c:tickLblPos val="nextTo"/>
        <c:crossAx val="329598360"/>
        <c:crosses val="autoZero"/>
        <c:crossBetween val="between"/>
        <c:majorUnit val="5"/>
      </c:valAx>
    </c:plotArea>
    <c:legend>
      <c:legendPos val="r"/>
      <c:overlay val="0"/>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7751-4F4B-A123-C3BD5A926BD1}"/>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7751-4F4B-A123-C3BD5A926BD1}"/>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7751-4F4B-A123-C3BD5A926BD1}"/>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7751-4F4B-A123-C3BD5A926BD1}"/>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7751-4F4B-A123-C3BD5A926BD1}"/>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7751-4F4B-A123-C3BD5A926BD1}"/>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7751-4F4B-A123-C3BD5A926BD1}"/>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7751-4F4B-A123-C3BD5A926BD1}"/>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7751-4F4B-A123-C3BD5A926BD1}"/>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7751-4F4B-A123-C3BD5A926BD1}"/>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AAFE-484F-8AD1-A57331E8CF48}"/>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AAFE-484F-8AD1-A57331E8CF48}"/>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AAFE-484F-8AD1-A57331E8CF48}"/>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AAFE-484F-8AD1-A57331E8CF48}"/>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AAFE-484F-8AD1-A57331E8CF48}"/>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AAFE-484F-8AD1-A57331E8CF48}"/>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AAFE-484F-8AD1-A57331E8CF48}"/>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AAFE-484F-8AD1-A57331E8CF48}"/>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AAFE-484F-8AD1-A57331E8CF48}"/>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AAFE-484F-8AD1-A57331E8CF48}"/>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Donnee_Ressuage_BCH!$B$1</c:f>
              <c:strCache>
                <c:ptCount val="1"/>
                <c:pt idx="0">
                  <c:v>Connecteur 1</c:v>
                </c:pt>
              </c:strCache>
            </c:strRef>
          </c:tx>
          <c:spPr>
            <a:ln w="19050" cap="rnd">
              <a:solidFill>
                <a:schemeClr val="accent1"/>
              </a:solidFill>
              <a:round/>
            </a:ln>
            <a:effectLst/>
          </c:spPr>
          <c:marker>
            <c:symbol val="none"/>
          </c:marker>
          <c:xVal>
            <c:numRef>
              <c:f>Donnee_Ressuage_BCH!$A$2</c:f>
              <c:numCache>
                <c:formatCode>m/d/yyyy\ h:mm</c:formatCode>
                <c:ptCount val="1"/>
              </c:numCache>
            </c:numRef>
          </c:xVal>
          <c:yVal>
            <c:numRef>
              <c:f>Donnee_Ressuage_BCH!$B$2</c:f>
              <c:numCache>
                <c:formatCode>General</c:formatCode>
                <c:ptCount val="1"/>
              </c:numCache>
            </c:numRef>
          </c:yVal>
          <c:smooth val="0"/>
          <c:extLst>
            <c:ext xmlns:c16="http://schemas.microsoft.com/office/drawing/2014/chart" uri="{C3380CC4-5D6E-409C-BE32-E72D297353CC}">
              <c16:uniqueId val="{00000000-3060-436F-AB78-CE8E7021B17E}"/>
            </c:ext>
          </c:extLst>
        </c:ser>
        <c:ser>
          <c:idx val="1"/>
          <c:order val="1"/>
          <c:tx>
            <c:strRef>
              <c:f>Donnee_Ressuage_BCH!$C$1</c:f>
              <c:strCache>
                <c:ptCount val="1"/>
                <c:pt idx="0">
                  <c:v>Connecteur 2</c:v>
                </c:pt>
              </c:strCache>
            </c:strRef>
          </c:tx>
          <c:spPr>
            <a:ln w="19050" cap="rnd">
              <a:solidFill>
                <a:schemeClr val="accent2"/>
              </a:solidFill>
              <a:round/>
            </a:ln>
            <a:effectLst/>
          </c:spPr>
          <c:marker>
            <c:symbol val="none"/>
          </c:marker>
          <c:xVal>
            <c:numRef>
              <c:f>Donnee_Ressuage_BCH!$A$2</c:f>
              <c:numCache>
                <c:formatCode>m/d/yyyy\ h:mm</c:formatCode>
                <c:ptCount val="1"/>
              </c:numCache>
            </c:numRef>
          </c:xVal>
          <c:yVal>
            <c:numRef>
              <c:f>Donnee_Ressuage_BCH!$C$2</c:f>
              <c:numCache>
                <c:formatCode>General</c:formatCode>
                <c:ptCount val="1"/>
              </c:numCache>
            </c:numRef>
          </c:yVal>
          <c:smooth val="0"/>
          <c:extLst>
            <c:ext xmlns:c16="http://schemas.microsoft.com/office/drawing/2014/chart" uri="{C3380CC4-5D6E-409C-BE32-E72D297353CC}">
              <c16:uniqueId val="{00000001-3060-436F-AB78-CE8E7021B17E}"/>
            </c:ext>
          </c:extLst>
        </c:ser>
        <c:ser>
          <c:idx val="2"/>
          <c:order val="2"/>
          <c:tx>
            <c:strRef>
              <c:f>Donnee_Ressuage_BCH!$D$1</c:f>
              <c:strCache>
                <c:ptCount val="1"/>
                <c:pt idx="0">
                  <c:v>Connecteur 3</c:v>
                </c:pt>
              </c:strCache>
            </c:strRef>
          </c:tx>
          <c:spPr>
            <a:ln w="19050" cap="rnd">
              <a:solidFill>
                <a:schemeClr val="accent3"/>
              </a:solidFill>
              <a:round/>
            </a:ln>
            <a:effectLst/>
          </c:spPr>
          <c:marker>
            <c:symbol val="none"/>
          </c:marker>
          <c:xVal>
            <c:numRef>
              <c:f>Donnee_Ressuage_BCH!$A$2</c:f>
              <c:numCache>
                <c:formatCode>m/d/yyyy\ h:mm</c:formatCode>
                <c:ptCount val="1"/>
              </c:numCache>
            </c:numRef>
          </c:xVal>
          <c:yVal>
            <c:numRef>
              <c:f>Donnee_Ressuage_BCH!$D$2</c:f>
              <c:numCache>
                <c:formatCode>General</c:formatCode>
                <c:ptCount val="1"/>
              </c:numCache>
            </c:numRef>
          </c:yVal>
          <c:smooth val="0"/>
          <c:extLst>
            <c:ext xmlns:c16="http://schemas.microsoft.com/office/drawing/2014/chart" uri="{C3380CC4-5D6E-409C-BE32-E72D297353CC}">
              <c16:uniqueId val="{00000002-3060-436F-AB78-CE8E7021B17E}"/>
            </c:ext>
          </c:extLst>
        </c:ser>
        <c:ser>
          <c:idx val="3"/>
          <c:order val="3"/>
          <c:tx>
            <c:strRef>
              <c:f>Donnee_Ressuage_BCH!$E$1</c:f>
              <c:strCache>
                <c:ptCount val="1"/>
                <c:pt idx="0">
                  <c:v>Connecteur 4</c:v>
                </c:pt>
              </c:strCache>
            </c:strRef>
          </c:tx>
          <c:spPr>
            <a:ln w="19050" cap="rnd">
              <a:solidFill>
                <a:schemeClr val="accent4"/>
              </a:solidFill>
              <a:round/>
            </a:ln>
            <a:effectLst/>
          </c:spPr>
          <c:marker>
            <c:symbol val="none"/>
          </c:marker>
          <c:xVal>
            <c:numRef>
              <c:f>Donnee_Ressuage_BCH!$A$2</c:f>
              <c:numCache>
                <c:formatCode>m/d/yyyy\ h:mm</c:formatCode>
                <c:ptCount val="1"/>
              </c:numCache>
            </c:numRef>
          </c:xVal>
          <c:yVal>
            <c:numRef>
              <c:f>Donnee_Ressuage_BCH!$E$2</c:f>
              <c:numCache>
                <c:formatCode>General</c:formatCode>
                <c:ptCount val="1"/>
              </c:numCache>
            </c:numRef>
          </c:yVal>
          <c:smooth val="0"/>
          <c:extLst>
            <c:ext xmlns:c16="http://schemas.microsoft.com/office/drawing/2014/chart" uri="{C3380CC4-5D6E-409C-BE32-E72D297353CC}">
              <c16:uniqueId val="{00000003-3060-436F-AB78-CE8E7021B17E}"/>
            </c:ext>
          </c:extLst>
        </c:ser>
        <c:ser>
          <c:idx val="4"/>
          <c:order val="4"/>
          <c:tx>
            <c:strRef>
              <c:f>Donnee_Ressuage_BCH!$F$1</c:f>
              <c:strCache>
                <c:ptCount val="1"/>
                <c:pt idx="0">
                  <c:v>Connecteur 5</c:v>
                </c:pt>
              </c:strCache>
            </c:strRef>
          </c:tx>
          <c:spPr>
            <a:ln w="19050" cap="rnd">
              <a:solidFill>
                <a:schemeClr val="accent5"/>
              </a:solidFill>
              <a:round/>
            </a:ln>
            <a:effectLst/>
          </c:spPr>
          <c:marker>
            <c:symbol val="none"/>
          </c:marker>
          <c:xVal>
            <c:numRef>
              <c:f>Donnee_Ressuage_BCH!$A$2</c:f>
              <c:numCache>
                <c:formatCode>m/d/yyyy\ h:mm</c:formatCode>
                <c:ptCount val="1"/>
              </c:numCache>
            </c:numRef>
          </c:xVal>
          <c:yVal>
            <c:numRef>
              <c:f>Donnee_Ressuage_BCH!$F$2</c:f>
              <c:numCache>
                <c:formatCode>General</c:formatCode>
                <c:ptCount val="1"/>
              </c:numCache>
            </c:numRef>
          </c:yVal>
          <c:smooth val="0"/>
          <c:extLst>
            <c:ext xmlns:c16="http://schemas.microsoft.com/office/drawing/2014/chart" uri="{C3380CC4-5D6E-409C-BE32-E72D297353CC}">
              <c16:uniqueId val="{00000004-3060-436F-AB78-CE8E7021B17E}"/>
            </c:ext>
          </c:extLst>
        </c:ser>
        <c:ser>
          <c:idx val="5"/>
          <c:order val="5"/>
          <c:tx>
            <c:strRef>
              <c:f>Donnee_Ressuage_BCH!$G$1</c:f>
              <c:strCache>
                <c:ptCount val="1"/>
                <c:pt idx="0">
                  <c:v>Connecteur 6</c:v>
                </c:pt>
              </c:strCache>
            </c:strRef>
          </c:tx>
          <c:spPr>
            <a:ln w="19050" cap="rnd">
              <a:solidFill>
                <a:schemeClr val="accent6"/>
              </a:solidFill>
              <a:round/>
            </a:ln>
            <a:effectLst/>
          </c:spPr>
          <c:marker>
            <c:symbol val="none"/>
          </c:marker>
          <c:xVal>
            <c:numRef>
              <c:f>Donnee_Ressuage_BCH!$A$2</c:f>
              <c:numCache>
                <c:formatCode>m/d/yyyy\ h:mm</c:formatCode>
                <c:ptCount val="1"/>
              </c:numCache>
            </c:numRef>
          </c:xVal>
          <c:yVal>
            <c:numRef>
              <c:f>Donnee_Ressuage_BCH!$G$2</c:f>
              <c:numCache>
                <c:formatCode>General</c:formatCode>
                <c:ptCount val="1"/>
              </c:numCache>
            </c:numRef>
          </c:yVal>
          <c:smooth val="0"/>
          <c:extLst>
            <c:ext xmlns:c16="http://schemas.microsoft.com/office/drawing/2014/chart" uri="{C3380CC4-5D6E-409C-BE32-E72D297353CC}">
              <c16:uniqueId val="{00000005-3060-436F-AB78-CE8E7021B17E}"/>
            </c:ext>
          </c:extLst>
        </c:ser>
        <c:ser>
          <c:idx val="6"/>
          <c:order val="6"/>
          <c:tx>
            <c:strRef>
              <c:f>Donnee_Ressuage_BCH!$H$1</c:f>
              <c:strCache>
                <c:ptCount val="1"/>
                <c:pt idx="0">
                  <c:v>Connecteur 7</c:v>
                </c:pt>
              </c:strCache>
            </c:strRef>
          </c:tx>
          <c:spPr>
            <a:ln w="19050" cap="rnd">
              <a:solidFill>
                <a:schemeClr val="accent1">
                  <a:lumMod val="60000"/>
                </a:schemeClr>
              </a:solidFill>
              <a:round/>
            </a:ln>
            <a:effectLst/>
          </c:spPr>
          <c:marker>
            <c:symbol val="none"/>
          </c:marker>
          <c:xVal>
            <c:numRef>
              <c:f>Donnee_Ressuage_BCH!$A$2</c:f>
              <c:numCache>
                <c:formatCode>m/d/yyyy\ h:mm</c:formatCode>
                <c:ptCount val="1"/>
              </c:numCache>
            </c:numRef>
          </c:xVal>
          <c:yVal>
            <c:numRef>
              <c:f>Donnee_Ressuage_BCH!$H$2</c:f>
              <c:numCache>
                <c:formatCode>General</c:formatCode>
                <c:ptCount val="1"/>
              </c:numCache>
            </c:numRef>
          </c:yVal>
          <c:smooth val="0"/>
          <c:extLst>
            <c:ext xmlns:c16="http://schemas.microsoft.com/office/drawing/2014/chart" uri="{C3380CC4-5D6E-409C-BE32-E72D297353CC}">
              <c16:uniqueId val="{00000006-3060-436F-AB78-CE8E7021B17E}"/>
            </c:ext>
          </c:extLst>
        </c:ser>
        <c:ser>
          <c:idx val="7"/>
          <c:order val="7"/>
          <c:tx>
            <c:strRef>
              <c:f>Donnee_Ressuage_BCH!$I$1</c:f>
              <c:strCache>
                <c:ptCount val="1"/>
                <c:pt idx="0">
                  <c:v>Connecteur 8</c:v>
                </c:pt>
              </c:strCache>
            </c:strRef>
          </c:tx>
          <c:spPr>
            <a:ln w="19050" cap="rnd">
              <a:solidFill>
                <a:schemeClr val="accent2">
                  <a:lumMod val="60000"/>
                </a:schemeClr>
              </a:solidFill>
              <a:round/>
            </a:ln>
            <a:effectLst/>
          </c:spPr>
          <c:marker>
            <c:symbol val="none"/>
          </c:marker>
          <c:xVal>
            <c:numRef>
              <c:f>Donnee_Ressuage_BCH!$A$2</c:f>
              <c:numCache>
                <c:formatCode>m/d/yyyy\ h:mm</c:formatCode>
                <c:ptCount val="1"/>
              </c:numCache>
            </c:numRef>
          </c:xVal>
          <c:yVal>
            <c:numRef>
              <c:f>Donnee_Ressuage_BCH!$I$2</c:f>
              <c:numCache>
                <c:formatCode>General</c:formatCode>
                <c:ptCount val="1"/>
              </c:numCache>
            </c:numRef>
          </c:yVal>
          <c:smooth val="0"/>
          <c:extLst>
            <c:ext xmlns:c16="http://schemas.microsoft.com/office/drawing/2014/chart" uri="{C3380CC4-5D6E-409C-BE32-E72D297353CC}">
              <c16:uniqueId val="{00000007-3060-436F-AB78-CE8E7021B17E}"/>
            </c:ext>
          </c:extLst>
        </c:ser>
        <c:ser>
          <c:idx val="8"/>
          <c:order val="8"/>
          <c:tx>
            <c:strRef>
              <c:f>Donnee_Ressuage_BCH!$J$1</c:f>
              <c:strCache>
                <c:ptCount val="1"/>
                <c:pt idx="0">
                  <c:v>Connecteur 9</c:v>
                </c:pt>
              </c:strCache>
            </c:strRef>
          </c:tx>
          <c:spPr>
            <a:ln w="19050" cap="rnd">
              <a:solidFill>
                <a:schemeClr val="accent3">
                  <a:lumMod val="60000"/>
                </a:schemeClr>
              </a:solidFill>
              <a:round/>
            </a:ln>
            <a:effectLst/>
          </c:spPr>
          <c:marker>
            <c:symbol val="none"/>
          </c:marker>
          <c:xVal>
            <c:numRef>
              <c:f>Donnee_Ressuage_BCH!$A$2</c:f>
              <c:numCache>
                <c:formatCode>m/d/yyyy\ h:mm</c:formatCode>
                <c:ptCount val="1"/>
              </c:numCache>
            </c:numRef>
          </c:xVal>
          <c:yVal>
            <c:numRef>
              <c:f>Donnee_Ressuage_BCH!$J$2</c:f>
              <c:numCache>
                <c:formatCode>General</c:formatCode>
                <c:ptCount val="1"/>
              </c:numCache>
            </c:numRef>
          </c:yVal>
          <c:smooth val="0"/>
          <c:extLst>
            <c:ext xmlns:c16="http://schemas.microsoft.com/office/drawing/2014/chart" uri="{C3380CC4-5D6E-409C-BE32-E72D297353CC}">
              <c16:uniqueId val="{00000008-3060-436F-AB78-CE8E7021B17E}"/>
            </c:ext>
          </c:extLst>
        </c:ser>
        <c:ser>
          <c:idx val="9"/>
          <c:order val="9"/>
          <c:tx>
            <c:strRef>
              <c:f>Donnee_Ressuage_BCH!$K$1</c:f>
              <c:strCache>
                <c:ptCount val="1"/>
                <c:pt idx="0">
                  <c:v>Connecteur 10</c:v>
                </c:pt>
              </c:strCache>
            </c:strRef>
          </c:tx>
          <c:spPr>
            <a:ln w="19050" cap="rnd">
              <a:solidFill>
                <a:schemeClr val="accent4">
                  <a:lumMod val="60000"/>
                </a:schemeClr>
              </a:solidFill>
              <a:round/>
            </a:ln>
            <a:effectLst/>
          </c:spPr>
          <c:marker>
            <c:symbol val="none"/>
          </c:marker>
          <c:xVal>
            <c:numRef>
              <c:f>Donnee_Ressuage_BCH!$A$2</c:f>
              <c:numCache>
                <c:formatCode>m/d/yyyy\ h:mm</c:formatCode>
                <c:ptCount val="1"/>
              </c:numCache>
            </c:numRef>
          </c:xVal>
          <c:yVal>
            <c:numRef>
              <c:f>Donnee_Ressuage_BCH!$K$2</c:f>
              <c:numCache>
                <c:formatCode>General</c:formatCode>
                <c:ptCount val="1"/>
              </c:numCache>
            </c:numRef>
          </c:yVal>
          <c:smooth val="0"/>
          <c:extLst>
            <c:ext xmlns:c16="http://schemas.microsoft.com/office/drawing/2014/chart" uri="{C3380CC4-5D6E-409C-BE32-E72D297353CC}">
              <c16:uniqueId val="{00000009-3060-436F-AB78-CE8E7021B17E}"/>
            </c:ext>
          </c:extLst>
        </c:ser>
        <c:dLbls>
          <c:showLegendKey val="0"/>
          <c:showVal val="0"/>
          <c:showCatName val="0"/>
          <c:showSerName val="0"/>
          <c:showPercent val="0"/>
          <c:showBubbleSize val="0"/>
        </c:dLbls>
        <c:axId val="960927520"/>
        <c:axId val="960924280"/>
      </c:scatterChart>
      <c:valAx>
        <c:axId val="96092752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4280"/>
        <c:crosses val="autoZero"/>
        <c:crossBetween val="midCat"/>
      </c:valAx>
      <c:valAx>
        <c:axId val="96092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60927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3634-44AC-8C60-9DF8284C3080}"/>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3634-44AC-8C60-9DF8284C3080}"/>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3634-44AC-8C60-9DF8284C3080}"/>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3634-44AC-8C60-9DF8284C3080}"/>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3634-44AC-8C60-9DF8284C3080}"/>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3634-44AC-8C60-9DF8284C3080}"/>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3634-44AC-8C60-9DF8284C3080}"/>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3634-44AC-8C60-9DF8284C3080}"/>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3634-44AC-8C60-9DF8284C3080}"/>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3634-44AC-8C60-9DF8284C3080}"/>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3634-44AC-8C60-9DF8284C3080}"/>
            </c:ext>
          </c:extLst>
        </c:ser>
        <c:ser>
          <c:idx val="11"/>
          <c:order val="11"/>
          <c:tx>
            <c:strRef>
              <c:f>Donnee_Congel!#REF!</c:f>
              <c:strCache>
                <c:ptCount val="1"/>
                <c:pt idx="0">
                  <c:v>#REF!</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Donnee_Congel!#REF!</c:f>
              <c:numCache>
                <c:formatCode>General</c:formatCode>
                <c:ptCount val="1"/>
                <c:pt idx="0">
                  <c:v>1</c:v>
                </c:pt>
              </c:numCache>
            </c:numRef>
          </c:yVal>
          <c:smooth val="0"/>
          <c:extLst>
            <c:ext xmlns:c16="http://schemas.microsoft.com/office/drawing/2014/chart" uri="{C3380CC4-5D6E-409C-BE32-E72D297353CC}">
              <c16:uniqueId val="{0000000B-3634-44AC-8C60-9DF8284C308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Donnee_Congel!#REF!</c:f>
              <c:strCache>
                <c:ptCount val="1"/>
                <c:pt idx="0">
                  <c:v>#REF!</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Donnee_Congel!#REF!</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Donnee_Congel!$B$1</c:f>
              <c:strCache>
                <c:ptCount val="1"/>
                <c:pt idx="0">
                  <c:v>Connecteur 1</c:v>
                </c:pt>
              </c:strCache>
            </c:strRef>
          </c:tx>
          <c:spPr>
            <a:ln w="19050" cap="rnd">
              <a:solidFill>
                <a:schemeClr val="accent1"/>
              </a:solidFill>
              <a:round/>
            </a:ln>
            <a:effectLst/>
          </c:spPr>
          <c:marker>
            <c:symbol val="none"/>
          </c:marker>
          <c:xVal>
            <c:numRef>
              <c:f>Donnee_Congel!$A$2</c:f>
              <c:numCache>
                <c:formatCode>m/d/yyyy\ h:mm</c:formatCode>
                <c:ptCount val="1"/>
              </c:numCache>
            </c:numRef>
          </c:xVal>
          <c:yVal>
            <c:numRef>
              <c:f>Donnee_Congel!$B$2</c:f>
              <c:numCache>
                <c:formatCode>General</c:formatCode>
                <c:ptCount val="1"/>
              </c:numCache>
            </c:numRef>
          </c:yVal>
          <c:smooth val="0"/>
          <c:extLst>
            <c:ext xmlns:c16="http://schemas.microsoft.com/office/drawing/2014/chart" uri="{C3380CC4-5D6E-409C-BE32-E72D297353CC}">
              <c16:uniqueId val="{00000000-676D-44BF-88FD-4A017FB347E2}"/>
            </c:ext>
          </c:extLst>
        </c:ser>
        <c:ser>
          <c:idx val="1"/>
          <c:order val="1"/>
          <c:tx>
            <c:strRef>
              <c:f>Donnee_Congel!$C$1</c:f>
              <c:strCache>
                <c:ptCount val="1"/>
                <c:pt idx="0">
                  <c:v>Connecteur 2</c:v>
                </c:pt>
              </c:strCache>
            </c:strRef>
          </c:tx>
          <c:spPr>
            <a:ln w="19050" cap="rnd">
              <a:solidFill>
                <a:schemeClr val="accent2"/>
              </a:solidFill>
              <a:round/>
            </a:ln>
            <a:effectLst/>
          </c:spPr>
          <c:marker>
            <c:symbol val="none"/>
          </c:marker>
          <c:xVal>
            <c:numRef>
              <c:f>Donnee_Congel!$A$2</c:f>
              <c:numCache>
                <c:formatCode>m/d/yyyy\ h:mm</c:formatCode>
                <c:ptCount val="1"/>
              </c:numCache>
            </c:numRef>
          </c:xVal>
          <c:yVal>
            <c:numRef>
              <c:f>Donnee_Congel!$C$2</c:f>
              <c:numCache>
                <c:formatCode>General</c:formatCode>
                <c:ptCount val="1"/>
              </c:numCache>
            </c:numRef>
          </c:yVal>
          <c:smooth val="0"/>
          <c:extLst>
            <c:ext xmlns:c16="http://schemas.microsoft.com/office/drawing/2014/chart" uri="{C3380CC4-5D6E-409C-BE32-E72D297353CC}">
              <c16:uniqueId val="{00000001-676D-44BF-88FD-4A017FB347E2}"/>
            </c:ext>
          </c:extLst>
        </c:ser>
        <c:ser>
          <c:idx val="2"/>
          <c:order val="2"/>
          <c:tx>
            <c:strRef>
              <c:f>Donnee_Congel!$D$1</c:f>
              <c:strCache>
                <c:ptCount val="1"/>
                <c:pt idx="0">
                  <c:v>Connecteur 3</c:v>
                </c:pt>
              </c:strCache>
            </c:strRef>
          </c:tx>
          <c:spPr>
            <a:ln w="19050" cap="rnd">
              <a:solidFill>
                <a:schemeClr val="accent3"/>
              </a:solidFill>
              <a:round/>
            </a:ln>
            <a:effectLst/>
          </c:spPr>
          <c:marker>
            <c:symbol val="none"/>
          </c:marker>
          <c:xVal>
            <c:numRef>
              <c:f>Donnee_Congel!$A$2</c:f>
              <c:numCache>
                <c:formatCode>m/d/yyyy\ h:mm</c:formatCode>
                <c:ptCount val="1"/>
              </c:numCache>
            </c:numRef>
          </c:xVal>
          <c:yVal>
            <c:numRef>
              <c:f>Donnee_Congel!$D$2</c:f>
              <c:numCache>
                <c:formatCode>General</c:formatCode>
                <c:ptCount val="1"/>
              </c:numCache>
            </c:numRef>
          </c:yVal>
          <c:smooth val="0"/>
          <c:extLst>
            <c:ext xmlns:c16="http://schemas.microsoft.com/office/drawing/2014/chart" uri="{C3380CC4-5D6E-409C-BE32-E72D297353CC}">
              <c16:uniqueId val="{00000002-676D-44BF-88FD-4A017FB347E2}"/>
            </c:ext>
          </c:extLst>
        </c:ser>
        <c:ser>
          <c:idx val="3"/>
          <c:order val="3"/>
          <c:tx>
            <c:strRef>
              <c:f>Donnee_Congel!$E$1</c:f>
              <c:strCache>
                <c:ptCount val="1"/>
                <c:pt idx="0">
                  <c:v>Connecteur 4</c:v>
                </c:pt>
              </c:strCache>
            </c:strRef>
          </c:tx>
          <c:spPr>
            <a:ln w="19050" cap="rnd">
              <a:solidFill>
                <a:schemeClr val="accent4"/>
              </a:solidFill>
              <a:round/>
            </a:ln>
            <a:effectLst/>
          </c:spPr>
          <c:marker>
            <c:symbol val="none"/>
          </c:marker>
          <c:xVal>
            <c:numRef>
              <c:f>Donnee_Congel!$A$2</c:f>
              <c:numCache>
                <c:formatCode>m/d/yyyy\ h:mm</c:formatCode>
                <c:ptCount val="1"/>
              </c:numCache>
            </c:numRef>
          </c:xVal>
          <c:yVal>
            <c:numRef>
              <c:f>Donnee_Congel!$E$2</c:f>
              <c:numCache>
                <c:formatCode>General</c:formatCode>
                <c:ptCount val="1"/>
              </c:numCache>
            </c:numRef>
          </c:yVal>
          <c:smooth val="0"/>
          <c:extLst>
            <c:ext xmlns:c16="http://schemas.microsoft.com/office/drawing/2014/chart" uri="{C3380CC4-5D6E-409C-BE32-E72D297353CC}">
              <c16:uniqueId val="{00000003-676D-44BF-88FD-4A017FB347E2}"/>
            </c:ext>
          </c:extLst>
        </c:ser>
        <c:ser>
          <c:idx val="4"/>
          <c:order val="4"/>
          <c:tx>
            <c:strRef>
              <c:f>Donnee_Congel!$F$1</c:f>
              <c:strCache>
                <c:ptCount val="1"/>
                <c:pt idx="0">
                  <c:v>Connecteur 5</c:v>
                </c:pt>
              </c:strCache>
            </c:strRef>
          </c:tx>
          <c:spPr>
            <a:ln w="19050" cap="rnd">
              <a:solidFill>
                <a:schemeClr val="accent5"/>
              </a:solidFill>
              <a:round/>
            </a:ln>
            <a:effectLst/>
          </c:spPr>
          <c:marker>
            <c:symbol val="none"/>
          </c:marker>
          <c:xVal>
            <c:numRef>
              <c:f>Donnee_Congel!$A$2</c:f>
              <c:numCache>
                <c:formatCode>m/d/yyyy\ h:mm</c:formatCode>
                <c:ptCount val="1"/>
              </c:numCache>
            </c:numRef>
          </c:xVal>
          <c:yVal>
            <c:numRef>
              <c:f>Donnee_Congel!$F$2</c:f>
              <c:numCache>
                <c:formatCode>General</c:formatCode>
                <c:ptCount val="1"/>
              </c:numCache>
            </c:numRef>
          </c:yVal>
          <c:smooth val="0"/>
          <c:extLst>
            <c:ext xmlns:c16="http://schemas.microsoft.com/office/drawing/2014/chart" uri="{C3380CC4-5D6E-409C-BE32-E72D297353CC}">
              <c16:uniqueId val="{00000004-676D-44BF-88FD-4A017FB347E2}"/>
            </c:ext>
          </c:extLst>
        </c:ser>
        <c:ser>
          <c:idx val="5"/>
          <c:order val="5"/>
          <c:tx>
            <c:strRef>
              <c:f>Donnee_Congel!$G$1</c:f>
              <c:strCache>
                <c:ptCount val="1"/>
                <c:pt idx="0">
                  <c:v>Connecteur 6</c:v>
                </c:pt>
              </c:strCache>
            </c:strRef>
          </c:tx>
          <c:spPr>
            <a:ln w="19050" cap="rnd">
              <a:solidFill>
                <a:schemeClr val="accent6"/>
              </a:solidFill>
              <a:round/>
            </a:ln>
            <a:effectLst/>
          </c:spPr>
          <c:marker>
            <c:symbol val="none"/>
          </c:marker>
          <c:xVal>
            <c:numRef>
              <c:f>Donnee_Congel!$A$2</c:f>
              <c:numCache>
                <c:formatCode>m/d/yyyy\ h:mm</c:formatCode>
                <c:ptCount val="1"/>
              </c:numCache>
            </c:numRef>
          </c:xVal>
          <c:yVal>
            <c:numRef>
              <c:f>Donnee_Congel!$G$2</c:f>
              <c:numCache>
                <c:formatCode>General</c:formatCode>
                <c:ptCount val="1"/>
              </c:numCache>
            </c:numRef>
          </c:yVal>
          <c:smooth val="0"/>
          <c:extLst>
            <c:ext xmlns:c16="http://schemas.microsoft.com/office/drawing/2014/chart" uri="{C3380CC4-5D6E-409C-BE32-E72D297353CC}">
              <c16:uniqueId val="{00000005-676D-44BF-88FD-4A017FB347E2}"/>
            </c:ext>
          </c:extLst>
        </c:ser>
        <c:ser>
          <c:idx val="6"/>
          <c:order val="6"/>
          <c:tx>
            <c:strRef>
              <c:f>Donnee_Congel!$H$1</c:f>
              <c:strCache>
                <c:ptCount val="1"/>
                <c:pt idx="0">
                  <c:v>Connecteur 7</c:v>
                </c:pt>
              </c:strCache>
            </c:strRef>
          </c:tx>
          <c:spPr>
            <a:ln w="19050" cap="rnd">
              <a:solidFill>
                <a:schemeClr val="accent1">
                  <a:lumMod val="60000"/>
                </a:schemeClr>
              </a:solidFill>
              <a:round/>
            </a:ln>
            <a:effectLst/>
          </c:spPr>
          <c:marker>
            <c:symbol val="none"/>
          </c:marker>
          <c:xVal>
            <c:numRef>
              <c:f>Donnee_Congel!$A$2</c:f>
              <c:numCache>
                <c:formatCode>m/d/yyyy\ h:mm</c:formatCode>
                <c:ptCount val="1"/>
              </c:numCache>
            </c:numRef>
          </c:xVal>
          <c:yVal>
            <c:numRef>
              <c:f>Donnee_Congel!$H$2</c:f>
              <c:numCache>
                <c:formatCode>General</c:formatCode>
                <c:ptCount val="1"/>
              </c:numCache>
            </c:numRef>
          </c:yVal>
          <c:smooth val="0"/>
          <c:extLst>
            <c:ext xmlns:c16="http://schemas.microsoft.com/office/drawing/2014/chart" uri="{C3380CC4-5D6E-409C-BE32-E72D297353CC}">
              <c16:uniqueId val="{00000006-676D-44BF-88FD-4A017FB347E2}"/>
            </c:ext>
          </c:extLst>
        </c:ser>
        <c:ser>
          <c:idx val="7"/>
          <c:order val="7"/>
          <c:tx>
            <c:strRef>
              <c:f>Donnee_Congel!$I$1</c:f>
              <c:strCache>
                <c:ptCount val="1"/>
                <c:pt idx="0">
                  <c:v>Connecteur 8</c:v>
                </c:pt>
              </c:strCache>
            </c:strRef>
          </c:tx>
          <c:spPr>
            <a:ln w="19050" cap="rnd">
              <a:solidFill>
                <a:schemeClr val="accent2">
                  <a:lumMod val="60000"/>
                </a:schemeClr>
              </a:solidFill>
              <a:round/>
            </a:ln>
            <a:effectLst/>
          </c:spPr>
          <c:marker>
            <c:symbol val="none"/>
          </c:marker>
          <c:xVal>
            <c:numRef>
              <c:f>Donnee_Congel!$A$2</c:f>
              <c:numCache>
                <c:formatCode>m/d/yyyy\ h:mm</c:formatCode>
                <c:ptCount val="1"/>
              </c:numCache>
            </c:numRef>
          </c:xVal>
          <c:yVal>
            <c:numRef>
              <c:f>Donnee_Congel!$I$2</c:f>
              <c:numCache>
                <c:formatCode>General</c:formatCode>
                <c:ptCount val="1"/>
              </c:numCache>
            </c:numRef>
          </c:yVal>
          <c:smooth val="0"/>
          <c:extLst>
            <c:ext xmlns:c16="http://schemas.microsoft.com/office/drawing/2014/chart" uri="{C3380CC4-5D6E-409C-BE32-E72D297353CC}">
              <c16:uniqueId val="{00000007-676D-44BF-88FD-4A017FB347E2}"/>
            </c:ext>
          </c:extLst>
        </c:ser>
        <c:ser>
          <c:idx val="8"/>
          <c:order val="8"/>
          <c:tx>
            <c:strRef>
              <c:f>Donnee_Congel!$J$1</c:f>
              <c:strCache>
                <c:ptCount val="1"/>
                <c:pt idx="0">
                  <c:v>Connecteur 9</c:v>
                </c:pt>
              </c:strCache>
            </c:strRef>
          </c:tx>
          <c:spPr>
            <a:ln w="19050" cap="rnd">
              <a:solidFill>
                <a:schemeClr val="accent3">
                  <a:lumMod val="60000"/>
                </a:schemeClr>
              </a:solidFill>
              <a:round/>
            </a:ln>
            <a:effectLst/>
          </c:spPr>
          <c:marker>
            <c:symbol val="none"/>
          </c:marker>
          <c:xVal>
            <c:numRef>
              <c:f>Donnee_Congel!$A$2</c:f>
              <c:numCache>
                <c:formatCode>m/d/yyyy\ h:mm</c:formatCode>
                <c:ptCount val="1"/>
              </c:numCache>
            </c:numRef>
          </c:xVal>
          <c:yVal>
            <c:numRef>
              <c:f>Donnee_Congel!$J$2</c:f>
              <c:numCache>
                <c:formatCode>General</c:formatCode>
                <c:ptCount val="1"/>
              </c:numCache>
            </c:numRef>
          </c:yVal>
          <c:smooth val="0"/>
          <c:extLst>
            <c:ext xmlns:c16="http://schemas.microsoft.com/office/drawing/2014/chart" uri="{C3380CC4-5D6E-409C-BE32-E72D297353CC}">
              <c16:uniqueId val="{00000008-676D-44BF-88FD-4A017FB347E2}"/>
            </c:ext>
          </c:extLst>
        </c:ser>
        <c:ser>
          <c:idx val="9"/>
          <c:order val="9"/>
          <c:tx>
            <c:strRef>
              <c:f>Donnee_Congel!$K$1</c:f>
              <c:strCache>
                <c:ptCount val="1"/>
                <c:pt idx="0">
                  <c:v>Connecteur 10</c:v>
                </c:pt>
              </c:strCache>
            </c:strRef>
          </c:tx>
          <c:spPr>
            <a:ln w="19050" cap="rnd">
              <a:solidFill>
                <a:schemeClr val="accent4">
                  <a:lumMod val="60000"/>
                </a:schemeClr>
              </a:solidFill>
              <a:round/>
            </a:ln>
            <a:effectLst/>
          </c:spPr>
          <c:marker>
            <c:symbol val="none"/>
          </c:marker>
          <c:xVal>
            <c:numRef>
              <c:f>Donnee_Congel!$A$2</c:f>
              <c:numCache>
                <c:formatCode>m/d/yyyy\ h:mm</c:formatCode>
                <c:ptCount val="1"/>
              </c:numCache>
            </c:numRef>
          </c:xVal>
          <c:yVal>
            <c:numRef>
              <c:f>Donnee_Congel!$K$2</c:f>
              <c:numCache>
                <c:formatCode>General</c:formatCode>
                <c:ptCount val="1"/>
              </c:numCache>
            </c:numRef>
          </c:yVal>
          <c:smooth val="0"/>
          <c:extLst>
            <c:ext xmlns:c16="http://schemas.microsoft.com/office/drawing/2014/chart" uri="{C3380CC4-5D6E-409C-BE32-E72D297353CC}">
              <c16:uniqueId val="{00000009-676D-44BF-88FD-4A017FB347E2}"/>
            </c:ext>
          </c:extLst>
        </c:ser>
        <c:ser>
          <c:idx val="10"/>
          <c:order val="10"/>
          <c:tx>
            <c:strRef>
              <c:f>Donnee_Congel!$L$1</c:f>
              <c:strCache>
                <c:ptCount val="1"/>
                <c:pt idx="0">
                  <c:v>Connecteur 11</c:v>
                </c:pt>
              </c:strCache>
            </c:strRef>
          </c:tx>
          <c:spPr>
            <a:ln w="19050" cap="rnd">
              <a:solidFill>
                <a:schemeClr val="accent5">
                  <a:lumMod val="60000"/>
                </a:schemeClr>
              </a:solidFill>
              <a:round/>
            </a:ln>
            <a:effectLst/>
          </c:spPr>
          <c:marker>
            <c:symbol val="none"/>
          </c:marker>
          <c:xVal>
            <c:numRef>
              <c:f>Donnee_Congel!$A$2</c:f>
              <c:numCache>
                <c:formatCode>m/d/yyyy\ h:mm</c:formatCode>
                <c:ptCount val="1"/>
              </c:numCache>
            </c:numRef>
          </c:xVal>
          <c:yVal>
            <c:numRef>
              <c:f>Donnee_Congel!$L$2</c:f>
              <c:numCache>
                <c:formatCode>General</c:formatCode>
                <c:ptCount val="1"/>
              </c:numCache>
            </c:numRef>
          </c:yVal>
          <c:smooth val="0"/>
          <c:extLst>
            <c:ext xmlns:c16="http://schemas.microsoft.com/office/drawing/2014/chart" uri="{C3380CC4-5D6E-409C-BE32-E72D297353CC}">
              <c16:uniqueId val="{0000000A-676D-44BF-88FD-4A017FB347E2}"/>
            </c:ext>
          </c:extLst>
        </c:ser>
        <c:ser>
          <c:idx val="11"/>
          <c:order val="11"/>
          <c:tx>
            <c:strRef>
              <c:f>Donnee_Congel!#REF!</c:f>
              <c:strCache>
                <c:ptCount val="1"/>
                <c:pt idx="0">
                  <c:v>Colonne13</c:v>
                </c:pt>
              </c:strCache>
            </c:strRef>
          </c:tx>
          <c:spPr>
            <a:ln w="19050" cap="rnd">
              <a:solidFill>
                <a:schemeClr val="accent6">
                  <a:lumMod val="60000"/>
                </a:schemeClr>
              </a:solidFill>
              <a:round/>
            </a:ln>
            <a:effectLst/>
          </c:spPr>
          <c:marker>
            <c:symbol val="none"/>
          </c:marker>
          <c:xVal>
            <c:numRef>
              <c:f>Donnee_Congel!$A$2</c:f>
              <c:numCache>
                <c:formatCode>m/d/yyyy\ h:mm</c:formatCode>
                <c:ptCount val="1"/>
              </c:numCache>
            </c:numRef>
          </c:xVal>
          <c:yVal>
            <c:numRef>
              <c:f>Donnee_Congel!#REF!</c:f>
              <c:numCache>
                <c:formatCode>General</c:formatCode>
                <c:ptCount val="1"/>
              </c:numCache>
            </c:numRef>
          </c:yVal>
          <c:smooth val="0"/>
          <c:extLst>
            <c:ext xmlns:c16="http://schemas.microsoft.com/office/drawing/2014/chart" uri="{C3380CC4-5D6E-409C-BE32-E72D297353CC}">
              <c16:uniqueId val="{0000000B-676D-44BF-88FD-4A017FB347E2}"/>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pour la 1ère consigne</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pour la deuxième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pour la troisième consigne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Donnee_Omia_1!$B$1</c:f>
              <c:strCache>
                <c:ptCount val="1"/>
                <c:pt idx="0">
                  <c:v>Connecteur 1</c:v>
                </c:pt>
              </c:strCache>
            </c:strRef>
          </c:tx>
          <c:spPr>
            <a:ln w="19050" cap="rnd">
              <a:solidFill>
                <a:schemeClr val="accent1"/>
              </a:solidFill>
              <a:round/>
            </a:ln>
            <a:effectLst/>
          </c:spPr>
          <c:marker>
            <c:symbol val="none"/>
          </c:marker>
          <c:xVal>
            <c:numRef>
              <c:f>Donnee_Omia_1!$A$2</c:f>
              <c:numCache>
                <c:formatCode>m/d/yyyy\ h:mm</c:formatCode>
                <c:ptCount val="1"/>
              </c:numCache>
            </c:numRef>
          </c:xVal>
          <c:yVal>
            <c:numRef>
              <c:f>Donnee_Omia_1!$B$2</c:f>
              <c:numCache>
                <c:formatCode>General</c:formatCode>
                <c:ptCount val="1"/>
              </c:numCache>
            </c:numRef>
          </c:yVal>
          <c:smooth val="0"/>
          <c:extLst>
            <c:ext xmlns:c16="http://schemas.microsoft.com/office/drawing/2014/chart" uri="{C3380CC4-5D6E-409C-BE32-E72D297353CC}">
              <c16:uniqueId val="{00000000-B0B1-4087-B444-217C140CB1B7}"/>
            </c:ext>
          </c:extLst>
        </c:ser>
        <c:ser>
          <c:idx val="1"/>
          <c:order val="1"/>
          <c:tx>
            <c:strRef>
              <c:f>Donnee_Omia_1!$C$1</c:f>
              <c:strCache>
                <c:ptCount val="1"/>
                <c:pt idx="0">
                  <c:v>Connecteur 2</c:v>
                </c:pt>
              </c:strCache>
            </c:strRef>
          </c:tx>
          <c:spPr>
            <a:ln w="19050" cap="rnd">
              <a:solidFill>
                <a:schemeClr val="accent2"/>
              </a:solidFill>
              <a:round/>
            </a:ln>
            <a:effectLst/>
          </c:spPr>
          <c:marker>
            <c:symbol val="none"/>
          </c:marker>
          <c:xVal>
            <c:numRef>
              <c:f>Donnee_Omia_1!$A$2</c:f>
              <c:numCache>
                <c:formatCode>m/d/yyyy\ h:mm</c:formatCode>
                <c:ptCount val="1"/>
              </c:numCache>
            </c:numRef>
          </c:xVal>
          <c:yVal>
            <c:numRef>
              <c:f>Donnee_Omia_1!$C$2</c:f>
              <c:numCache>
                <c:formatCode>General</c:formatCode>
                <c:ptCount val="1"/>
              </c:numCache>
            </c:numRef>
          </c:yVal>
          <c:smooth val="0"/>
          <c:extLst>
            <c:ext xmlns:c16="http://schemas.microsoft.com/office/drawing/2014/chart" uri="{C3380CC4-5D6E-409C-BE32-E72D297353CC}">
              <c16:uniqueId val="{00000001-B0B1-4087-B444-217C140CB1B7}"/>
            </c:ext>
          </c:extLst>
        </c:ser>
        <c:ser>
          <c:idx val="2"/>
          <c:order val="2"/>
          <c:tx>
            <c:strRef>
              <c:f>Donnee_Omia_1!$D$1</c:f>
              <c:strCache>
                <c:ptCount val="1"/>
                <c:pt idx="0">
                  <c:v>Connecteur 3</c:v>
                </c:pt>
              </c:strCache>
            </c:strRef>
          </c:tx>
          <c:spPr>
            <a:ln w="19050" cap="rnd">
              <a:solidFill>
                <a:schemeClr val="accent3"/>
              </a:solidFill>
              <a:round/>
            </a:ln>
            <a:effectLst/>
          </c:spPr>
          <c:marker>
            <c:symbol val="none"/>
          </c:marker>
          <c:xVal>
            <c:numRef>
              <c:f>Donnee_Omia_1!$A$2</c:f>
              <c:numCache>
                <c:formatCode>m/d/yyyy\ h:mm</c:formatCode>
                <c:ptCount val="1"/>
              </c:numCache>
            </c:numRef>
          </c:xVal>
          <c:yVal>
            <c:numRef>
              <c:f>Donnee_Omia_1!$D$2</c:f>
              <c:numCache>
                <c:formatCode>General</c:formatCode>
                <c:ptCount val="1"/>
              </c:numCache>
            </c:numRef>
          </c:yVal>
          <c:smooth val="0"/>
          <c:extLst>
            <c:ext xmlns:c16="http://schemas.microsoft.com/office/drawing/2014/chart" uri="{C3380CC4-5D6E-409C-BE32-E72D297353CC}">
              <c16:uniqueId val="{00000002-B0B1-4087-B444-217C140CB1B7}"/>
            </c:ext>
          </c:extLst>
        </c:ser>
        <c:ser>
          <c:idx val="3"/>
          <c:order val="3"/>
          <c:tx>
            <c:strRef>
              <c:f>Donnee_Omia_1!$E$1</c:f>
              <c:strCache>
                <c:ptCount val="1"/>
                <c:pt idx="0">
                  <c:v>Connecteur 4</c:v>
                </c:pt>
              </c:strCache>
            </c:strRef>
          </c:tx>
          <c:spPr>
            <a:ln w="19050" cap="rnd">
              <a:solidFill>
                <a:schemeClr val="accent4"/>
              </a:solidFill>
              <a:round/>
            </a:ln>
            <a:effectLst/>
          </c:spPr>
          <c:marker>
            <c:symbol val="none"/>
          </c:marker>
          <c:xVal>
            <c:numRef>
              <c:f>Donnee_Omia_1!$A$2</c:f>
              <c:numCache>
                <c:formatCode>m/d/yyyy\ h:mm</c:formatCode>
                <c:ptCount val="1"/>
              </c:numCache>
            </c:numRef>
          </c:xVal>
          <c:yVal>
            <c:numRef>
              <c:f>Donnee_Omia_1!$E$2</c:f>
              <c:numCache>
                <c:formatCode>General</c:formatCode>
                <c:ptCount val="1"/>
              </c:numCache>
            </c:numRef>
          </c:yVal>
          <c:smooth val="0"/>
          <c:extLst>
            <c:ext xmlns:c16="http://schemas.microsoft.com/office/drawing/2014/chart" uri="{C3380CC4-5D6E-409C-BE32-E72D297353CC}">
              <c16:uniqueId val="{00000003-B0B1-4087-B444-217C140CB1B7}"/>
            </c:ext>
          </c:extLst>
        </c:ser>
        <c:ser>
          <c:idx val="4"/>
          <c:order val="4"/>
          <c:tx>
            <c:strRef>
              <c:f>Donnee_Omia_1!$F$1</c:f>
              <c:strCache>
                <c:ptCount val="1"/>
                <c:pt idx="0">
                  <c:v>Connecteur 5</c:v>
                </c:pt>
              </c:strCache>
            </c:strRef>
          </c:tx>
          <c:spPr>
            <a:ln w="19050" cap="rnd">
              <a:solidFill>
                <a:schemeClr val="accent5"/>
              </a:solidFill>
              <a:round/>
            </a:ln>
            <a:effectLst/>
          </c:spPr>
          <c:marker>
            <c:symbol val="none"/>
          </c:marker>
          <c:xVal>
            <c:numRef>
              <c:f>Donnee_Omia_1!$A$2</c:f>
              <c:numCache>
                <c:formatCode>m/d/yyyy\ h:mm</c:formatCode>
                <c:ptCount val="1"/>
              </c:numCache>
            </c:numRef>
          </c:xVal>
          <c:yVal>
            <c:numRef>
              <c:f>Donnee_Omia_1!$F$2</c:f>
              <c:numCache>
                <c:formatCode>General</c:formatCode>
                <c:ptCount val="1"/>
              </c:numCache>
            </c:numRef>
          </c:yVal>
          <c:smooth val="0"/>
          <c:extLst>
            <c:ext xmlns:c16="http://schemas.microsoft.com/office/drawing/2014/chart" uri="{C3380CC4-5D6E-409C-BE32-E72D297353CC}">
              <c16:uniqueId val="{00000004-B0B1-4087-B444-217C140CB1B7}"/>
            </c:ext>
          </c:extLst>
        </c:ser>
        <c:ser>
          <c:idx val="5"/>
          <c:order val="5"/>
          <c:tx>
            <c:strRef>
              <c:f>Donnee_Omia_1!$G$1</c:f>
              <c:strCache>
                <c:ptCount val="1"/>
                <c:pt idx="0">
                  <c:v>Connecteur 6</c:v>
                </c:pt>
              </c:strCache>
            </c:strRef>
          </c:tx>
          <c:spPr>
            <a:ln w="19050" cap="rnd">
              <a:solidFill>
                <a:schemeClr val="accent6"/>
              </a:solidFill>
              <a:round/>
            </a:ln>
            <a:effectLst/>
          </c:spPr>
          <c:marker>
            <c:symbol val="none"/>
          </c:marker>
          <c:xVal>
            <c:numRef>
              <c:f>Donnee_Omia_1!$A$2</c:f>
              <c:numCache>
                <c:formatCode>m/d/yyyy\ h:mm</c:formatCode>
                <c:ptCount val="1"/>
              </c:numCache>
            </c:numRef>
          </c:xVal>
          <c:yVal>
            <c:numRef>
              <c:f>Donnee_Omia_1!$G$2</c:f>
              <c:numCache>
                <c:formatCode>General</c:formatCode>
                <c:ptCount val="1"/>
              </c:numCache>
            </c:numRef>
          </c:yVal>
          <c:smooth val="0"/>
          <c:extLst>
            <c:ext xmlns:c16="http://schemas.microsoft.com/office/drawing/2014/chart" uri="{C3380CC4-5D6E-409C-BE32-E72D297353CC}">
              <c16:uniqueId val="{00000005-B0B1-4087-B444-217C140CB1B7}"/>
            </c:ext>
          </c:extLst>
        </c:ser>
        <c:ser>
          <c:idx val="6"/>
          <c:order val="6"/>
          <c:tx>
            <c:strRef>
              <c:f>Donnee_Omia_1!$H$1</c:f>
              <c:strCache>
                <c:ptCount val="1"/>
                <c:pt idx="0">
                  <c:v>Connecteur 7</c:v>
                </c:pt>
              </c:strCache>
            </c:strRef>
          </c:tx>
          <c:spPr>
            <a:ln w="19050" cap="rnd">
              <a:solidFill>
                <a:schemeClr val="accent1">
                  <a:lumMod val="60000"/>
                </a:schemeClr>
              </a:solidFill>
              <a:round/>
            </a:ln>
            <a:effectLst/>
          </c:spPr>
          <c:marker>
            <c:symbol val="none"/>
          </c:marker>
          <c:xVal>
            <c:numRef>
              <c:f>Donnee_Omia_1!$A$2</c:f>
              <c:numCache>
                <c:formatCode>m/d/yyyy\ h:mm</c:formatCode>
                <c:ptCount val="1"/>
              </c:numCache>
            </c:numRef>
          </c:xVal>
          <c:yVal>
            <c:numRef>
              <c:f>Donnee_Omia_1!$H$2</c:f>
              <c:numCache>
                <c:formatCode>General</c:formatCode>
                <c:ptCount val="1"/>
              </c:numCache>
            </c:numRef>
          </c:yVal>
          <c:smooth val="0"/>
          <c:extLst>
            <c:ext xmlns:c16="http://schemas.microsoft.com/office/drawing/2014/chart" uri="{C3380CC4-5D6E-409C-BE32-E72D297353CC}">
              <c16:uniqueId val="{00000006-B0B1-4087-B444-217C140CB1B7}"/>
            </c:ext>
          </c:extLst>
        </c:ser>
        <c:ser>
          <c:idx val="7"/>
          <c:order val="7"/>
          <c:tx>
            <c:strRef>
              <c:f>Donnee_Omia_1!$I$1</c:f>
              <c:strCache>
                <c:ptCount val="1"/>
                <c:pt idx="0">
                  <c:v>Connecteur 8</c:v>
                </c:pt>
              </c:strCache>
            </c:strRef>
          </c:tx>
          <c:spPr>
            <a:ln w="19050" cap="rnd">
              <a:solidFill>
                <a:schemeClr val="accent2">
                  <a:lumMod val="60000"/>
                </a:schemeClr>
              </a:solidFill>
              <a:round/>
            </a:ln>
            <a:effectLst/>
          </c:spPr>
          <c:marker>
            <c:symbol val="none"/>
          </c:marker>
          <c:xVal>
            <c:numRef>
              <c:f>Donnee_Omia_1!$A$2</c:f>
              <c:numCache>
                <c:formatCode>m/d/yyyy\ h:mm</c:formatCode>
                <c:ptCount val="1"/>
              </c:numCache>
            </c:numRef>
          </c:xVal>
          <c:yVal>
            <c:numRef>
              <c:f>Donnee_Omia_1!$I$2</c:f>
              <c:numCache>
                <c:formatCode>General</c:formatCode>
                <c:ptCount val="1"/>
              </c:numCache>
            </c:numRef>
          </c:yVal>
          <c:smooth val="0"/>
          <c:extLst>
            <c:ext xmlns:c16="http://schemas.microsoft.com/office/drawing/2014/chart" uri="{C3380CC4-5D6E-409C-BE32-E72D297353CC}">
              <c16:uniqueId val="{00000007-B0B1-4087-B444-217C140CB1B7}"/>
            </c:ext>
          </c:extLst>
        </c:ser>
        <c:ser>
          <c:idx val="8"/>
          <c:order val="8"/>
          <c:tx>
            <c:strRef>
              <c:f>Donnee_Omia_1!$J$1</c:f>
              <c:strCache>
                <c:ptCount val="1"/>
                <c:pt idx="0">
                  <c:v>Connecteur 9</c:v>
                </c:pt>
              </c:strCache>
            </c:strRef>
          </c:tx>
          <c:spPr>
            <a:ln w="19050" cap="rnd">
              <a:solidFill>
                <a:schemeClr val="accent3">
                  <a:lumMod val="60000"/>
                </a:schemeClr>
              </a:solidFill>
              <a:round/>
            </a:ln>
            <a:effectLst/>
          </c:spPr>
          <c:marker>
            <c:symbol val="none"/>
          </c:marker>
          <c:xVal>
            <c:numRef>
              <c:f>Donnee_Omia_1!$A$2</c:f>
              <c:numCache>
                <c:formatCode>m/d/yyyy\ h:mm</c:formatCode>
                <c:ptCount val="1"/>
              </c:numCache>
            </c:numRef>
          </c:xVal>
          <c:yVal>
            <c:numRef>
              <c:f>Donnee_Omia_1!$J$2</c:f>
              <c:numCache>
                <c:formatCode>General</c:formatCode>
                <c:ptCount val="1"/>
              </c:numCache>
            </c:numRef>
          </c:yVal>
          <c:smooth val="0"/>
          <c:extLst>
            <c:ext xmlns:c16="http://schemas.microsoft.com/office/drawing/2014/chart" uri="{C3380CC4-5D6E-409C-BE32-E72D297353CC}">
              <c16:uniqueId val="{00000008-B0B1-4087-B444-217C140CB1B7}"/>
            </c:ext>
          </c:extLst>
        </c:ser>
        <c:ser>
          <c:idx val="9"/>
          <c:order val="9"/>
          <c:tx>
            <c:strRef>
              <c:f>Donnee_Omia_1!$K$1</c:f>
              <c:strCache>
                <c:ptCount val="1"/>
                <c:pt idx="0">
                  <c:v>Connecteur 10</c:v>
                </c:pt>
              </c:strCache>
            </c:strRef>
          </c:tx>
          <c:spPr>
            <a:ln w="19050" cap="rnd">
              <a:solidFill>
                <a:schemeClr val="accent4">
                  <a:lumMod val="60000"/>
                </a:schemeClr>
              </a:solidFill>
              <a:round/>
            </a:ln>
            <a:effectLst/>
          </c:spPr>
          <c:marker>
            <c:symbol val="none"/>
          </c:marker>
          <c:xVal>
            <c:numRef>
              <c:f>Donnee_Omia_1!$A$2</c:f>
              <c:numCache>
                <c:formatCode>m/d/yyyy\ h:mm</c:formatCode>
                <c:ptCount val="1"/>
              </c:numCache>
            </c:numRef>
          </c:xVal>
          <c:yVal>
            <c:numRef>
              <c:f>Donnee_Omia_1!$K$2</c:f>
              <c:numCache>
                <c:formatCode>General</c:formatCode>
                <c:ptCount val="1"/>
              </c:numCache>
            </c:numRef>
          </c:yVal>
          <c:smooth val="0"/>
          <c:extLst>
            <c:ext xmlns:c16="http://schemas.microsoft.com/office/drawing/2014/chart" uri="{C3380CC4-5D6E-409C-BE32-E72D297353CC}">
              <c16:uniqueId val="{00000009-B0B1-4087-B444-217C140CB1B7}"/>
            </c:ext>
          </c:extLst>
        </c:ser>
        <c:ser>
          <c:idx val="10"/>
          <c:order val="10"/>
          <c:tx>
            <c:strRef>
              <c:f>Donnee_Omia_1!$L$1</c:f>
              <c:strCache>
                <c:ptCount val="1"/>
                <c:pt idx="0">
                  <c:v>Connecteur 11</c:v>
                </c:pt>
              </c:strCache>
            </c:strRef>
          </c:tx>
          <c:spPr>
            <a:ln w="19050" cap="rnd">
              <a:solidFill>
                <a:schemeClr val="accent5">
                  <a:lumMod val="60000"/>
                </a:schemeClr>
              </a:solidFill>
              <a:round/>
            </a:ln>
            <a:effectLst/>
          </c:spPr>
          <c:marker>
            <c:symbol val="none"/>
          </c:marker>
          <c:xVal>
            <c:numRef>
              <c:f>Donnee_Omia_1!$A$2</c:f>
              <c:numCache>
                <c:formatCode>m/d/yyyy\ h:mm</c:formatCode>
                <c:ptCount val="1"/>
              </c:numCache>
            </c:numRef>
          </c:xVal>
          <c:yVal>
            <c:numRef>
              <c:f>Donnee_Omia_1!$L$2</c:f>
              <c:numCache>
                <c:formatCode>General</c:formatCode>
                <c:ptCount val="1"/>
              </c:numCache>
            </c:numRef>
          </c:yVal>
          <c:smooth val="0"/>
          <c:extLst>
            <c:ext xmlns:c16="http://schemas.microsoft.com/office/drawing/2014/chart" uri="{C3380CC4-5D6E-409C-BE32-E72D297353CC}">
              <c16:uniqueId val="{0000000A-B0B1-4087-B444-217C140CB1B7}"/>
            </c:ext>
          </c:extLst>
        </c:ser>
        <c:ser>
          <c:idx val="11"/>
          <c:order val="11"/>
          <c:tx>
            <c:strRef>
              <c:f>Donnee_Omia_1!$M$1</c:f>
              <c:strCache>
                <c:ptCount val="1"/>
                <c:pt idx="0">
                  <c:v>Connecteur 12</c:v>
                </c:pt>
              </c:strCache>
            </c:strRef>
          </c:tx>
          <c:spPr>
            <a:ln w="19050" cap="rnd">
              <a:solidFill>
                <a:schemeClr val="accent6">
                  <a:lumMod val="60000"/>
                </a:schemeClr>
              </a:solidFill>
              <a:round/>
            </a:ln>
            <a:effectLst/>
          </c:spPr>
          <c:marker>
            <c:symbol val="none"/>
          </c:marker>
          <c:xVal>
            <c:numRef>
              <c:f>Donnee_Omia_1!$A$2</c:f>
              <c:numCache>
                <c:formatCode>m/d/yyyy\ h:mm</c:formatCode>
                <c:ptCount val="1"/>
              </c:numCache>
            </c:numRef>
          </c:xVal>
          <c:yVal>
            <c:numRef>
              <c:f>Donnee_Omia_1!$M$2</c:f>
              <c:numCache>
                <c:formatCode>General</c:formatCode>
                <c:ptCount val="1"/>
              </c:numCache>
            </c:numRef>
          </c:yVal>
          <c:smooth val="0"/>
          <c:extLst>
            <c:ext xmlns:c16="http://schemas.microsoft.com/office/drawing/2014/chart" uri="{C3380CC4-5D6E-409C-BE32-E72D297353CC}">
              <c16:uniqueId val="{0000000B-B0B1-4087-B444-217C140CB1B7}"/>
            </c:ext>
          </c:extLst>
        </c:ser>
        <c:ser>
          <c:idx val="12"/>
          <c:order val="12"/>
          <c:tx>
            <c:strRef>
              <c:f>Donnee_Omia_1!$N$1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Donnee_Omia_1!$A$2</c:f>
              <c:numCache>
                <c:formatCode>m/d/yyyy\ h:mm</c:formatCode>
                <c:ptCount val="1"/>
              </c:numCache>
            </c:numRef>
          </c:xVal>
          <c:yVal>
            <c:numRef>
              <c:f>Donnee_Omia_1!$N$2</c:f>
              <c:numCache>
                <c:formatCode>General</c:formatCode>
                <c:ptCount val="1"/>
              </c:numCache>
            </c:numRef>
          </c:yVal>
          <c:smooth val="0"/>
          <c:extLst>
            <c:ext xmlns:c16="http://schemas.microsoft.com/office/drawing/2014/chart" uri="{C3380CC4-5D6E-409C-BE32-E72D297353CC}">
              <c16:uniqueId val="{0000000C-B0B1-4087-B444-217C140CB1B7}"/>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Donnee_Omia_2!$B$1</c:f>
              <c:strCache>
                <c:ptCount val="1"/>
                <c:pt idx="0">
                  <c:v>Connecteur 1</c:v>
                </c:pt>
              </c:strCache>
            </c:strRef>
          </c:tx>
          <c:spPr>
            <a:ln w="19050" cap="rnd">
              <a:solidFill>
                <a:schemeClr val="accent1"/>
              </a:solidFill>
              <a:round/>
            </a:ln>
            <a:effectLst/>
          </c:spPr>
          <c:marker>
            <c:symbol val="none"/>
          </c:marker>
          <c:xVal>
            <c:numRef>
              <c:f>Donnee_Omia_2!$A$2</c:f>
              <c:numCache>
                <c:formatCode>m/d/yyyy\ h:mm</c:formatCode>
                <c:ptCount val="1"/>
              </c:numCache>
            </c:numRef>
          </c:xVal>
          <c:yVal>
            <c:numRef>
              <c:f>Donnee_Omia_2!$B$2</c:f>
              <c:numCache>
                <c:formatCode>General</c:formatCode>
                <c:ptCount val="1"/>
              </c:numCache>
            </c:numRef>
          </c:yVal>
          <c:smooth val="0"/>
          <c:extLst>
            <c:ext xmlns:c16="http://schemas.microsoft.com/office/drawing/2014/chart" uri="{C3380CC4-5D6E-409C-BE32-E72D297353CC}">
              <c16:uniqueId val="{00000000-7DB5-4C93-B690-B9EF441DA424}"/>
            </c:ext>
          </c:extLst>
        </c:ser>
        <c:ser>
          <c:idx val="1"/>
          <c:order val="1"/>
          <c:tx>
            <c:strRef>
              <c:f>Donnee_Omia_2!$C$1</c:f>
              <c:strCache>
                <c:ptCount val="1"/>
                <c:pt idx="0">
                  <c:v>Connecteur 2</c:v>
                </c:pt>
              </c:strCache>
            </c:strRef>
          </c:tx>
          <c:spPr>
            <a:ln w="19050" cap="rnd">
              <a:solidFill>
                <a:schemeClr val="accent2"/>
              </a:solidFill>
              <a:round/>
            </a:ln>
            <a:effectLst/>
          </c:spPr>
          <c:marker>
            <c:symbol val="none"/>
          </c:marker>
          <c:xVal>
            <c:numRef>
              <c:f>Donnee_Omia_2!$A$2</c:f>
              <c:numCache>
                <c:formatCode>m/d/yyyy\ h:mm</c:formatCode>
                <c:ptCount val="1"/>
              </c:numCache>
            </c:numRef>
          </c:xVal>
          <c:yVal>
            <c:numRef>
              <c:f>Donnee_Omia_2!$C$2</c:f>
              <c:numCache>
                <c:formatCode>General</c:formatCode>
                <c:ptCount val="1"/>
              </c:numCache>
            </c:numRef>
          </c:yVal>
          <c:smooth val="0"/>
          <c:extLst>
            <c:ext xmlns:c16="http://schemas.microsoft.com/office/drawing/2014/chart" uri="{C3380CC4-5D6E-409C-BE32-E72D297353CC}">
              <c16:uniqueId val="{00000001-7DB5-4C93-B690-B9EF441DA424}"/>
            </c:ext>
          </c:extLst>
        </c:ser>
        <c:ser>
          <c:idx val="2"/>
          <c:order val="2"/>
          <c:tx>
            <c:strRef>
              <c:f>Donnee_Omia_2!$D$1</c:f>
              <c:strCache>
                <c:ptCount val="1"/>
                <c:pt idx="0">
                  <c:v>Connecteur 3</c:v>
                </c:pt>
              </c:strCache>
            </c:strRef>
          </c:tx>
          <c:spPr>
            <a:ln w="19050" cap="rnd">
              <a:solidFill>
                <a:schemeClr val="accent3"/>
              </a:solidFill>
              <a:round/>
            </a:ln>
            <a:effectLst/>
          </c:spPr>
          <c:marker>
            <c:symbol val="none"/>
          </c:marker>
          <c:xVal>
            <c:numRef>
              <c:f>Donnee_Omia_2!$A$2</c:f>
              <c:numCache>
                <c:formatCode>m/d/yyyy\ h:mm</c:formatCode>
                <c:ptCount val="1"/>
              </c:numCache>
            </c:numRef>
          </c:xVal>
          <c:yVal>
            <c:numRef>
              <c:f>Donnee_Omia_2!$D$2</c:f>
              <c:numCache>
                <c:formatCode>General</c:formatCode>
                <c:ptCount val="1"/>
              </c:numCache>
            </c:numRef>
          </c:yVal>
          <c:smooth val="0"/>
          <c:extLst>
            <c:ext xmlns:c16="http://schemas.microsoft.com/office/drawing/2014/chart" uri="{C3380CC4-5D6E-409C-BE32-E72D297353CC}">
              <c16:uniqueId val="{00000002-7DB5-4C93-B690-B9EF441DA424}"/>
            </c:ext>
          </c:extLst>
        </c:ser>
        <c:ser>
          <c:idx val="3"/>
          <c:order val="3"/>
          <c:tx>
            <c:strRef>
              <c:f>Donnee_Omia_2!$E$1</c:f>
              <c:strCache>
                <c:ptCount val="1"/>
                <c:pt idx="0">
                  <c:v>Connecteur 4</c:v>
                </c:pt>
              </c:strCache>
            </c:strRef>
          </c:tx>
          <c:spPr>
            <a:ln w="19050" cap="rnd">
              <a:solidFill>
                <a:schemeClr val="accent4"/>
              </a:solidFill>
              <a:round/>
            </a:ln>
            <a:effectLst/>
          </c:spPr>
          <c:marker>
            <c:symbol val="none"/>
          </c:marker>
          <c:xVal>
            <c:numRef>
              <c:f>Donnee_Omia_2!$A$2</c:f>
              <c:numCache>
                <c:formatCode>m/d/yyyy\ h:mm</c:formatCode>
                <c:ptCount val="1"/>
              </c:numCache>
            </c:numRef>
          </c:xVal>
          <c:yVal>
            <c:numRef>
              <c:f>Donnee_Omia_2!$E$2</c:f>
              <c:numCache>
                <c:formatCode>General</c:formatCode>
                <c:ptCount val="1"/>
              </c:numCache>
            </c:numRef>
          </c:yVal>
          <c:smooth val="0"/>
          <c:extLst>
            <c:ext xmlns:c16="http://schemas.microsoft.com/office/drawing/2014/chart" uri="{C3380CC4-5D6E-409C-BE32-E72D297353CC}">
              <c16:uniqueId val="{00000003-7DB5-4C93-B690-B9EF441DA424}"/>
            </c:ext>
          </c:extLst>
        </c:ser>
        <c:ser>
          <c:idx val="4"/>
          <c:order val="4"/>
          <c:tx>
            <c:strRef>
              <c:f>Donnee_Omia_2!$F$1</c:f>
              <c:strCache>
                <c:ptCount val="1"/>
                <c:pt idx="0">
                  <c:v>Connecteur 5</c:v>
                </c:pt>
              </c:strCache>
            </c:strRef>
          </c:tx>
          <c:spPr>
            <a:ln w="19050" cap="rnd">
              <a:solidFill>
                <a:schemeClr val="accent5"/>
              </a:solidFill>
              <a:round/>
            </a:ln>
            <a:effectLst/>
          </c:spPr>
          <c:marker>
            <c:symbol val="none"/>
          </c:marker>
          <c:xVal>
            <c:numRef>
              <c:f>Donnee_Omia_2!$A$2</c:f>
              <c:numCache>
                <c:formatCode>m/d/yyyy\ h:mm</c:formatCode>
                <c:ptCount val="1"/>
              </c:numCache>
            </c:numRef>
          </c:xVal>
          <c:yVal>
            <c:numRef>
              <c:f>Donnee_Omia_2!$F$2</c:f>
              <c:numCache>
                <c:formatCode>General</c:formatCode>
                <c:ptCount val="1"/>
              </c:numCache>
            </c:numRef>
          </c:yVal>
          <c:smooth val="0"/>
          <c:extLst>
            <c:ext xmlns:c16="http://schemas.microsoft.com/office/drawing/2014/chart" uri="{C3380CC4-5D6E-409C-BE32-E72D297353CC}">
              <c16:uniqueId val="{00000004-7DB5-4C93-B690-B9EF441DA424}"/>
            </c:ext>
          </c:extLst>
        </c:ser>
        <c:ser>
          <c:idx val="5"/>
          <c:order val="5"/>
          <c:tx>
            <c:strRef>
              <c:f>Donnee_Omia_2!$G$1</c:f>
              <c:strCache>
                <c:ptCount val="1"/>
                <c:pt idx="0">
                  <c:v>Connecteur 6</c:v>
                </c:pt>
              </c:strCache>
            </c:strRef>
          </c:tx>
          <c:spPr>
            <a:ln w="19050" cap="rnd">
              <a:solidFill>
                <a:schemeClr val="accent6"/>
              </a:solidFill>
              <a:round/>
            </a:ln>
            <a:effectLst/>
          </c:spPr>
          <c:marker>
            <c:symbol val="none"/>
          </c:marker>
          <c:xVal>
            <c:numRef>
              <c:f>Donnee_Omia_2!$A$2</c:f>
              <c:numCache>
                <c:formatCode>m/d/yyyy\ h:mm</c:formatCode>
                <c:ptCount val="1"/>
              </c:numCache>
            </c:numRef>
          </c:xVal>
          <c:yVal>
            <c:numRef>
              <c:f>Donnee_Omia_2!$G$2</c:f>
              <c:numCache>
                <c:formatCode>General</c:formatCode>
                <c:ptCount val="1"/>
              </c:numCache>
            </c:numRef>
          </c:yVal>
          <c:smooth val="0"/>
          <c:extLst>
            <c:ext xmlns:c16="http://schemas.microsoft.com/office/drawing/2014/chart" uri="{C3380CC4-5D6E-409C-BE32-E72D297353CC}">
              <c16:uniqueId val="{00000005-7DB5-4C93-B690-B9EF441DA424}"/>
            </c:ext>
          </c:extLst>
        </c:ser>
        <c:ser>
          <c:idx val="6"/>
          <c:order val="6"/>
          <c:tx>
            <c:strRef>
              <c:f>Donnee_Omia_2!$H$1</c:f>
              <c:strCache>
                <c:ptCount val="1"/>
                <c:pt idx="0">
                  <c:v>Connecteur 7</c:v>
                </c:pt>
              </c:strCache>
            </c:strRef>
          </c:tx>
          <c:spPr>
            <a:ln w="19050" cap="rnd">
              <a:solidFill>
                <a:schemeClr val="accent1">
                  <a:lumMod val="60000"/>
                </a:schemeClr>
              </a:solidFill>
              <a:round/>
            </a:ln>
            <a:effectLst/>
          </c:spPr>
          <c:marker>
            <c:symbol val="none"/>
          </c:marker>
          <c:xVal>
            <c:numRef>
              <c:f>Donnee_Omia_2!$A$2</c:f>
              <c:numCache>
                <c:formatCode>m/d/yyyy\ h:mm</c:formatCode>
                <c:ptCount val="1"/>
              </c:numCache>
            </c:numRef>
          </c:xVal>
          <c:yVal>
            <c:numRef>
              <c:f>Donnee_Omia_2!$H$2</c:f>
              <c:numCache>
                <c:formatCode>General</c:formatCode>
                <c:ptCount val="1"/>
              </c:numCache>
            </c:numRef>
          </c:yVal>
          <c:smooth val="0"/>
          <c:extLst>
            <c:ext xmlns:c16="http://schemas.microsoft.com/office/drawing/2014/chart" uri="{C3380CC4-5D6E-409C-BE32-E72D297353CC}">
              <c16:uniqueId val="{00000006-7DB5-4C93-B690-B9EF441DA424}"/>
            </c:ext>
          </c:extLst>
        </c:ser>
        <c:ser>
          <c:idx val="7"/>
          <c:order val="7"/>
          <c:tx>
            <c:strRef>
              <c:f>Donnee_Omia_2!$I$1</c:f>
              <c:strCache>
                <c:ptCount val="1"/>
                <c:pt idx="0">
                  <c:v>Connecteur 8</c:v>
                </c:pt>
              </c:strCache>
            </c:strRef>
          </c:tx>
          <c:spPr>
            <a:ln w="19050" cap="rnd">
              <a:solidFill>
                <a:schemeClr val="accent2">
                  <a:lumMod val="60000"/>
                </a:schemeClr>
              </a:solidFill>
              <a:round/>
            </a:ln>
            <a:effectLst/>
          </c:spPr>
          <c:marker>
            <c:symbol val="none"/>
          </c:marker>
          <c:xVal>
            <c:numRef>
              <c:f>Donnee_Omia_2!$A$2</c:f>
              <c:numCache>
                <c:formatCode>m/d/yyyy\ h:mm</c:formatCode>
                <c:ptCount val="1"/>
              </c:numCache>
            </c:numRef>
          </c:xVal>
          <c:yVal>
            <c:numRef>
              <c:f>Donnee_Omia_2!$I$2</c:f>
              <c:numCache>
                <c:formatCode>General</c:formatCode>
                <c:ptCount val="1"/>
              </c:numCache>
            </c:numRef>
          </c:yVal>
          <c:smooth val="0"/>
          <c:extLst>
            <c:ext xmlns:c16="http://schemas.microsoft.com/office/drawing/2014/chart" uri="{C3380CC4-5D6E-409C-BE32-E72D297353CC}">
              <c16:uniqueId val="{00000007-7DB5-4C93-B690-B9EF441DA424}"/>
            </c:ext>
          </c:extLst>
        </c:ser>
        <c:ser>
          <c:idx val="8"/>
          <c:order val="8"/>
          <c:tx>
            <c:strRef>
              <c:f>Donnee_Omia_2!$J$1</c:f>
              <c:strCache>
                <c:ptCount val="1"/>
                <c:pt idx="0">
                  <c:v>Connecteur 9</c:v>
                </c:pt>
              </c:strCache>
            </c:strRef>
          </c:tx>
          <c:spPr>
            <a:ln w="19050" cap="rnd">
              <a:solidFill>
                <a:schemeClr val="accent3">
                  <a:lumMod val="60000"/>
                </a:schemeClr>
              </a:solidFill>
              <a:round/>
            </a:ln>
            <a:effectLst/>
          </c:spPr>
          <c:marker>
            <c:symbol val="none"/>
          </c:marker>
          <c:xVal>
            <c:numRef>
              <c:f>Donnee_Omia_2!$A$2</c:f>
              <c:numCache>
                <c:formatCode>m/d/yyyy\ h:mm</c:formatCode>
                <c:ptCount val="1"/>
              </c:numCache>
            </c:numRef>
          </c:xVal>
          <c:yVal>
            <c:numRef>
              <c:f>Donnee_Omia_2!$J$2</c:f>
              <c:numCache>
                <c:formatCode>General</c:formatCode>
                <c:ptCount val="1"/>
              </c:numCache>
            </c:numRef>
          </c:yVal>
          <c:smooth val="0"/>
          <c:extLst>
            <c:ext xmlns:c16="http://schemas.microsoft.com/office/drawing/2014/chart" uri="{C3380CC4-5D6E-409C-BE32-E72D297353CC}">
              <c16:uniqueId val="{00000008-7DB5-4C93-B690-B9EF441DA424}"/>
            </c:ext>
          </c:extLst>
        </c:ser>
        <c:ser>
          <c:idx val="9"/>
          <c:order val="9"/>
          <c:tx>
            <c:strRef>
              <c:f>Donnee_Omia_2!$K$1</c:f>
              <c:strCache>
                <c:ptCount val="1"/>
                <c:pt idx="0">
                  <c:v>Connecteur 10</c:v>
                </c:pt>
              </c:strCache>
            </c:strRef>
          </c:tx>
          <c:spPr>
            <a:ln w="19050" cap="rnd">
              <a:solidFill>
                <a:schemeClr val="accent4">
                  <a:lumMod val="60000"/>
                </a:schemeClr>
              </a:solidFill>
              <a:round/>
            </a:ln>
            <a:effectLst/>
          </c:spPr>
          <c:marker>
            <c:symbol val="none"/>
          </c:marker>
          <c:xVal>
            <c:numRef>
              <c:f>Donnee_Omia_2!$A$2</c:f>
              <c:numCache>
                <c:formatCode>m/d/yyyy\ h:mm</c:formatCode>
                <c:ptCount val="1"/>
              </c:numCache>
            </c:numRef>
          </c:xVal>
          <c:yVal>
            <c:numRef>
              <c:f>Donnee_Omia_2!$K$2</c:f>
              <c:numCache>
                <c:formatCode>General</c:formatCode>
                <c:ptCount val="1"/>
              </c:numCache>
            </c:numRef>
          </c:yVal>
          <c:smooth val="0"/>
          <c:extLst>
            <c:ext xmlns:c16="http://schemas.microsoft.com/office/drawing/2014/chart" uri="{C3380CC4-5D6E-409C-BE32-E72D297353CC}">
              <c16:uniqueId val="{00000009-7DB5-4C93-B690-B9EF441DA424}"/>
            </c:ext>
          </c:extLst>
        </c:ser>
        <c:ser>
          <c:idx val="10"/>
          <c:order val="10"/>
          <c:tx>
            <c:strRef>
              <c:f>Donnee_Omia_2!$L$1</c:f>
              <c:strCache>
                <c:ptCount val="1"/>
                <c:pt idx="0">
                  <c:v>Connecteur 11</c:v>
                </c:pt>
              </c:strCache>
            </c:strRef>
          </c:tx>
          <c:spPr>
            <a:ln w="19050" cap="rnd">
              <a:solidFill>
                <a:schemeClr val="accent5">
                  <a:lumMod val="60000"/>
                </a:schemeClr>
              </a:solidFill>
              <a:round/>
            </a:ln>
            <a:effectLst/>
          </c:spPr>
          <c:marker>
            <c:symbol val="none"/>
          </c:marker>
          <c:xVal>
            <c:numRef>
              <c:f>Donnee_Omia_2!$A$2</c:f>
              <c:numCache>
                <c:formatCode>m/d/yyyy\ h:mm</c:formatCode>
                <c:ptCount val="1"/>
              </c:numCache>
            </c:numRef>
          </c:xVal>
          <c:yVal>
            <c:numRef>
              <c:f>Donnee_Omia_2!$L$2</c:f>
              <c:numCache>
                <c:formatCode>General</c:formatCode>
                <c:ptCount val="1"/>
              </c:numCache>
            </c:numRef>
          </c:yVal>
          <c:smooth val="0"/>
          <c:extLst>
            <c:ext xmlns:c16="http://schemas.microsoft.com/office/drawing/2014/chart" uri="{C3380CC4-5D6E-409C-BE32-E72D297353CC}">
              <c16:uniqueId val="{0000000A-7DB5-4C93-B690-B9EF441DA424}"/>
            </c:ext>
          </c:extLst>
        </c:ser>
        <c:ser>
          <c:idx val="11"/>
          <c:order val="11"/>
          <c:tx>
            <c:strRef>
              <c:f>Donnee_Omia_2!$M$1</c:f>
              <c:strCache>
                <c:ptCount val="1"/>
                <c:pt idx="0">
                  <c:v>Connecteur 12</c:v>
                </c:pt>
              </c:strCache>
            </c:strRef>
          </c:tx>
          <c:spPr>
            <a:ln w="19050" cap="rnd">
              <a:solidFill>
                <a:schemeClr val="accent6">
                  <a:lumMod val="60000"/>
                </a:schemeClr>
              </a:solidFill>
              <a:round/>
            </a:ln>
            <a:effectLst/>
          </c:spPr>
          <c:marker>
            <c:symbol val="none"/>
          </c:marker>
          <c:xVal>
            <c:numRef>
              <c:f>Donnee_Omia_2!$A$2</c:f>
              <c:numCache>
                <c:formatCode>m/d/yyyy\ h:mm</c:formatCode>
                <c:ptCount val="1"/>
              </c:numCache>
            </c:numRef>
          </c:xVal>
          <c:yVal>
            <c:numRef>
              <c:f>Donnee_Omia_2!$M$2</c:f>
              <c:numCache>
                <c:formatCode>General</c:formatCode>
                <c:ptCount val="1"/>
              </c:numCache>
            </c:numRef>
          </c:yVal>
          <c:smooth val="0"/>
          <c:extLst>
            <c:ext xmlns:c16="http://schemas.microsoft.com/office/drawing/2014/chart" uri="{C3380CC4-5D6E-409C-BE32-E72D297353CC}">
              <c16:uniqueId val="{0000000B-7DB5-4C93-B690-B9EF441DA424}"/>
            </c:ext>
          </c:extLst>
        </c:ser>
        <c:ser>
          <c:idx val="12"/>
          <c:order val="12"/>
          <c:tx>
            <c:strRef>
              <c:f>Donnee_Omia_2!$N$1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Donnee_Omia_2!$A$2</c:f>
              <c:numCache>
                <c:formatCode>m/d/yyyy\ h:mm</c:formatCode>
                <c:ptCount val="1"/>
              </c:numCache>
            </c:numRef>
          </c:xVal>
          <c:yVal>
            <c:numRef>
              <c:f>Donnee_Omia_2!$N$2</c:f>
              <c:numCache>
                <c:formatCode>General</c:formatCode>
                <c:ptCount val="1"/>
              </c:numCache>
            </c:numRef>
          </c:yVal>
          <c:smooth val="0"/>
          <c:extLst>
            <c:ext xmlns:c16="http://schemas.microsoft.com/office/drawing/2014/chart" uri="{C3380CC4-5D6E-409C-BE32-E72D297353CC}">
              <c16:uniqueId val="{0000000C-7DB5-4C93-B690-B9EF441DA424}"/>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Donnee_Omia_3!$B$1</c:f>
              <c:strCache>
                <c:ptCount val="1"/>
                <c:pt idx="0">
                  <c:v>Connecteur 1</c:v>
                </c:pt>
              </c:strCache>
            </c:strRef>
          </c:tx>
          <c:spPr>
            <a:ln w="19050" cap="rnd">
              <a:solidFill>
                <a:schemeClr val="accent1"/>
              </a:solidFill>
              <a:round/>
            </a:ln>
            <a:effectLst/>
          </c:spPr>
          <c:marker>
            <c:symbol val="none"/>
          </c:marker>
          <c:xVal>
            <c:numRef>
              <c:f>Donnee_Omia_3!$A$2</c:f>
              <c:numCache>
                <c:formatCode>m/d/yyyy\ h:mm</c:formatCode>
                <c:ptCount val="1"/>
              </c:numCache>
            </c:numRef>
          </c:xVal>
          <c:yVal>
            <c:numRef>
              <c:f>Donnee_Omia_3!$B$2</c:f>
              <c:numCache>
                <c:formatCode>General</c:formatCode>
                <c:ptCount val="1"/>
              </c:numCache>
            </c:numRef>
          </c:yVal>
          <c:smooth val="0"/>
          <c:extLst>
            <c:ext xmlns:c16="http://schemas.microsoft.com/office/drawing/2014/chart" uri="{C3380CC4-5D6E-409C-BE32-E72D297353CC}">
              <c16:uniqueId val="{00000000-5257-46DB-A56A-CF87843208A3}"/>
            </c:ext>
          </c:extLst>
        </c:ser>
        <c:ser>
          <c:idx val="1"/>
          <c:order val="1"/>
          <c:tx>
            <c:strRef>
              <c:f>Donnee_Omia_3!$C$1</c:f>
              <c:strCache>
                <c:ptCount val="1"/>
                <c:pt idx="0">
                  <c:v>Connecteur 2</c:v>
                </c:pt>
              </c:strCache>
            </c:strRef>
          </c:tx>
          <c:spPr>
            <a:ln w="19050" cap="rnd">
              <a:solidFill>
                <a:schemeClr val="accent2"/>
              </a:solidFill>
              <a:round/>
            </a:ln>
            <a:effectLst/>
          </c:spPr>
          <c:marker>
            <c:symbol val="none"/>
          </c:marker>
          <c:xVal>
            <c:numRef>
              <c:f>Donnee_Omia_3!$A$2</c:f>
              <c:numCache>
                <c:formatCode>m/d/yyyy\ h:mm</c:formatCode>
                <c:ptCount val="1"/>
              </c:numCache>
            </c:numRef>
          </c:xVal>
          <c:yVal>
            <c:numRef>
              <c:f>Donnee_Omia_3!$C$2</c:f>
              <c:numCache>
                <c:formatCode>General</c:formatCode>
                <c:ptCount val="1"/>
              </c:numCache>
            </c:numRef>
          </c:yVal>
          <c:smooth val="0"/>
          <c:extLst>
            <c:ext xmlns:c16="http://schemas.microsoft.com/office/drawing/2014/chart" uri="{C3380CC4-5D6E-409C-BE32-E72D297353CC}">
              <c16:uniqueId val="{00000001-5257-46DB-A56A-CF87843208A3}"/>
            </c:ext>
          </c:extLst>
        </c:ser>
        <c:ser>
          <c:idx val="2"/>
          <c:order val="2"/>
          <c:tx>
            <c:strRef>
              <c:f>Donnee_Omia_3!$D$1</c:f>
              <c:strCache>
                <c:ptCount val="1"/>
                <c:pt idx="0">
                  <c:v>Connecteur 3</c:v>
                </c:pt>
              </c:strCache>
            </c:strRef>
          </c:tx>
          <c:spPr>
            <a:ln w="19050" cap="rnd">
              <a:solidFill>
                <a:schemeClr val="accent3"/>
              </a:solidFill>
              <a:round/>
            </a:ln>
            <a:effectLst/>
          </c:spPr>
          <c:marker>
            <c:symbol val="none"/>
          </c:marker>
          <c:xVal>
            <c:numRef>
              <c:f>Donnee_Omia_3!$A$2</c:f>
              <c:numCache>
                <c:formatCode>m/d/yyyy\ h:mm</c:formatCode>
                <c:ptCount val="1"/>
              </c:numCache>
            </c:numRef>
          </c:xVal>
          <c:yVal>
            <c:numRef>
              <c:f>Donnee_Omia_3!$D$2</c:f>
              <c:numCache>
                <c:formatCode>General</c:formatCode>
                <c:ptCount val="1"/>
              </c:numCache>
            </c:numRef>
          </c:yVal>
          <c:smooth val="0"/>
          <c:extLst>
            <c:ext xmlns:c16="http://schemas.microsoft.com/office/drawing/2014/chart" uri="{C3380CC4-5D6E-409C-BE32-E72D297353CC}">
              <c16:uniqueId val="{00000002-5257-46DB-A56A-CF87843208A3}"/>
            </c:ext>
          </c:extLst>
        </c:ser>
        <c:ser>
          <c:idx val="3"/>
          <c:order val="3"/>
          <c:tx>
            <c:strRef>
              <c:f>Donnee_Omia_3!$E$1</c:f>
              <c:strCache>
                <c:ptCount val="1"/>
                <c:pt idx="0">
                  <c:v>Connecteur 4</c:v>
                </c:pt>
              </c:strCache>
            </c:strRef>
          </c:tx>
          <c:spPr>
            <a:ln w="19050" cap="rnd">
              <a:solidFill>
                <a:schemeClr val="accent4"/>
              </a:solidFill>
              <a:round/>
            </a:ln>
            <a:effectLst/>
          </c:spPr>
          <c:marker>
            <c:symbol val="none"/>
          </c:marker>
          <c:xVal>
            <c:numRef>
              <c:f>Donnee_Omia_3!$A$2</c:f>
              <c:numCache>
                <c:formatCode>m/d/yyyy\ h:mm</c:formatCode>
                <c:ptCount val="1"/>
              </c:numCache>
            </c:numRef>
          </c:xVal>
          <c:yVal>
            <c:numRef>
              <c:f>Donnee_Omia_3!$E$2</c:f>
              <c:numCache>
                <c:formatCode>General</c:formatCode>
                <c:ptCount val="1"/>
              </c:numCache>
            </c:numRef>
          </c:yVal>
          <c:smooth val="0"/>
          <c:extLst>
            <c:ext xmlns:c16="http://schemas.microsoft.com/office/drawing/2014/chart" uri="{C3380CC4-5D6E-409C-BE32-E72D297353CC}">
              <c16:uniqueId val="{00000003-5257-46DB-A56A-CF87843208A3}"/>
            </c:ext>
          </c:extLst>
        </c:ser>
        <c:ser>
          <c:idx val="4"/>
          <c:order val="4"/>
          <c:tx>
            <c:strRef>
              <c:f>Donnee_Omia_3!$F$1</c:f>
              <c:strCache>
                <c:ptCount val="1"/>
                <c:pt idx="0">
                  <c:v>Connecteur 5</c:v>
                </c:pt>
              </c:strCache>
            </c:strRef>
          </c:tx>
          <c:spPr>
            <a:ln w="19050" cap="rnd">
              <a:solidFill>
                <a:schemeClr val="accent5"/>
              </a:solidFill>
              <a:round/>
            </a:ln>
            <a:effectLst/>
          </c:spPr>
          <c:marker>
            <c:symbol val="none"/>
          </c:marker>
          <c:xVal>
            <c:numRef>
              <c:f>Donnee_Omia_3!$A$2</c:f>
              <c:numCache>
                <c:formatCode>m/d/yyyy\ h:mm</c:formatCode>
                <c:ptCount val="1"/>
              </c:numCache>
            </c:numRef>
          </c:xVal>
          <c:yVal>
            <c:numRef>
              <c:f>Donnee_Omia_3!$F$2</c:f>
              <c:numCache>
                <c:formatCode>General</c:formatCode>
                <c:ptCount val="1"/>
              </c:numCache>
            </c:numRef>
          </c:yVal>
          <c:smooth val="0"/>
          <c:extLst>
            <c:ext xmlns:c16="http://schemas.microsoft.com/office/drawing/2014/chart" uri="{C3380CC4-5D6E-409C-BE32-E72D297353CC}">
              <c16:uniqueId val="{00000004-5257-46DB-A56A-CF87843208A3}"/>
            </c:ext>
          </c:extLst>
        </c:ser>
        <c:ser>
          <c:idx val="5"/>
          <c:order val="5"/>
          <c:tx>
            <c:strRef>
              <c:f>Donnee_Omia_3!$G$1</c:f>
              <c:strCache>
                <c:ptCount val="1"/>
                <c:pt idx="0">
                  <c:v>Connecteur 6</c:v>
                </c:pt>
              </c:strCache>
            </c:strRef>
          </c:tx>
          <c:spPr>
            <a:ln w="19050" cap="rnd">
              <a:solidFill>
                <a:schemeClr val="accent6"/>
              </a:solidFill>
              <a:round/>
            </a:ln>
            <a:effectLst/>
          </c:spPr>
          <c:marker>
            <c:symbol val="none"/>
          </c:marker>
          <c:xVal>
            <c:numRef>
              <c:f>Donnee_Omia_3!$A$2</c:f>
              <c:numCache>
                <c:formatCode>m/d/yyyy\ h:mm</c:formatCode>
                <c:ptCount val="1"/>
              </c:numCache>
            </c:numRef>
          </c:xVal>
          <c:yVal>
            <c:numRef>
              <c:f>Donnee_Omia_3!$G$2</c:f>
              <c:numCache>
                <c:formatCode>General</c:formatCode>
                <c:ptCount val="1"/>
              </c:numCache>
            </c:numRef>
          </c:yVal>
          <c:smooth val="0"/>
          <c:extLst>
            <c:ext xmlns:c16="http://schemas.microsoft.com/office/drawing/2014/chart" uri="{C3380CC4-5D6E-409C-BE32-E72D297353CC}">
              <c16:uniqueId val="{00000005-5257-46DB-A56A-CF87843208A3}"/>
            </c:ext>
          </c:extLst>
        </c:ser>
        <c:ser>
          <c:idx val="6"/>
          <c:order val="6"/>
          <c:tx>
            <c:strRef>
              <c:f>Donnee_Omia_3!$H$1</c:f>
              <c:strCache>
                <c:ptCount val="1"/>
                <c:pt idx="0">
                  <c:v>Connecteur 7</c:v>
                </c:pt>
              </c:strCache>
            </c:strRef>
          </c:tx>
          <c:spPr>
            <a:ln w="19050" cap="rnd">
              <a:solidFill>
                <a:schemeClr val="accent1">
                  <a:lumMod val="60000"/>
                </a:schemeClr>
              </a:solidFill>
              <a:round/>
            </a:ln>
            <a:effectLst/>
          </c:spPr>
          <c:marker>
            <c:symbol val="none"/>
          </c:marker>
          <c:xVal>
            <c:numRef>
              <c:f>Donnee_Omia_3!$A$2</c:f>
              <c:numCache>
                <c:formatCode>m/d/yyyy\ h:mm</c:formatCode>
                <c:ptCount val="1"/>
              </c:numCache>
            </c:numRef>
          </c:xVal>
          <c:yVal>
            <c:numRef>
              <c:f>Donnee_Omia_3!$H$2</c:f>
              <c:numCache>
                <c:formatCode>General</c:formatCode>
                <c:ptCount val="1"/>
              </c:numCache>
            </c:numRef>
          </c:yVal>
          <c:smooth val="0"/>
          <c:extLst>
            <c:ext xmlns:c16="http://schemas.microsoft.com/office/drawing/2014/chart" uri="{C3380CC4-5D6E-409C-BE32-E72D297353CC}">
              <c16:uniqueId val="{00000006-5257-46DB-A56A-CF87843208A3}"/>
            </c:ext>
          </c:extLst>
        </c:ser>
        <c:ser>
          <c:idx val="7"/>
          <c:order val="7"/>
          <c:tx>
            <c:strRef>
              <c:f>Donnee_Omia_3!$I$1</c:f>
              <c:strCache>
                <c:ptCount val="1"/>
                <c:pt idx="0">
                  <c:v>Connecteur 8</c:v>
                </c:pt>
              </c:strCache>
            </c:strRef>
          </c:tx>
          <c:spPr>
            <a:ln w="19050" cap="rnd">
              <a:solidFill>
                <a:schemeClr val="accent2">
                  <a:lumMod val="60000"/>
                </a:schemeClr>
              </a:solidFill>
              <a:round/>
            </a:ln>
            <a:effectLst/>
          </c:spPr>
          <c:marker>
            <c:symbol val="none"/>
          </c:marker>
          <c:xVal>
            <c:numRef>
              <c:f>Donnee_Omia_3!$A$2</c:f>
              <c:numCache>
                <c:formatCode>m/d/yyyy\ h:mm</c:formatCode>
                <c:ptCount val="1"/>
              </c:numCache>
            </c:numRef>
          </c:xVal>
          <c:yVal>
            <c:numRef>
              <c:f>Donnee_Omia_3!$I$2</c:f>
              <c:numCache>
                <c:formatCode>General</c:formatCode>
                <c:ptCount val="1"/>
              </c:numCache>
            </c:numRef>
          </c:yVal>
          <c:smooth val="0"/>
          <c:extLst>
            <c:ext xmlns:c16="http://schemas.microsoft.com/office/drawing/2014/chart" uri="{C3380CC4-5D6E-409C-BE32-E72D297353CC}">
              <c16:uniqueId val="{00000007-5257-46DB-A56A-CF87843208A3}"/>
            </c:ext>
          </c:extLst>
        </c:ser>
        <c:ser>
          <c:idx val="8"/>
          <c:order val="8"/>
          <c:tx>
            <c:strRef>
              <c:f>Donnee_Omia_3!$J$1</c:f>
              <c:strCache>
                <c:ptCount val="1"/>
                <c:pt idx="0">
                  <c:v>Connecteur 9</c:v>
                </c:pt>
              </c:strCache>
            </c:strRef>
          </c:tx>
          <c:spPr>
            <a:ln w="19050" cap="rnd">
              <a:solidFill>
                <a:schemeClr val="accent3">
                  <a:lumMod val="60000"/>
                </a:schemeClr>
              </a:solidFill>
              <a:round/>
            </a:ln>
            <a:effectLst/>
          </c:spPr>
          <c:marker>
            <c:symbol val="none"/>
          </c:marker>
          <c:xVal>
            <c:numRef>
              <c:f>Donnee_Omia_3!$A$2</c:f>
              <c:numCache>
                <c:formatCode>m/d/yyyy\ h:mm</c:formatCode>
                <c:ptCount val="1"/>
              </c:numCache>
            </c:numRef>
          </c:xVal>
          <c:yVal>
            <c:numRef>
              <c:f>Donnee_Omia_3!$J$2</c:f>
              <c:numCache>
                <c:formatCode>General</c:formatCode>
                <c:ptCount val="1"/>
              </c:numCache>
            </c:numRef>
          </c:yVal>
          <c:smooth val="0"/>
          <c:extLst>
            <c:ext xmlns:c16="http://schemas.microsoft.com/office/drawing/2014/chart" uri="{C3380CC4-5D6E-409C-BE32-E72D297353CC}">
              <c16:uniqueId val="{00000008-5257-46DB-A56A-CF87843208A3}"/>
            </c:ext>
          </c:extLst>
        </c:ser>
        <c:ser>
          <c:idx val="9"/>
          <c:order val="9"/>
          <c:tx>
            <c:strRef>
              <c:f>Donnee_Omia_3!$K$1</c:f>
              <c:strCache>
                <c:ptCount val="1"/>
                <c:pt idx="0">
                  <c:v>Connecteur 10</c:v>
                </c:pt>
              </c:strCache>
            </c:strRef>
          </c:tx>
          <c:spPr>
            <a:ln w="19050" cap="rnd">
              <a:solidFill>
                <a:schemeClr val="accent4">
                  <a:lumMod val="60000"/>
                </a:schemeClr>
              </a:solidFill>
              <a:round/>
            </a:ln>
            <a:effectLst/>
          </c:spPr>
          <c:marker>
            <c:symbol val="none"/>
          </c:marker>
          <c:xVal>
            <c:numRef>
              <c:f>Donnee_Omia_3!$A$2</c:f>
              <c:numCache>
                <c:formatCode>m/d/yyyy\ h:mm</c:formatCode>
                <c:ptCount val="1"/>
              </c:numCache>
            </c:numRef>
          </c:xVal>
          <c:yVal>
            <c:numRef>
              <c:f>Donnee_Omia_3!$K$2</c:f>
              <c:numCache>
                <c:formatCode>General</c:formatCode>
                <c:ptCount val="1"/>
              </c:numCache>
            </c:numRef>
          </c:yVal>
          <c:smooth val="0"/>
          <c:extLst>
            <c:ext xmlns:c16="http://schemas.microsoft.com/office/drawing/2014/chart" uri="{C3380CC4-5D6E-409C-BE32-E72D297353CC}">
              <c16:uniqueId val="{00000009-5257-46DB-A56A-CF87843208A3}"/>
            </c:ext>
          </c:extLst>
        </c:ser>
        <c:ser>
          <c:idx val="10"/>
          <c:order val="10"/>
          <c:tx>
            <c:strRef>
              <c:f>Donnee_Omia_3!$L$1</c:f>
              <c:strCache>
                <c:ptCount val="1"/>
                <c:pt idx="0">
                  <c:v>Connecteur 11</c:v>
                </c:pt>
              </c:strCache>
            </c:strRef>
          </c:tx>
          <c:spPr>
            <a:ln w="19050" cap="rnd">
              <a:solidFill>
                <a:schemeClr val="accent5">
                  <a:lumMod val="60000"/>
                </a:schemeClr>
              </a:solidFill>
              <a:round/>
            </a:ln>
            <a:effectLst/>
          </c:spPr>
          <c:marker>
            <c:symbol val="none"/>
          </c:marker>
          <c:xVal>
            <c:numRef>
              <c:f>Donnee_Omia_3!$A$2</c:f>
              <c:numCache>
                <c:formatCode>m/d/yyyy\ h:mm</c:formatCode>
                <c:ptCount val="1"/>
              </c:numCache>
            </c:numRef>
          </c:xVal>
          <c:yVal>
            <c:numRef>
              <c:f>Donnee_Omia_3!$L$2</c:f>
              <c:numCache>
                <c:formatCode>General</c:formatCode>
                <c:ptCount val="1"/>
              </c:numCache>
            </c:numRef>
          </c:yVal>
          <c:smooth val="0"/>
          <c:extLst>
            <c:ext xmlns:c16="http://schemas.microsoft.com/office/drawing/2014/chart" uri="{C3380CC4-5D6E-409C-BE32-E72D297353CC}">
              <c16:uniqueId val="{0000000A-5257-46DB-A56A-CF87843208A3}"/>
            </c:ext>
          </c:extLst>
        </c:ser>
        <c:ser>
          <c:idx val="11"/>
          <c:order val="11"/>
          <c:tx>
            <c:strRef>
              <c:f>Donnee_Omia_3!$M$1</c:f>
              <c:strCache>
                <c:ptCount val="1"/>
                <c:pt idx="0">
                  <c:v>Connecteur 12</c:v>
                </c:pt>
              </c:strCache>
            </c:strRef>
          </c:tx>
          <c:spPr>
            <a:ln w="19050" cap="rnd">
              <a:solidFill>
                <a:schemeClr val="accent6">
                  <a:lumMod val="60000"/>
                </a:schemeClr>
              </a:solidFill>
              <a:round/>
            </a:ln>
            <a:effectLst/>
          </c:spPr>
          <c:marker>
            <c:symbol val="none"/>
          </c:marker>
          <c:xVal>
            <c:numRef>
              <c:f>Donnee_Omia_3!$A$2</c:f>
              <c:numCache>
                <c:formatCode>m/d/yyyy\ h:mm</c:formatCode>
                <c:ptCount val="1"/>
              </c:numCache>
            </c:numRef>
          </c:xVal>
          <c:yVal>
            <c:numRef>
              <c:f>Donnee_Omia_3!$M$2</c:f>
              <c:numCache>
                <c:formatCode>General</c:formatCode>
                <c:ptCount val="1"/>
              </c:numCache>
            </c:numRef>
          </c:yVal>
          <c:smooth val="0"/>
          <c:extLst>
            <c:ext xmlns:c16="http://schemas.microsoft.com/office/drawing/2014/chart" uri="{C3380CC4-5D6E-409C-BE32-E72D297353CC}">
              <c16:uniqueId val="{0000000B-5257-46DB-A56A-CF87843208A3}"/>
            </c:ext>
          </c:extLst>
        </c:ser>
        <c:ser>
          <c:idx val="12"/>
          <c:order val="12"/>
          <c:tx>
            <c:strRef>
              <c:f>Donnee_Omia_3!$N$1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Donnee_Omia_3!$A$2</c:f>
              <c:numCache>
                <c:formatCode>m/d/yyyy\ h:mm</c:formatCode>
                <c:ptCount val="1"/>
              </c:numCache>
            </c:numRef>
          </c:xVal>
          <c:yVal>
            <c:numRef>
              <c:f>Donnee_Omia_3!$N$2</c:f>
              <c:numCache>
                <c:formatCode>General</c:formatCode>
                <c:ptCount val="1"/>
              </c:numCache>
            </c:numRef>
          </c:yVal>
          <c:smooth val="0"/>
          <c:extLst>
            <c:ext xmlns:c16="http://schemas.microsoft.com/office/drawing/2014/chart" uri="{C3380CC4-5D6E-409C-BE32-E72D297353CC}">
              <c16:uniqueId val="{0000000C-5257-46DB-A56A-CF87843208A3}"/>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7BF7-4F6F-8D93-C4076015C140}"/>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7BF7-4F6F-8D93-C4076015C140}"/>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7BF7-4F6F-8D93-C4076015C140}"/>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7BF7-4F6F-8D93-C4076015C140}"/>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7BF7-4F6F-8D93-C4076015C140}"/>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7BF7-4F6F-8D93-C4076015C140}"/>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7BF7-4F6F-8D93-C4076015C140}"/>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7BF7-4F6F-8D93-C4076015C140}"/>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7BF7-4F6F-8D93-C4076015C140}"/>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D2CF-4034-BA01-F0EF8EA186B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D2CF-4034-BA01-F0EF8EA186B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D2CF-4034-BA01-F0EF8EA186B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D2CF-4034-BA01-F0EF8EA186B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D2CF-4034-BA01-F0EF8EA186B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D2CF-4034-BA01-F0EF8EA186B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D2CF-4034-BA01-F0EF8EA186B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D2CF-4034-BA01-F0EF8EA186B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D2CF-4034-BA01-F0EF8EA186B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1179-478F-94E8-B68C49CE078B}"/>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1179-478F-94E8-B68C49CE078B}"/>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1179-478F-94E8-B68C49CE078B}"/>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1179-478F-94E8-B68C49CE078B}"/>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1179-478F-94E8-B68C49CE078B}"/>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1179-478F-94E8-B68C49CE078B}"/>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1179-478F-94E8-B68C49CE078B}"/>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1179-478F-94E8-B68C49CE078B}"/>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1179-478F-94E8-B68C49CE078B}"/>
            </c:ext>
          </c:extLst>
        </c:ser>
        <c:dLbls>
          <c:showLegendKey val="0"/>
          <c:showVal val="0"/>
          <c:showCatName val="0"/>
          <c:showSerName val="0"/>
          <c:showPercent val="0"/>
          <c:showBubbleSize val="0"/>
        </c:dLbls>
        <c:axId val="839244000"/>
        <c:axId val="839243640"/>
      </c:scatterChart>
      <c:valAx>
        <c:axId val="839244000"/>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3640"/>
        <c:crosses val="autoZero"/>
        <c:crossBetween val="midCat"/>
      </c:valAx>
      <c:valAx>
        <c:axId val="839243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2440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Donnee_Dover_3!$B$1</c:f>
              <c:strCache>
                <c:ptCount val="1"/>
                <c:pt idx="0">
                  <c:v>Connecteur 1</c:v>
                </c:pt>
              </c:strCache>
            </c:strRef>
          </c:tx>
          <c:spPr>
            <a:ln w="19050" cap="rnd">
              <a:solidFill>
                <a:schemeClr val="accent1"/>
              </a:solidFill>
              <a:round/>
            </a:ln>
            <a:effectLst/>
          </c:spPr>
          <c:marker>
            <c:symbol val="none"/>
          </c:marker>
          <c:xVal>
            <c:numRef>
              <c:f>Donnee_Dover_3!$A$2</c:f>
              <c:numCache>
                <c:formatCode>m/d/yyyy\ h:mm</c:formatCode>
                <c:ptCount val="1"/>
              </c:numCache>
            </c:numRef>
          </c:xVal>
          <c:yVal>
            <c:numRef>
              <c:f>Donnee_Dover_3!$B$2</c:f>
              <c:numCache>
                <c:formatCode>General</c:formatCode>
                <c:ptCount val="1"/>
              </c:numCache>
            </c:numRef>
          </c:yVal>
          <c:smooth val="0"/>
          <c:extLst>
            <c:ext xmlns:c16="http://schemas.microsoft.com/office/drawing/2014/chart" uri="{C3380CC4-5D6E-409C-BE32-E72D297353CC}">
              <c16:uniqueId val="{00000000-EEFD-41A8-881C-AAD135C6C3DF}"/>
            </c:ext>
          </c:extLst>
        </c:ser>
        <c:ser>
          <c:idx val="1"/>
          <c:order val="1"/>
          <c:tx>
            <c:strRef>
              <c:f>Donnee_Dover_3!$C$1</c:f>
              <c:strCache>
                <c:ptCount val="1"/>
                <c:pt idx="0">
                  <c:v>Connecteur 2</c:v>
                </c:pt>
              </c:strCache>
            </c:strRef>
          </c:tx>
          <c:spPr>
            <a:ln w="19050" cap="rnd">
              <a:solidFill>
                <a:schemeClr val="accent2"/>
              </a:solidFill>
              <a:round/>
            </a:ln>
            <a:effectLst/>
          </c:spPr>
          <c:marker>
            <c:symbol val="none"/>
          </c:marker>
          <c:xVal>
            <c:numRef>
              <c:f>Donnee_Dover_3!$A$2</c:f>
              <c:numCache>
                <c:formatCode>m/d/yyyy\ h:mm</c:formatCode>
                <c:ptCount val="1"/>
              </c:numCache>
            </c:numRef>
          </c:xVal>
          <c:yVal>
            <c:numRef>
              <c:f>Donnee_Dover_3!$C$2</c:f>
              <c:numCache>
                <c:formatCode>General</c:formatCode>
                <c:ptCount val="1"/>
              </c:numCache>
            </c:numRef>
          </c:yVal>
          <c:smooth val="0"/>
          <c:extLst>
            <c:ext xmlns:c16="http://schemas.microsoft.com/office/drawing/2014/chart" uri="{C3380CC4-5D6E-409C-BE32-E72D297353CC}">
              <c16:uniqueId val="{00000001-EEFD-41A8-881C-AAD135C6C3DF}"/>
            </c:ext>
          </c:extLst>
        </c:ser>
        <c:ser>
          <c:idx val="2"/>
          <c:order val="2"/>
          <c:tx>
            <c:strRef>
              <c:f>Donnee_Dover_3!$D$1</c:f>
              <c:strCache>
                <c:ptCount val="1"/>
                <c:pt idx="0">
                  <c:v>Connecteur 3</c:v>
                </c:pt>
              </c:strCache>
            </c:strRef>
          </c:tx>
          <c:spPr>
            <a:ln w="19050" cap="rnd">
              <a:solidFill>
                <a:schemeClr val="accent3"/>
              </a:solidFill>
              <a:round/>
            </a:ln>
            <a:effectLst/>
          </c:spPr>
          <c:marker>
            <c:symbol val="none"/>
          </c:marker>
          <c:xVal>
            <c:numRef>
              <c:f>Donnee_Dover_3!$A$2</c:f>
              <c:numCache>
                <c:formatCode>m/d/yyyy\ h:mm</c:formatCode>
                <c:ptCount val="1"/>
              </c:numCache>
            </c:numRef>
          </c:xVal>
          <c:yVal>
            <c:numRef>
              <c:f>Donnee_Dover_3!$D$2</c:f>
              <c:numCache>
                <c:formatCode>General</c:formatCode>
                <c:ptCount val="1"/>
              </c:numCache>
            </c:numRef>
          </c:yVal>
          <c:smooth val="0"/>
          <c:extLst>
            <c:ext xmlns:c16="http://schemas.microsoft.com/office/drawing/2014/chart" uri="{C3380CC4-5D6E-409C-BE32-E72D297353CC}">
              <c16:uniqueId val="{00000002-EEFD-41A8-881C-AAD135C6C3DF}"/>
            </c:ext>
          </c:extLst>
        </c:ser>
        <c:ser>
          <c:idx val="3"/>
          <c:order val="3"/>
          <c:tx>
            <c:strRef>
              <c:f>Donnee_Dover_3!$E$1</c:f>
              <c:strCache>
                <c:ptCount val="1"/>
                <c:pt idx="0">
                  <c:v>Connecteur 4</c:v>
                </c:pt>
              </c:strCache>
            </c:strRef>
          </c:tx>
          <c:spPr>
            <a:ln w="19050" cap="rnd">
              <a:solidFill>
                <a:schemeClr val="accent4"/>
              </a:solidFill>
              <a:round/>
            </a:ln>
            <a:effectLst/>
          </c:spPr>
          <c:marker>
            <c:symbol val="none"/>
          </c:marker>
          <c:xVal>
            <c:numRef>
              <c:f>Donnee_Dover_3!$A$2</c:f>
              <c:numCache>
                <c:formatCode>m/d/yyyy\ h:mm</c:formatCode>
                <c:ptCount val="1"/>
              </c:numCache>
            </c:numRef>
          </c:xVal>
          <c:yVal>
            <c:numRef>
              <c:f>Donnee_Dover_3!$E$2</c:f>
              <c:numCache>
                <c:formatCode>General</c:formatCode>
                <c:ptCount val="1"/>
              </c:numCache>
            </c:numRef>
          </c:yVal>
          <c:smooth val="0"/>
          <c:extLst>
            <c:ext xmlns:c16="http://schemas.microsoft.com/office/drawing/2014/chart" uri="{C3380CC4-5D6E-409C-BE32-E72D297353CC}">
              <c16:uniqueId val="{00000003-EEFD-41A8-881C-AAD135C6C3DF}"/>
            </c:ext>
          </c:extLst>
        </c:ser>
        <c:ser>
          <c:idx val="4"/>
          <c:order val="4"/>
          <c:tx>
            <c:strRef>
              <c:f>Donnee_Dover_3!$F$1</c:f>
              <c:strCache>
                <c:ptCount val="1"/>
                <c:pt idx="0">
                  <c:v>Connecteur 5</c:v>
                </c:pt>
              </c:strCache>
            </c:strRef>
          </c:tx>
          <c:spPr>
            <a:ln w="19050" cap="rnd">
              <a:solidFill>
                <a:schemeClr val="accent5"/>
              </a:solidFill>
              <a:round/>
            </a:ln>
            <a:effectLst/>
          </c:spPr>
          <c:marker>
            <c:symbol val="none"/>
          </c:marker>
          <c:xVal>
            <c:numRef>
              <c:f>Donnee_Dover_3!$A$2</c:f>
              <c:numCache>
                <c:formatCode>m/d/yyyy\ h:mm</c:formatCode>
                <c:ptCount val="1"/>
              </c:numCache>
            </c:numRef>
          </c:xVal>
          <c:yVal>
            <c:numRef>
              <c:f>Donnee_Dover_3!$F$2</c:f>
              <c:numCache>
                <c:formatCode>General</c:formatCode>
                <c:ptCount val="1"/>
              </c:numCache>
            </c:numRef>
          </c:yVal>
          <c:smooth val="0"/>
          <c:extLst>
            <c:ext xmlns:c16="http://schemas.microsoft.com/office/drawing/2014/chart" uri="{C3380CC4-5D6E-409C-BE32-E72D297353CC}">
              <c16:uniqueId val="{00000004-EEFD-41A8-881C-AAD135C6C3DF}"/>
            </c:ext>
          </c:extLst>
        </c:ser>
        <c:ser>
          <c:idx val="5"/>
          <c:order val="5"/>
          <c:tx>
            <c:strRef>
              <c:f>Donnee_Dover_3!$G$1</c:f>
              <c:strCache>
                <c:ptCount val="1"/>
                <c:pt idx="0">
                  <c:v>Connecteur 6</c:v>
                </c:pt>
              </c:strCache>
            </c:strRef>
          </c:tx>
          <c:spPr>
            <a:ln w="19050" cap="rnd">
              <a:solidFill>
                <a:schemeClr val="accent6"/>
              </a:solidFill>
              <a:round/>
            </a:ln>
            <a:effectLst/>
          </c:spPr>
          <c:marker>
            <c:symbol val="none"/>
          </c:marker>
          <c:xVal>
            <c:numRef>
              <c:f>Donnee_Dover_3!$A$2</c:f>
              <c:numCache>
                <c:formatCode>m/d/yyyy\ h:mm</c:formatCode>
                <c:ptCount val="1"/>
              </c:numCache>
            </c:numRef>
          </c:xVal>
          <c:yVal>
            <c:numRef>
              <c:f>Donnee_Dover_3!$G$2</c:f>
              <c:numCache>
                <c:formatCode>General</c:formatCode>
                <c:ptCount val="1"/>
              </c:numCache>
            </c:numRef>
          </c:yVal>
          <c:smooth val="0"/>
          <c:extLst>
            <c:ext xmlns:c16="http://schemas.microsoft.com/office/drawing/2014/chart" uri="{C3380CC4-5D6E-409C-BE32-E72D297353CC}">
              <c16:uniqueId val="{00000005-EEFD-41A8-881C-AAD135C6C3DF}"/>
            </c:ext>
          </c:extLst>
        </c:ser>
        <c:ser>
          <c:idx val="6"/>
          <c:order val="6"/>
          <c:tx>
            <c:strRef>
              <c:f>Donnee_Dover_3!$H$1</c:f>
              <c:strCache>
                <c:ptCount val="1"/>
                <c:pt idx="0">
                  <c:v>Connecteur 7</c:v>
                </c:pt>
              </c:strCache>
            </c:strRef>
          </c:tx>
          <c:spPr>
            <a:ln w="19050" cap="rnd">
              <a:solidFill>
                <a:schemeClr val="accent1">
                  <a:lumMod val="60000"/>
                </a:schemeClr>
              </a:solidFill>
              <a:round/>
            </a:ln>
            <a:effectLst/>
          </c:spPr>
          <c:marker>
            <c:symbol val="none"/>
          </c:marker>
          <c:xVal>
            <c:numRef>
              <c:f>Donnee_Dover_3!$A$2</c:f>
              <c:numCache>
                <c:formatCode>m/d/yyyy\ h:mm</c:formatCode>
                <c:ptCount val="1"/>
              </c:numCache>
            </c:numRef>
          </c:xVal>
          <c:yVal>
            <c:numRef>
              <c:f>Donnee_Dover_3!$H$2</c:f>
              <c:numCache>
                <c:formatCode>General</c:formatCode>
                <c:ptCount val="1"/>
              </c:numCache>
            </c:numRef>
          </c:yVal>
          <c:smooth val="0"/>
          <c:extLst>
            <c:ext xmlns:c16="http://schemas.microsoft.com/office/drawing/2014/chart" uri="{C3380CC4-5D6E-409C-BE32-E72D297353CC}">
              <c16:uniqueId val="{00000006-EEFD-41A8-881C-AAD135C6C3DF}"/>
            </c:ext>
          </c:extLst>
        </c:ser>
        <c:ser>
          <c:idx val="7"/>
          <c:order val="7"/>
          <c:tx>
            <c:strRef>
              <c:f>Donnee_Dover_3!$I$1</c:f>
              <c:strCache>
                <c:ptCount val="1"/>
                <c:pt idx="0">
                  <c:v>Connecteur 8</c:v>
                </c:pt>
              </c:strCache>
            </c:strRef>
          </c:tx>
          <c:spPr>
            <a:ln w="19050" cap="rnd">
              <a:solidFill>
                <a:schemeClr val="accent2">
                  <a:lumMod val="60000"/>
                </a:schemeClr>
              </a:solidFill>
              <a:round/>
            </a:ln>
            <a:effectLst/>
          </c:spPr>
          <c:marker>
            <c:symbol val="none"/>
          </c:marker>
          <c:xVal>
            <c:numRef>
              <c:f>Donnee_Dover_3!$A$2</c:f>
              <c:numCache>
                <c:formatCode>m/d/yyyy\ h:mm</c:formatCode>
                <c:ptCount val="1"/>
              </c:numCache>
            </c:numRef>
          </c:xVal>
          <c:yVal>
            <c:numRef>
              <c:f>Donnee_Dover_3!$I$2</c:f>
              <c:numCache>
                <c:formatCode>General</c:formatCode>
                <c:ptCount val="1"/>
              </c:numCache>
            </c:numRef>
          </c:yVal>
          <c:smooth val="0"/>
          <c:extLst>
            <c:ext xmlns:c16="http://schemas.microsoft.com/office/drawing/2014/chart" uri="{C3380CC4-5D6E-409C-BE32-E72D297353CC}">
              <c16:uniqueId val="{00000007-EEFD-41A8-881C-AAD135C6C3DF}"/>
            </c:ext>
          </c:extLst>
        </c:ser>
        <c:ser>
          <c:idx val="8"/>
          <c:order val="8"/>
          <c:tx>
            <c:strRef>
              <c:f>Donnee_Dover_3!$J$1</c:f>
              <c:strCache>
                <c:ptCount val="1"/>
                <c:pt idx="0">
                  <c:v>Connecteur 9</c:v>
                </c:pt>
              </c:strCache>
            </c:strRef>
          </c:tx>
          <c:spPr>
            <a:ln w="19050" cap="rnd">
              <a:solidFill>
                <a:schemeClr val="accent3">
                  <a:lumMod val="60000"/>
                </a:schemeClr>
              </a:solidFill>
              <a:round/>
            </a:ln>
            <a:effectLst/>
          </c:spPr>
          <c:marker>
            <c:symbol val="none"/>
          </c:marker>
          <c:xVal>
            <c:numRef>
              <c:f>Donnee_Dover_3!$A$2</c:f>
              <c:numCache>
                <c:formatCode>m/d/yyyy\ h:mm</c:formatCode>
                <c:ptCount val="1"/>
              </c:numCache>
            </c:numRef>
          </c:xVal>
          <c:yVal>
            <c:numRef>
              <c:f>Donnee_Dover_3!$J$2</c:f>
              <c:numCache>
                <c:formatCode>General</c:formatCode>
                <c:ptCount val="1"/>
              </c:numCache>
            </c:numRef>
          </c:yVal>
          <c:smooth val="0"/>
          <c:extLst>
            <c:ext xmlns:c16="http://schemas.microsoft.com/office/drawing/2014/chart" uri="{C3380CC4-5D6E-409C-BE32-E72D297353CC}">
              <c16:uniqueId val="{00000008-EEFD-41A8-881C-AAD135C6C3D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Donnee_Dover_1!$B$1</c:f>
              <c:strCache>
                <c:ptCount val="1"/>
                <c:pt idx="0">
                  <c:v>Connecteur 1</c:v>
                </c:pt>
              </c:strCache>
            </c:strRef>
          </c:tx>
          <c:spPr>
            <a:ln w="19050" cap="rnd">
              <a:solidFill>
                <a:schemeClr val="accent1"/>
              </a:solidFill>
              <a:round/>
            </a:ln>
            <a:effectLst/>
          </c:spPr>
          <c:marker>
            <c:symbol val="none"/>
          </c:marker>
          <c:xVal>
            <c:numRef>
              <c:f>Donnee_Dover_1!$A$2</c:f>
              <c:numCache>
                <c:formatCode>m/d/yyyy\ h:mm</c:formatCode>
                <c:ptCount val="1"/>
              </c:numCache>
            </c:numRef>
          </c:xVal>
          <c:yVal>
            <c:numRef>
              <c:f>Donnee_Dover_1!$B$2</c:f>
              <c:numCache>
                <c:formatCode>General</c:formatCode>
                <c:ptCount val="1"/>
              </c:numCache>
            </c:numRef>
          </c:yVal>
          <c:smooth val="0"/>
          <c:extLst>
            <c:ext xmlns:c16="http://schemas.microsoft.com/office/drawing/2014/chart" uri="{C3380CC4-5D6E-409C-BE32-E72D297353CC}">
              <c16:uniqueId val="{00000000-F667-42E3-BBF5-FF1C5997231F}"/>
            </c:ext>
          </c:extLst>
        </c:ser>
        <c:ser>
          <c:idx val="1"/>
          <c:order val="1"/>
          <c:tx>
            <c:strRef>
              <c:f>Donnee_Dover_1!$C$1</c:f>
              <c:strCache>
                <c:ptCount val="1"/>
                <c:pt idx="0">
                  <c:v>Connecteur 2</c:v>
                </c:pt>
              </c:strCache>
            </c:strRef>
          </c:tx>
          <c:spPr>
            <a:ln w="19050" cap="rnd">
              <a:solidFill>
                <a:schemeClr val="accent2"/>
              </a:solidFill>
              <a:round/>
            </a:ln>
            <a:effectLst/>
          </c:spPr>
          <c:marker>
            <c:symbol val="none"/>
          </c:marker>
          <c:xVal>
            <c:numRef>
              <c:f>Donnee_Dover_1!$A$2</c:f>
              <c:numCache>
                <c:formatCode>m/d/yyyy\ h:mm</c:formatCode>
                <c:ptCount val="1"/>
              </c:numCache>
            </c:numRef>
          </c:xVal>
          <c:yVal>
            <c:numRef>
              <c:f>Donnee_Dover_1!$C$2</c:f>
              <c:numCache>
                <c:formatCode>General</c:formatCode>
                <c:ptCount val="1"/>
              </c:numCache>
            </c:numRef>
          </c:yVal>
          <c:smooth val="0"/>
          <c:extLst>
            <c:ext xmlns:c16="http://schemas.microsoft.com/office/drawing/2014/chart" uri="{C3380CC4-5D6E-409C-BE32-E72D297353CC}">
              <c16:uniqueId val="{00000001-F667-42E3-BBF5-FF1C5997231F}"/>
            </c:ext>
          </c:extLst>
        </c:ser>
        <c:ser>
          <c:idx val="2"/>
          <c:order val="2"/>
          <c:tx>
            <c:strRef>
              <c:f>Donnee_Dover_1!$D$1</c:f>
              <c:strCache>
                <c:ptCount val="1"/>
                <c:pt idx="0">
                  <c:v>Connecteur 3</c:v>
                </c:pt>
              </c:strCache>
            </c:strRef>
          </c:tx>
          <c:spPr>
            <a:ln w="19050" cap="rnd">
              <a:solidFill>
                <a:schemeClr val="accent3"/>
              </a:solidFill>
              <a:round/>
            </a:ln>
            <a:effectLst/>
          </c:spPr>
          <c:marker>
            <c:symbol val="none"/>
          </c:marker>
          <c:xVal>
            <c:numRef>
              <c:f>Donnee_Dover_1!$A$2</c:f>
              <c:numCache>
                <c:formatCode>m/d/yyyy\ h:mm</c:formatCode>
                <c:ptCount val="1"/>
              </c:numCache>
            </c:numRef>
          </c:xVal>
          <c:yVal>
            <c:numRef>
              <c:f>Donnee_Dover_1!$D$2</c:f>
              <c:numCache>
                <c:formatCode>General</c:formatCode>
                <c:ptCount val="1"/>
              </c:numCache>
            </c:numRef>
          </c:yVal>
          <c:smooth val="0"/>
          <c:extLst>
            <c:ext xmlns:c16="http://schemas.microsoft.com/office/drawing/2014/chart" uri="{C3380CC4-5D6E-409C-BE32-E72D297353CC}">
              <c16:uniqueId val="{00000002-F667-42E3-BBF5-FF1C5997231F}"/>
            </c:ext>
          </c:extLst>
        </c:ser>
        <c:ser>
          <c:idx val="3"/>
          <c:order val="3"/>
          <c:tx>
            <c:strRef>
              <c:f>Donnee_Dover_1!$E$1</c:f>
              <c:strCache>
                <c:ptCount val="1"/>
                <c:pt idx="0">
                  <c:v>Connecteur 4</c:v>
                </c:pt>
              </c:strCache>
            </c:strRef>
          </c:tx>
          <c:spPr>
            <a:ln w="19050" cap="rnd">
              <a:solidFill>
                <a:schemeClr val="accent4"/>
              </a:solidFill>
              <a:round/>
            </a:ln>
            <a:effectLst/>
          </c:spPr>
          <c:marker>
            <c:symbol val="none"/>
          </c:marker>
          <c:xVal>
            <c:numRef>
              <c:f>Donnee_Dover_1!$A$2</c:f>
              <c:numCache>
                <c:formatCode>m/d/yyyy\ h:mm</c:formatCode>
                <c:ptCount val="1"/>
              </c:numCache>
            </c:numRef>
          </c:xVal>
          <c:yVal>
            <c:numRef>
              <c:f>Donnee_Dover_1!$E$2</c:f>
              <c:numCache>
                <c:formatCode>General</c:formatCode>
                <c:ptCount val="1"/>
              </c:numCache>
            </c:numRef>
          </c:yVal>
          <c:smooth val="0"/>
          <c:extLst>
            <c:ext xmlns:c16="http://schemas.microsoft.com/office/drawing/2014/chart" uri="{C3380CC4-5D6E-409C-BE32-E72D297353CC}">
              <c16:uniqueId val="{00000003-F667-42E3-BBF5-FF1C5997231F}"/>
            </c:ext>
          </c:extLst>
        </c:ser>
        <c:ser>
          <c:idx val="4"/>
          <c:order val="4"/>
          <c:tx>
            <c:strRef>
              <c:f>Donnee_Dover_1!$F$1</c:f>
              <c:strCache>
                <c:ptCount val="1"/>
                <c:pt idx="0">
                  <c:v>Connecteur 5</c:v>
                </c:pt>
              </c:strCache>
            </c:strRef>
          </c:tx>
          <c:spPr>
            <a:ln w="19050" cap="rnd">
              <a:solidFill>
                <a:schemeClr val="accent5"/>
              </a:solidFill>
              <a:round/>
            </a:ln>
            <a:effectLst/>
          </c:spPr>
          <c:marker>
            <c:symbol val="none"/>
          </c:marker>
          <c:xVal>
            <c:numRef>
              <c:f>Donnee_Dover_1!$A$2</c:f>
              <c:numCache>
                <c:formatCode>m/d/yyyy\ h:mm</c:formatCode>
                <c:ptCount val="1"/>
              </c:numCache>
            </c:numRef>
          </c:xVal>
          <c:yVal>
            <c:numRef>
              <c:f>Donnee_Dover_1!$F$2</c:f>
              <c:numCache>
                <c:formatCode>General</c:formatCode>
                <c:ptCount val="1"/>
              </c:numCache>
            </c:numRef>
          </c:yVal>
          <c:smooth val="0"/>
          <c:extLst>
            <c:ext xmlns:c16="http://schemas.microsoft.com/office/drawing/2014/chart" uri="{C3380CC4-5D6E-409C-BE32-E72D297353CC}">
              <c16:uniqueId val="{00000004-F667-42E3-BBF5-FF1C5997231F}"/>
            </c:ext>
          </c:extLst>
        </c:ser>
        <c:ser>
          <c:idx val="5"/>
          <c:order val="5"/>
          <c:tx>
            <c:strRef>
              <c:f>Donnee_Dover_1!$G$1</c:f>
              <c:strCache>
                <c:ptCount val="1"/>
                <c:pt idx="0">
                  <c:v>Connecteur 6</c:v>
                </c:pt>
              </c:strCache>
            </c:strRef>
          </c:tx>
          <c:spPr>
            <a:ln w="19050" cap="rnd">
              <a:solidFill>
                <a:schemeClr val="accent6"/>
              </a:solidFill>
              <a:round/>
            </a:ln>
            <a:effectLst/>
          </c:spPr>
          <c:marker>
            <c:symbol val="none"/>
          </c:marker>
          <c:xVal>
            <c:numRef>
              <c:f>Donnee_Dover_1!$A$2</c:f>
              <c:numCache>
                <c:formatCode>m/d/yyyy\ h:mm</c:formatCode>
                <c:ptCount val="1"/>
              </c:numCache>
            </c:numRef>
          </c:xVal>
          <c:yVal>
            <c:numRef>
              <c:f>Donnee_Dover_1!$G$2</c:f>
              <c:numCache>
                <c:formatCode>General</c:formatCode>
                <c:ptCount val="1"/>
              </c:numCache>
            </c:numRef>
          </c:yVal>
          <c:smooth val="0"/>
          <c:extLst>
            <c:ext xmlns:c16="http://schemas.microsoft.com/office/drawing/2014/chart" uri="{C3380CC4-5D6E-409C-BE32-E72D297353CC}">
              <c16:uniqueId val="{00000005-F667-42E3-BBF5-FF1C5997231F}"/>
            </c:ext>
          </c:extLst>
        </c:ser>
        <c:ser>
          <c:idx val="6"/>
          <c:order val="6"/>
          <c:tx>
            <c:strRef>
              <c:f>Donnee_Dover_1!$H$1</c:f>
              <c:strCache>
                <c:ptCount val="1"/>
                <c:pt idx="0">
                  <c:v>Connecteur 7</c:v>
                </c:pt>
              </c:strCache>
            </c:strRef>
          </c:tx>
          <c:spPr>
            <a:ln w="19050" cap="rnd">
              <a:solidFill>
                <a:schemeClr val="accent1">
                  <a:lumMod val="60000"/>
                </a:schemeClr>
              </a:solidFill>
              <a:round/>
            </a:ln>
            <a:effectLst/>
          </c:spPr>
          <c:marker>
            <c:symbol val="none"/>
          </c:marker>
          <c:xVal>
            <c:numRef>
              <c:f>Donnee_Dover_1!$A$2</c:f>
              <c:numCache>
                <c:formatCode>m/d/yyyy\ h:mm</c:formatCode>
                <c:ptCount val="1"/>
              </c:numCache>
            </c:numRef>
          </c:xVal>
          <c:yVal>
            <c:numRef>
              <c:f>Donnee_Dover_1!$H$2</c:f>
              <c:numCache>
                <c:formatCode>General</c:formatCode>
                <c:ptCount val="1"/>
              </c:numCache>
            </c:numRef>
          </c:yVal>
          <c:smooth val="0"/>
          <c:extLst>
            <c:ext xmlns:c16="http://schemas.microsoft.com/office/drawing/2014/chart" uri="{C3380CC4-5D6E-409C-BE32-E72D297353CC}">
              <c16:uniqueId val="{00000006-F667-42E3-BBF5-FF1C5997231F}"/>
            </c:ext>
          </c:extLst>
        </c:ser>
        <c:ser>
          <c:idx val="7"/>
          <c:order val="7"/>
          <c:tx>
            <c:strRef>
              <c:f>Donnee_Dover_1!$I$1</c:f>
              <c:strCache>
                <c:ptCount val="1"/>
                <c:pt idx="0">
                  <c:v>Connecteur 8</c:v>
                </c:pt>
              </c:strCache>
            </c:strRef>
          </c:tx>
          <c:spPr>
            <a:ln w="19050" cap="rnd">
              <a:solidFill>
                <a:schemeClr val="accent2">
                  <a:lumMod val="60000"/>
                </a:schemeClr>
              </a:solidFill>
              <a:round/>
            </a:ln>
            <a:effectLst/>
          </c:spPr>
          <c:marker>
            <c:symbol val="none"/>
          </c:marker>
          <c:xVal>
            <c:numRef>
              <c:f>Donnee_Dover_1!$A$2</c:f>
              <c:numCache>
                <c:formatCode>m/d/yyyy\ h:mm</c:formatCode>
                <c:ptCount val="1"/>
              </c:numCache>
            </c:numRef>
          </c:xVal>
          <c:yVal>
            <c:numRef>
              <c:f>Donnee_Dover_1!$I$2</c:f>
              <c:numCache>
                <c:formatCode>General</c:formatCode>
                <c:ptCount val="1"/>
              </c:numCache>
            </c:numRef>
          </c:yVal>
          <c:smooth val="0"/>
          <c:extLst>
            <c:ext xmlns:c16="http://schemas.microsoft.com/office/drawing/2014/chart" uri="{C3380CC4-5D6E-409C-BE32-E72D297353CC}">
              <c16:uniqueId val="{00000007-F667-42E3-BBF5-FF1C5997231F}"/>
            </c:ext>
          </c:extLst>
        </c:ser>
        <c:ser>
          <c:idx val="8"/>
          <c:order val="8"/>
          <c:tx>
            <c:strRef>
              <c:f>Donnee_Dover_1!$J$1</c:f>
              <c:strCache>
                <c:ptCount val="1"/>
                <c:pt idx="0">
                  <c:v>Connecteur 9</c:v>
                </c:pt>
              </c:strCache>
            </c:strRef>
          </c:tx>
          <c:spPr>
            <a:ln w="19050" cap="rnd">
              <a:solidFill>
                <a:schemeClr val="accent3">
                  <a:lumMod val="60000"/>
                </a:schemeClr>
              </a:solidFill>
              <a:round/>
            </a:ln>
            <a:effectLst/>
          </c:spPr>
          <c:marker>
            <c:symbol val="none"/>
          </c:marker>
          <c:xVal>
            <c:numRef>
              <c:f>Donnee_Dover_1!$A$2</c:f>
              <c:numCache>
                <c:formatCode>m/d/yyyy\ h:mm</c:formatCode>
                <c:ptCount val="1"/>
              </c:numCache>
            </c:numRef>
          </c:xVal>
          <c:yVal>
            <c:numRef>
              <c:f>Donnee_Dover_1!$J$2</c:f>
              <c:numCache>
                <c:formatCode>General</c:formatCode>
                <c:ptCount val="1"/>
              </c:numCache>
            </c:numRef>
          </c:yVal>
          <c:smooth val="0"/>
          <c:extLst>
            <c:ext xmlns:c16="http://schemas.microsoft.com/office/drawing/2014/chart" uri="{C3380CC4-5D6E-409C-BE32-E72D297353CC}">
              <c16:uniqueId val="{00000008-F667-42E3-BBF5-FF1C5997231F}"/>
            </c:ext>
          </c:extLst>
        </c:ser>
        <c:dLbls>
          <c:showLegendKey val="0"/>
          <c:showVal val="0"/>
          <c:showCatName val="0"/>
          <c:showSerName val="0"/>
          <c:showPercent val="0"/>
          <c:showBubbleSize val="0"/>
        </c:dLbls>
        <c:axId val="836176936"/>
        <c:axId val="836175496"/>
      </c:scatterChart>
      <c:valAx>
        <c:axId val="836176936"/>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5496"/>
        <c:crosses val="autoZero"/>
        <c:crossBetween val="midCat"/>
      </c:valAx>
      <c:valAx>
        <c:axId val="836175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6176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a:t>
            </a:r>
            <a:r>
              <a:rPr lang="fr-FR" baseline="0"/>
              <a:t> d'enregistrement</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Donnee_Dover_2!$B$1</c:f>
              <c:strCache>
                <c:ptCount val="1"/>
                <c:pt idx="0">
                  <c:v>Connecteur 1</c:v>
                </c:pt>
              </c:strCache>
            </c:strRef>
          </c:tx>
          <c:spPr>
            <a:ln w="19050" cap="rnd">
              <a:solidFill>
                <a:schemeClr val="accent1"/>
              </a:solidFill>
              <a:round/>
            </a:ln>
            <a:effectLst/>
          </c:spPr>
          <c:marker>
            <c:symbol val="none"/>
          </c:marker>
          <c:xVal>
            <c:numRef>
              <c:f>Donnee_Dover_2!$A$2</c:f>
              <c:numCache>
                <c:formatCode>m/d/yyyy\ h:mm</c:formatCode>
                <c:ptCount val="1"/>
              </c:numCache>
            </c:numRef>
          </c:xVal>
          <c:yVal>
            <c:numRef>
              <c:f>Donnee_Dover_2!$B$2</c:f>
              <c:numCache>
                <c:formatCode>General</c:formatCode>
                <c:ptCount val="1"/>
              </c:numCache>
            </c:numRef>
          </c:yVal>
          <c:smooth val="0"/>
          <c:extLst>
            <c:ext xmlns:c16="http://schemas.microsoft.com/office/drawing/2014/chart" uri="{C3380CC4-5D6E-409C-BE32-E72D297353CC}">
              <c16:uniqueId val="{00000000-49FB-489D-9C07-43BE68D0880B}"/>
            </c:ext>
          </c:extLst>
        </c:ser>
        <c:ser>
          <c:idx val="1"/>
          <c:order val="1"/>
          <c:tx>
            <c:strRef>
              <c:f>Donnee_Dover_2!$C$1</c:f>
              <c:strCache>
                <c:ptCount val="1"/>
                <c:pt idx="0">
                  <c:v>Connecteur 2</c:v>
                </c:pt>
              </c:strCache>
            </c:strRef>
          </c:tx>
          <c:spPr>
            <a:ln w="19050" cap="rnd">
              <a:solidFill>
                <a:schemeClr val="accent2"/>
              </a:solidFill>
              <a:round/>
            </a:ln>
            <a:effectLst/>
          </c:spPr>
          <c:marker>
            <c:symbol val="none"/>
          </c:marker>
          <c:xVal>
            <c:numRef>
              <c:f>Donnee_Dover_2!$A$2</c:f>
              <c:numCache>
                <c:formatCode>m/d/yyyy\ h:mm</c:formatCode>
                <c:ptCount val="1"/>
              </c:numCache>
            </c:numRef>
          </c:xVal>
          <c:yVal>
            <c:numRef>
              <c:f>Donnee_Dover_2!$C$2</c:f>
              <c:numCache>
                <c:formatCode>General</c:formatCode>
                <c:ptCount val="1"/>
              </c:numCache>
            </c:numRef>
          </c:yVal>
          <c:smooth val="0"/>
          <c:extLst>
            <c:ext xmlns:c16="http://schemas.microsoft.com/office/drawing/2014/chart" uri="{C3380CC4-5D6E-409C-BE32-E72D297353CC}">
              <c16:uniqueId val="{00000001-49FB-489D-9C07-43BE68D0880B}"/>
            </c:ext>
          </c:extLst>
        </c:ser>
        <c:ser>
          <c:idx val="2"/>
          <c:order val="2"/>
          <c:tx>
            <c:strRef>
              <c:f>Donnee_Dover_2!$D$1</c:f>
              <c:strCache>
                <c:ptCount val="1"/>
                <c:pt idx="0">
                  <c:v>Connecteur 3</c:v>
                </c:pt>
              </c:strCache>
            </c:strRef>
          </c:tx>
          <c:spPr>
            <a:ln w="19050" cap="rnd">
              <a:solidFill>
                <a:schemeClr val="accent3"/>
              </a:solidFill>
              <a:round/>
            </a:ln>
            <a:effectLst/>
          </c:spPr>
          <c:marker>
            <c:symbol val="none"/>
          </c:marker>
          <c:xVal>
            <c:numRef>
              <c:f>Donnee_Dover_2!$A$2</c:f>
              <c:numCache>
                <c:formatCode>m/d/yyyy\ h:mm</c:formatCode>
                <c:ptCount val="1"/>
              </c:numCache>
            </c:numRef>
          </c:xVal>
          <c:yVal>
            <c:numRef>
              <c:f>Donnee_Dover_2!$D$2</c:f>
              <c:numCache>
                <c:formatCode>General</c:formatCode>
                <c:ptCount val="1"/>
              </c:numCache>
            </c:numRef>
          </c:yVal>
          <c:smooth val="0"/>
          <c:extLst>
            <c:ext xmlns:c16="http://schemas.microsoft.com/office/drawing/2014/chart" uri="{C3380CC4-5D6E-409C-BE32-E72D297353CC}">
              <c16:uniqueId val="{00000002-49FB-489D-9C07-43BE68D0880B}"/>
            </c:ext>
          </c:extLst>
        </c:ser>
        <c:ser>
          <c:idx val="3"/>
          <c:order val="3"/>
          <c:tx>
            <c:strRef>
              <c:f>Donnee_Dover_2!$E$1</c:f>
              <c:strCache>
                <c:ptCount val="1"/>
                <c:pt idx="0">
                  <c:v>Connecteur 4</c:v>
                </c:pt>
              </c:strCache>
            </c:strRef>
          </c:tx>
          <c:spPr>
            <a:ln w="19050" cap="rnd">
              <a:solidFill>
                <a:schemeClr val="accent4"/>
              </a:solidFill>
              <a:round/>
            </a:ln>
            <a:effectLst/>
          </c:spPr>
          <c:marker>
            <c:symbol val="none"/>
          </c:marker>
          <c:xVal>
            <c:numRef>
              <c:f>Donnee_Dover_2!$A$2</c:f>
              <c:numCache>
                <c:formatCode>m/d/yyyy\ h:mm</c:formatCode>
                <c:ptCount val="1"/>
              </c:numCache>
            </c:numRef>
          </c:xVal>
          <c:yVal>
            <c:numRef>
              <c:f>Donnee_Dover_2!$E$2</c:f>
              <c:numCache>
                <c:formatCode>General</c:formatCode>
                <c:ptCount val="1"/>
              </c:numCache>
            </c:numRef>
          </c:yVal>
          <c:smooth val="0"/>
          <c:extLst>
            <c:ext xmlns:c16="http://schemas.microsoft.com/office/drawing/2014/chart" uri="{C3380CC4-5D6E-409C-BE32-E72D297353CC}">
              <c16:uniqueId val="{00000003-49FB-489D-9C07-43BE68D0880B}"/>
            </c:ext>
          </c:extLst>
        </c:ser>
        <c:ser>
          <c:idx val="4"/>
          <c:order val="4"/>
          <c:tx>
            <c:strRef>
              <c:f>Donnee_Dover_2!$F$1</c:f>
              <c:strCache>
                <c:ptCount val="1"/>
                <c:pt idx="0">
                  <c:v>Connecteur 5</c:v>
                </c:pt>
              </c:strCache>
            </c:strRef>
          </c:tx>
          <c:spPr>
            <a:ln w="19050" cap="rnd">
              <a:solidFill>
                <a:schemeClr val="accent5"/>
              </a:solidFill>
              <a:round/>
            </a:ln>
            <a:effectLst/>
          </c:spPr>
          <c:marker>
            <c:symbol val="none"/>
          </c:marker>
          <c:xVal>
            <c:numRef>
              <c:f>Donnee_Dover_2!$A$2</c:f>
              <c:numCache>
                <c:formatCode>m/d/yyyy\ h:mm</c:formatCode>
                <c:ptCount val="1"/>
              </c:numCache>
            </c:numRef>
          </c:xVal>
          <c:yVal>
            <c:numRef>
              <c:f>Donnee_Dover_2!$F$2</c:f>
              <c:numCache>
                <c:formatCode>General</c:formatCode>
                <c:ptCount val="1"/>
              </c:numCache>
            </c:numRef>
          </c:yVal>
          <c:smooth val="0"/>
          <c:extLst>
            <c:ext xmlns:c16="http://schemas.microsoft.com/office/drawing/2014/chart" uri="{C3380CC4-5D6E-409C-BE32-E72D297353CC}">
              <c16:uniqueId val="{00000004-49FB-489D-9C07-43BE68D0880B}"/>
            </c:ext>
          </c:extLst>
        </c:ser>
        <c:ser>
          <c:idx val="5"/>
          <c:order val="5"/>
          <c:tx>
            <c:strRef>
              <c:f>Donnee_Dover_2!$G$1</c:f>
              <c:strCache>
                <c:ptCount val="1"/>
                <c:pt idx="0">
                  <c:v>Connecteur 6</c:v>
                </c:pt>
              </c:strCache>
            </c:strRef>
          </c:tx>
          <c:spPr>
            <a:ln w="19050" cap="rnd">
              <a:solidFill>
                <a:schemeClr val="accent6"/>
              </a:solidFill>
              <a:round/>
            </a:ln>
            <a:effectLst/>
          </c:spPr>
          <c:marker>
            <c:symbol val="none"/>
          </c:marker>
          <c:xVal>
            <c:numRef>
              <c:f>Donnee_Dover_2!$A$2</c:f>
              <c:numCache>
                <c:formatCode>m/d/yyyy\ h:mm</c:formatCode>
                <c:ptCount val="1"/>
              </c:numCache>
            </c:numRef>
          </c:xVal>
          <c:yVal>
            <c:numRef>
              <c:f>Donnee_Dover_2!$G$2</c:f>
              <c:numCache>
                <c:formatCode>General</c:formatCode>
                <c:ptCount val="1"/>
              </c:numCache>
            </c:numRef>
          </c:yVal>
          <c:smooth val="0"/>
          <c:extLst>
            <c:ext xmlns:c16="http://schemas.microsoft.com/office/drawing/2014/chart" uri="{C3380CC4-5D6E-409C-BE32-E72D297353CC}">
              <c16:uniqueId val="{00000005-49FB-489D-9C07-43BE68D0880B}"/>
            </c:ext>
          </c:extLst>
        </c:ser>
        <c:ser>
          <c:idx val="6"/>
          <c:order val="6"/>
          <c:tx>
            <c:strRef>
              <c:f>Donnee_Dover_2!$H$1</c:f>
              <c:strCache>
                <c:ptCount val="1"/>
                <c:pt idx="0">
                  <c:v>Connecteur 7</c:v>
                </c:pt>
              </c:strCache>
            </c:strRef>
          </c:tx>
          <c:spPr>
            <a:ln w="19050" cap="rnd">
              <a:solidFill>
                <a:schemeClr val="accent1">
                  <a:lumMod val="60000"/>
                </a:schemeClr>
              </a:solidFill>
              <a:round/>
            </a:ln>
            <a:effectLst/>
          </c:spPr>
          <c:marker>
            <c:symbol val="none"/>
          </c:marker>
          <c:xVal>
            <c:numRef>
              <c:f>Donnee_Dover_2!$A$2</c:f>
              <c:numCache>
                <c:formatCode>m/d/yyyy\ h:mm</c:formatCode>
                <c:ptCount val="1"/>
              </c:numCache>
            </c:numRef>
          </c:xVal>
          <c:yVal>
            <c:numRef>
              <c:f>Donnee_Dover_2!$H$2</c:f>
              <c:numCache>
                <c:formatCode>General</c:formatCode>
                <c:ptCount val="1"/>
              </c:numCache>
            </c:numRef>
          </c:yVal>
          <c:smooth val="0"/>
          <c:extLst>
            <c:ext xmlns:c16="http://schemas.microsoft.com/office/drawing/2014/chart" uri="{C3380CC4-5D6E-409C-BE32-E72D297353CC}">
              <c16:uniqueId val="{00000006-49FB-489D-9C07-43BE68D0880B}"/>
            </c:ext>
          </c:extLst>
        </c:ser>
        <c:ser>
          <c:idx val="7"/>
          <c:order val="7"/>
          <c:tx>
            <c:strRef>
              <c:f>Donnee_Dover_2!$I$1</c:f>
              <c:strCache>
                <c:ptCount val="1"/>
                <c:pt idx="0">
                  <c:v>Connecteur 8</c:v>
                </c:pt>
              </c:strCache>
            </c:strRef>
          </c:tx>
          <c:spPr>
            <a:ln w="19050" cap="rnd">
              <a:solidFill>
                <a:schemeClr val="accent2">
                  <a:lumMod val="60000"/>
                </a:schemeClr>
              </a:solidFill>
              <a:round/>
            </a:ln>
            <a:effectLst/>
          </c:spPr>
          <c:marker>
            <c:symbol val="none"/>
          </c:marker>
          <c:xVal>
            <c:numRef>
              <c:f>Donnee_Dover_2!$A$2</c:f>
              <c:numCache>
                <c:formatCode>m/d/yyyy\ h:mm</c:formatCode>
                <c:ptCount val="1"/>
              </c:numCache>
            </c:numRef>
          </c:xVal>
          <c:yVal>
            <c:numRef>
              <c:f>Donnee_Dover_2!$I$2</c:f>
              <c:numCache>
                <c:formatCode>General</c:formatCode>
                <c:ptCount val="1"/>
              </c:numCache>
            </c:numRef>
          </c:yVal>
          <c:smooth val="0"/>
          <c:extLst>
            <c:ext xmlns:c16="http://schemas.microsoft.com/office/drawing/2014/chart" uri="{C3380CC4-5D6E-409C-BE32-E72D297353CC}">
              <c16:uniqueId val="{00000007-49FB-489D-9C07-43BE68D0880B}"/>
            </c:ext>
          </c:extLst>
        </c:ser>
        <c:ser>
          <c:idx val="8"/>
          <c:order val="8"/>
          <c:tx>
            <c:strRef>
              <c:f>Donnee_Dover_2!$J$1</c:f>
              <c:strCache>
                <c:ptCount val="1"/>
                <c:pt idx="0">
                  <c:v>Connecteur 9</c:v>
                </c:pt>
              </c:strCache>
            </c:strRef>
          </c:tx>
          <c:spPr>
            <a:ln w="19050" cap="rnd">
              <a:solidFill>
                <a:schemeClr val="accent3">
                  <a:lumMod val="60000"/>
                </a:schemeClr>
              </a:solidFill>
              <a:round/>
            </a:ln>
            <a:effectLst/>
          </c:spPr>
          <c:marker>
            <c:symbol val="none"/>
          </c:marker>
          <c:xVal>
            <c:numRef>
              <c:f>Donnee_Dover_2!$A$2</c:f>
              <c:numCache>
                <c:formatCode>m/d/yyyy\ h:mm</c:formatCode>
                <c:ptCount val="1"/>
              </c:numCache>
            </c:numRef>
          </c:xVal>
          <c:yVal>
            <c:numRef>
              <c:f>Donnee_Dover_2!$J$2</c:f>
              <c:numCache>
                <c:formatCode>General</c:formatCode>
                <c:ptCount val="1"/>
              </c:numCache>
            </c:numRef>
          </c:yVal>
          <c:smooth val="0"/>
          <c:extLst>
            <c:ext xmlns:c16="http://schemas.microsoft.com/office/drawing/2014/chart" uri="{C3380CC4-5D6E-409C-BE32-E72D297353CC}">
              <c16:uniqueId val="{00000008-49FB-489D-9C07-43BE68D0880B}"/>
            </c:ext>
          </c:extLst>
        </c:ser>
        <c:dLbls>
          <c:showLegendKey val="0"/>
          <c:showVal val="0"/>
          <c:showCatName val="0"/>
          <c:showSerName val="0"/>
          <c:showPercent val="0"/>
          <c:showBubbleSize val="0"/>
        </c:dLbls>
        <c:axId val="828909048"/>
        <c:axId val="828916608"/>
      </c:scatterChart>
      <c:valAx>
        <c:axId val="828909048"/>
        <c:scaling>
          <c:orientation val="minMax"/>
        </c:scaling>
        <c:delete val="0"/>
        <c:axPos val="b"/>
        <c:majorGridlines>
          <c:spPr>
            <a:ln w="9525" cap="flat" cmpd="sng" algn="ctr">
              <a:solidFill>
                <a:schemeClr val="tx1">
                  <a:lumMod val="15000"/>
                  <a:lumOff val="85000"/>
                </a:schemeClr>
              </a:solidFill>
              <a:round/>
            </a:ln>
            <a:effectLst/>
          </c:spPr>
        </c:majorGridlines>
        <c:numFmt formatCode="m/d/yyyy\ h: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16608"/>
        <c:crosses val="autoZero"/>
        <c:crossBetween val="midCat"/>
      </c:valAx>
      <c:valAx>
        <c:axId val="828916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8909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chart" Target="../charts/chart8.xml"/><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g"/><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13.xml"/><Relationship Id="rId4" Type="http://schemas.microsoft.com/office/2007/relationships/hdphoto" Target="../media/hdphoto1.wdp"/></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image" Target="../media/image5.jpg"/><Relationship Id="rId1" Type="http://schemas.openxmlformats.org/officeDocument/2006/relationships/image" Target="../media/image2.jpeg"/></Relationships>
</file>

<file path=xl/drawings/_rels/drawing1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0.xml"/><Relationship Id="rId4" Type="http://schemas.openxmlformats.org/officeDocument/2006/relationships/chart" Target="../charts/chart1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image" Target="../media/image5.jpg"/><Relationship Id="rId1" Type="http://schemas.openxmlformats.org/officeDocument/2006/relationships/image" Target="../media/image2.jpeg"/><Relationship Id="rId5" Type="http://schemas.openxmlformats.org/officeDocument/2006/relationships/chart" Target="../charts/chart26.xml"/><Relationship Id="rId4" Type="http://schemas.openxmlformats.org/officeDocument/2006/relationships/chart" Target="../charts/chart2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514350</xdr:colOff>
          <xdr:row>4</xdr:row>
          <xdr:rowOff>57150</xdr:rowOff>
        </xdr:from>
        <xdr:to>
          <xdr:col>15</xdr:col>
          <xdr:colOff>285750</xdr:colOff>
          <xdr:row>11</xdr:row>
          <xdr:rowOff>76200</xdr:rowOff>
        </xdr:to>
        <xdr:sp macro="" textlink="">
          <xdr:nvSpPr>
            <xdr:cNvPr id="10243" name="ComboBox1" descr="sedrftgyh"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6</xdr:row>
          <xdr:rowOff>171450</xdr:rowOff>
        </xdr:from>
        <xdr:to>
          <xdr:col>6</xdr:col>
          <xdr:colOff>0</xdr:colOff>
          <xdr:row>10</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400" b="0" i="0" u="none" strike="noStrike" baseline="0">
                  <a:solidFill>
                    <a:srgbClr val="000000"/>
                  </a:solidFill>
                  <a:latin typeface="Calibri"/>
                  <a:cs typeface="Calibri"/>
                </a:rPr>
                <a:t>Traitement automatique TUS</a:t>
              </a:r>
            </a:p>
          </xdr:txBody>
        </xdr:sp>
        <xdr:clientData fPrintsWithSheet="0"/>
      </xdr:twoCellAnchor>
    </mc:Choice>
    <mc:Fallback/>
  </mc:AlternateContent>
  <xdr:twoCellAnchor>
    <xdr:from>
      <xdr:col>0</xdr:col>
      <xdr:colOff>434629</xdr:colOff>
      <xdr:row>36</xdr:row>
      <xdr:rowOff>95245</xdr:rowOff>
    </xdr:from>
    <xdr:to>
      <xdr:col>1</xdr:col>
      <xdr:colOff>1409740</xdr:colOff>
      <xdr:row>49</xdr:row>
      <xdr:rowOff>130345</xdr:rowOff>
    </xdr:to>
    <xdr:grpSp>
      <xdr:nvGrpSpPr>
        <xdr:cNvPr id="2" name="Groupe 1">
          <a:extLst>
            <a:ext uri="{FF2B5EF4-FFF2-40B4-BE49-F238E27FC236}">
              <a16:creationId xmlns:a16="http://schemas.microsoft.com/office/drawing/2014/main" id="{00000000-0008-0000-0300-000002000000}"/>
            </a:ext>
          </a:extLst>
        </xdr:cNvPr>
        <xdr:cNvGrpSpPr/>
      </xdr:nvGrpSpPr>
      <xdr:grpSpPr>
        <a:xfrm>
          <a:off x="434629" y="8259531"/>
          <a:ext cx="3601290" cy="3532135"/>
          <a:chOff x="2463313" y="7293419"/>
          <a:chExt cx="6636551" cy="6095363"/>
        </a:xfrm>
      </xdr:grpSpPr>
      <xdr:grpSp>
        <xdr:nvGrpSpPr>
          <xdr:cNvPr id="3" name="Groupe 2">
            <a:extLst>
              <a:ext uri="{FF2B5EF4-FFF2-40B4-BE49-F238E27FC236}">
                <a16:creationId xmlns:a16="http://schemas.microsoft.com/office/drawing/2014/main" id="{00000000-0008-0000-0300-000003000000}"/>
              </a:ext>
            </a:extLst>
          </xdr:cNvPr>
          <xdr:cNvGrpSpPr/>
        </xdr:nvGrpSpPr>
        <xdr:grpSpPr>
          <a:xfrm>
            <a:off x="2463313" y="7293419"/>
            <a:ext cx="6636551" cy="6095363"/>
            <a:chOff x="6422083" y="25878608"/>
            <a:chExt cx="6648938" cy="6081770"/>
          </a:xfrm>
        </xdr:grpSpPr>
        <xdr:grpSp>
          <xdr:nvGrpSpPr>
            <xdr:cNvPr id="13" name="Groupe 12">
              <a:extLst>
                <a:ext uri="{FF2B5EF4-FFF2-40B4-BE49-F238E27FC236}">
                  <a16:creationId xmlns:a16="http://schemas.microsoft.com/office/drawing/2014/main" id="{00000000-0008-0000-0300-00000D000000}"/>
                </a:ext>
              </a:extLst>
            </xdr:cNvPr>
            <xdr:cNvGrpSpPr/>
          </xdr:nvGrpSpPr>
          <xdr:grpSpPr>
            <a:xfrm>
              <a:off x="6422083" y="26474592"/>
              <a:ext cx="6648938" cy="5485786"/>
              <a:chOff x="5684687" y="27738378"/>
              <a:chExt cx="5730039" cy="5749301"/>
            </a:xfrm>
          </xdr:grpSpPr>
          <xdr:grpSp>
            <xdr:nvGrpSpPr>
              <xdr:cNvPr id="68608" name="Groupe 68607">
                <a:extLst>
                  <a:ext uri="{FF2B5EF4-FFF2-40B4-BE49-F238E27FC236}">
                    <a16:creationId xmlns:a16="http://schemas.microsoft.com/office/drawing/2014/main" id="{00000000-0008-0000-0300-0000000C0100}"/>
                  </a:ext>
                </a:extLst>
              </xdr:cNvPr>
              <xdr:cNvGrpSpPr/>
            </xdr:nvGrpSpPr>
            <xdr:grpSpPr>
              <a:xfrm>
                <a:off x="5684687" y="27738378"/>
                <a:ext cx="5730039" cy="5749301"/>
                <a:chOff x="5590566" y="726873"/>
                <a:chExt cx="5366620" cy="5749301"/>
              </a:xfrm>
            </xdr:grpSpPr>
            <xdr:sp macro="" textlink="">
              <xdr:nvSpPr>
                <xdr:cNvPr id="68614" name="Organigramme : Terminateur 68613">
                  <a:extLst>
                    <a:ext uri="{FF2B5EF4-FFF2-40B4-BE49-F238E27FC236}">
                      <a16:creationId xmlns:a16="http://schemas.microsoft.com/office/drawing/2014/main" id="{00000000-0008-0000-0300-0000060C0100}"/>
                    </a:ext>
                  </a:extLst>
                </xdr:cNvPr>
                <xdr:cNvSpPr/>
              </xdr:nvSpPr>
              <xdr:spPr>
                <a:xfrm>
                  <a:off x="6800335" y="6011598"/>
                  <a:ext cx="1773538" cy="464576"/>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68615" name="Groupe 68614">
                  <a:extLst>
                    <a:ext uri="{FF2B5EF4-FFF2-40B4-BE49-F238E27FC236}">
                      <a16:creationId xmlns:a16="http://schemas.microsoft.com/office/drawing/2014/main" id="{00000000-0008-0000-0300-0000070C0100}"/>
                    </a:ext>
                  </a:extLst>
                </xdr:cNvPr>
                <xdr:cNvGrpSpPr/>
              </xdr:nvGrpSpPr>
              <xdr:grpSpPr>
                <a:xfrm>
                  <a:off x="5590566" y="726873"/>
                  <a:ext cx="5366620" cy="5157554"/>
                  <a:chOff x="3079760" y="768600"/>
                  <a:chExt cx="4722989" cy="4177263"/>
                </a:xfrm>
              </xdr:grpSpPr>
              <xdr:grpSp>
                <xdr:nvGrpSpPr>
                  <xdr:cNvPr id="68616" name="Groupe 68615">
                    <a:extLst>
                      <a:ext uri="{FF2B5EF4-FFF2-40B4-BE49-F238E27FC236}">
                        <a16:creationId xmlns:a16="http://schemas.microsoft.com/office/drawing/2014/main" id="{00000000-0008-0000-0300-0000080C0100}"/>
                      </a:ext>
                    </a:extLst>
                  </xdr:cNvPr>
                  <xdr:cNvGrpSpPr/>
                </xdr:nvGrpSpPr>
                <xdr:grpSpPr>
                  <a:xfrm>
                    <a:off x="6788227" y="3014605"/>
                    <a:ext cx="1014522" cy="369214"/>
                    <a:chOff x="10551833" y="2920942"/>
                    <a:chExt cx="1260487" cy="388305"/>
                  </a:xfrm>
                </xdr:grpSpPr>
                <xdr:sp macro="" textlink="">
                  <xdr:nvSpPr>
                    <xdr:cNvPr id="68651" name="Flèche : pentagone 57">
                      <a:extLst>
                        <a:ext uri="{FF2B5EF4-FFF2-40B4-BE49-F238E27FC236}">
                          <a16:creationId xmlns:a16="http://schemas.microsoft.com/office/drawing/2014/main" id="{00000000-0008-0000-0300-00002B0C0100}"/>
                        </a:ext>
                      </a:extLst>
                    </xdr:cNvPr>
                    <xdr:cNvSpPr/>
                  </xdr:nvSpPr>
                  <xdr:spPr>
                    <a:xfrm rot="10800000">
                      <a:off x="10551833" y="2920942"/>
                      <a:ext cx="1160146" cy="388305"/>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68652" name="Zone de texte 2">
                      <a:extLst>
                        <a:ext uri="{FF2B5EF4-FFF2-40B4-BE49-F238E27FC236}">
                          <a16:creationId xmlns:a16="http://schemas.microsoft.com/office/drawing/2014/main" id="{00000000-0008-0000-0300-00002C0C0100}"/>
                        </a:ext>
                      </a:extLst>
                    </xdr:cNvPr>
                    <xdr:cNvSpPr txBox="1"/>
                  </xdr:nvSpPr>
                  <xdr:spPr>
                    <a:xfrm>
                      <a:off x="10589284" y="2935524"/>
                      <a:ext cx="1223036" cy="35621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7" name="Groupe 68616">
                    <a:extLst>
                      <a:ext uri="{FF2B5EF4-FFF2-40B4-BE49-F238E27FC236}">
                        <a16:creationId xmlns:a16="http://schemas.microsoft.com/office/drawing/2014/main" id="{00000000-0008-0000-0300-0000090C0100}"/>
                      </a:ext>
                    </a:extLst>
                  </xdr:cNvPr>
                  <xdr:cNvGrpSpPr/>
                </xdr:nvGrpSpPr>
                <xdr:grpSpPr>
                  <a:xfrm rot="10800000">
                    <a:off x="3079760" y="2970313"/>
                    <a:ext cx="954157" cy="357739"/>
                    <a:chOff x="0" y="-100156"/>
                    <a:chExt cx="1372726" cy="376781"/>
                  </a:xfrm>
                </xdr:grpSpPr>
                <xdr:sp macro="" textlink="">
                  <xdr:nvSpPr>
                    <xdr:cNvPr id="68649" name="Flèche : pentagone 55">
                      <a:extLst>
                        <a:ext uri="{FF2B5EF4-FFF2-40B4-BE49-F238E27FC236}">
                          <a16:creationId xmlns:a16="http://schemas.microsoft.com/office/drawing/2014/main" id="{00000000-0008-0000-0300-0000290C0100}"/>
                        </a:ext>
                      </a:extLst>
                    </xdr:cNvPr>
                    <xdr:cNvSpPr/>
                  </xdr:nvSpPr>
                  <xdr:spPr>
                    <a:xfrm rot="10800000">
                      <a:off x="0" y="-100156"/>
                      <a:ext cx="1333365" cy="376781"/>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8650" name="Zone de texte 7">
                      <a:extLst>
                        <a:ext uri="{FF2B5EF4-FFF2-40B4-BE49-F238E27FC236}">
                          <a16:creationId xmlns:a16="http://schemas.microsoft.com/office/drawing/2014/main" id="{00000000-0008-0000-0300-00002A0C0100}"/>
                        </a:ext>
                      </a:extLst>
                    </xdr:cNvPr>
                    <xdr:cNvSpPr txBox="1"/>
                  </xdr:nvSpPr>
                  <xdr:spPr>
                    <a:xfrm rot="10800000">
                      <a:off x="95839" y="-93869"/>
                      <a:ext cx="1276887" cy="332231"/>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68618" name="Groupe 68617">
                    <a:extLst>
                      <a:ext uri="{FF2B5EF4-FFF2-40B4-BE49-F238E27FC236}">
                        <a16:creationId xmlns:a16="http://schemas.microsoft.com/office/drawing/2014/main" id="{00000000-0008-0000-0300-00000A0C0100}"/>
                      </a:ext>
                    </a:extLst>
                  </xdr:cNvPr>
                  <xdr:cNvGrpSpPr/>
                </xdr:nvGrpSpPr>
                <xdr:grpSpPr>
                  <a:xfrm>
                    <a:off x="4101596" y="768600"/>
                    <a:ext cx="2646900" cy="4177263"/>
                    <a:chOff x="4080934" y="768007"/>
                    <a:chExt cx="2646900" cy="4177263"/>
                  </a:xfrm>
                </xdr:grpSpPr>
                <xdr:grpSp>
                  <xdr:nvGrpSpPr>
                    <xdr:cNvPr id="68619" name="Groupe 68618">
                      <a:extLst>
                        <a:ext uri="{FF2B5EF4-FFF2-40B4-BE49-F238E27FC236}">
                          <a16:creationId xmlns:a16="http://schemas.microsoft.com/office/drawing/2014/main" id="{00000000-0008-0000-0300-00000B0C0100}"/>
                        </a:ext>
                      </a:extLst>
                    </xdr:cNvPr>
                    <xdr:cNvGrpSpPr/>
                  </xdr:nvGrpSpPr>
                  <xdr:grpSpPr>
                    <a:xfrm>
                      <a:off x="4080934" y="1428305"/>
                      <a:ext cx="2646900" cy="3516965"/>
                      <a:chOff x="7035923" y="2618913"/>
                      <a:chExt cx="2768724" cy="3320248"/>
                    </a:xfrm>
                  </xdr:grpSpPr>
                  <xdr:sp macro="" textlink="">
                    <xdr:nvSpPr>
                      <xdr:cNvPr id="68632" name="Rectangle 68631">
                        <a:extLst>
                          <a:ext uri="{FF2B5EF4-FFF2-40B4-BE49-F238E27FC236}">
                            <a16:creationId xmlns:a16="http://schemas.microsoft.com/office/drawing/2014/main" id="{00000000-0008-0000-0300-0000180C01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633" name="Connecteur droit 68632">
                        <a:extLst>
                          <a:ext uri="{FF2B5EF4-FFF2-40B4-BE49-F238E27FC236}">
                            <a16:creationId xmlns:a16="http://schemas.microsoft.com/office/drawing/2014/main" id="{00000000-0008-0000-0300-0000190C01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4" name="Connecteur droit 68633">
                        <a:extLst>
                          <a:ext uri="{FF2B5EF4-FFF2-40B4-BE49-F238E27FC236}">
                            <a16:creationId xmlns:a16="http://schemas.microsoft.com/office/drawing/2014/main" id="{00000000-0008-0000-0300-00001A0C01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5" name="Connecteur droit 68634">
                        <a:extLst>
                          <a:ext uri="{FF2B5EF4-FFF2-40B4-BE49-F238E27FC236}">
                            <a16:creationId xmlns:a16="http://schemas.microsoft.com/office/drawing/2014/main" id="{00000000-0008-0000-0300-00001B0C01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6" name="Connecteur droit 68635">
                        <a:extLst>
                          <a:ext uri="{FF2B5EF4-FFF2-40B4-BE49-F238E27FC236}">
                            <a16:creationId xmlns:a16="http://schemas.microsoft.com/office/drawing/2014/main" id="{00000000-0008-0000-0300-00001C0C01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37" name="Connecteur droit 68636">
                        <a:extLst>
                          <a:ext uri="{FF2B5EF4-FFF2-40B4-BE49-F238E27FC236}">
                            <a16:creationId xmlns:a16="http://schemas.microsoft.com/office/drawing/2014/main" id="{00000000-0008-0000-0300-00001D0C01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8" name="Connecteur droit 68637">
                        <a:extLst>
                          <a:ext uri="{FF2B5EF4-FFF2-40B4-BE49-F238E27FC236}">
                            <a16:creationId xmlns:a16="http://schemas.microsoft.com/office/drawing/2014/main" id="{00000000-0008-0000-0300-00001E0C01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39" name="Connecteur droit 68638">
                        <a:extLst>
                          <a:ext uri="{FF2B5EF4-FFF2-40B4-BE49-F238E27FC236}">
                            <a16:creationId xmlns:a16="http://schemas.microsoft.com/office/drawing/2014/main" id="{00000000-0008-0000-0300-00001F0C01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0" name="Connecteur droit 68639">
                        <a:extLst>
                          <a:ext uri="{FF2B5EF4-FFF2-40B4-BE49-F238E27FC236}">
                            <a16:creationId xmlns:a16="http://schemas.microsoft.com/office/drawing/2014/main" id="{00000000-0008-0000-0300-0000200C01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1" name="Connecteur droit 68640">
                        <a:extLst>
                          <a:ext uri="{FF2B5EF4-FFF2-40B4-BE49-F238E27FC236}">
                            <a16:creationId xmlns:a16="http://schemas.microsoft.com/office/drawing/2014/main" id="{00000000-0008-0000-0300-0000210C01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2" name="Connecteur droit 68641">
                        <a:extLst>
                          <a:ext uri="{FF2B5EF4-FFF2-40B4-BE49-F238E27FC236}">
                            <a16:creationId xmlns:a16="http://schemas.microsoft.com/office/drawing/2014/main" id="{00000000-0008-0000-0300-0000220C01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3" name="Connecteur droit 68642">
                        <a:extLst>
                          <a:ext uri="{FF2B5EF4-FFF2-40B4-BE49-F238E27FC236}">
                            <a16:creationId xmlns:a16="http://schemas.microsoft.com/office/drawing/2014/main" id="{00000000-0008-0000-0300-0000230C01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68644" name="Connecteur droit 68643">
                        <a:extLst>
                          <a:ext uri="{FF2B5EF4-FFF2-40B4-BE49-F238E27FC236}">
                            <a16:creationId xmlns:a16="http://schemas.microsoft.com/office/drawing/2014/main" id="{00000000-0008-0000-0300-0000240C01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5" name="Connecteur droit 68644">
                        <a:extLst>
                          <a:ext uri="{FF2B5EF4-FFF2-40B4-BE49-F238E27FC236}">
                            <a16:creationId xmlns:a16="http://schemas.microsoft.com/office/drawing/2014/main" id="{00000000-0008-0000-0300-0000250C01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6" name="Connecteur droit 68645">
                        <a:extLst>
                          <a:ext uri="{FF2B5EF4-FFF2-40B4-BE49-F238E27FC236}">
                            <a16:creationId xmlns:a16="http://schemas.microsoft.com/office/drawing/2014/main" id="{00000000-0008-0000-0300-0000260C01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7" name="Connecteur droit 68646">
                        <a:extLst>
                          <a:ext uri="{FF2B5EF4-FFF2-40B4-BE49-F238E27FC236}">
                            <a16:creationId xmlns:a16="http://schemas.microsoft.com/office/drawing/2014/main" id="{00000000-0008-0000-0300-0000270C01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8648" name="Connecteur droit 68647">
                        <a:extLst>
                          <a:ext uri="{FF2B5EF4-FFF2-40B4-BE49-F238E27FC236}">
                            <a16:creationId xmlns:a16="http://schemas.microsoft.com/office/drawing/2014/main" id="{00000000-0008-0000-0300-0000280C01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68620" name="Groupe 68619">
                      <a:extLst>
                        <a:ext uri="{FF2B5EF4-FFF2-40B4-BE49-F238E27FC236}">
                          <a16:creationId xmlns:a16="http://schemas.microsoft.com/office/drawing/2014/main" id="{00000000-0008-0000-0300-00000C0C0100}"/>
                        </a:ext>
                      </a:extLst>
                    </xdr:cNvPr>
                    <xdr:cNvGrpSpPr/>
                  </xdr:nvGrpSpPr>
                  <xdr:grpSpPr>
                    <a:xfrm>
                      <a:off x="4090064" y="1404736"/>
                      <a:ext cx="799986" cy="719739"/>
                      <a:chOff x="4090064" y="1404736"/>
                      <a:chExt cx="799986" cy="719739"/>
                    </a:xfrm>
                  </xdr:grpSpPr>
                  <xdr:cxnSp macro="">
                    <xdr:nvCxnSpPr>
                      <xdr:cNvPr id="68629" name="Connecteur droit avec flèche 68628">
                        <a:extLst>
                          <a:ext uri="{FF2B5EF4-FFF2-40B4-BE49-F238E27FC236}">
                            <a16:creationId xmlns:a16="http://schemas.microsoft.com/office/drawing/2014/main" id="{00000000-0008-0000-0300-000015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30" name="Connecteur droit 68629">
                        <a:extLst>
                          <a:ext uri="{FF2B5EF4-FFF2-40B4-BE49-F238E27FC236}">
                            <a16:creationId xmlns:a16="http://schemas.microsoft.com/office/drawing/2014/main" id="{00000000-0008-0000-0300-0000160C01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31" name="ZoneTexte 37">
                        <a:extLst>
                          <a:ext uri="{FF2B5EF4-FFF2-40B4-BE49-F238E27FC236}">
                            <a16:creationId xmlns:a16="http://schemas.microsoft.com/office/drawing/2014/main" id="{00000000-0008-0000-0300-000017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1" name="Groupe 68620">
                      <a:extLst>
                        <a:ext uri="{FF2B5EF4-FFF2-40B4-BE49-F238E27FC236}">
                          <a16:creationId xmlns:a16="http://schemas.microsoft.com/office/drawing/2014/main" id="{00000000-0008-0000-0300-00000D0C0100}"/>
                        </a:ext>
                      </a:extLst>
                    </xdr:cNvPr>
                    <xdr:cNvGrpSpPr/>
                  </xdr:nvGrpSpPr>
                  <xdr:grpSpPr>
                    <a:xfrm>
                      <a:off x="5664390" y="1530820"/>
                      <a:ext cx="793202" cy="594311"/>
                      <a:chOff x="4096848" y="1530164"/>
                      <a:chExt cx="793202" cy="594311"/>
                    </a:xfrm>
                  </xdr:grpSpPr>
                  <xdr:cxnSp macro="">
                    <xdr:nvCxnSpPr>
                      <xdr:cNvPr id="68626" name="Connecteur droit avec flèche 68625">
                        <a:extLst>
                          <a:ext uri="{FF2B5EF4-FFF2-40B4-BE49-F238E27FC236}">
                            <a16:creationId xmlns:a16="http://schemas.microsoft.com/office/drawing/2014/main" id="{00000000-0008-0000-0300-0000120C01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7" name="Connecteur droit 68626">
                        <a:extLst>
                          <a:ext uri="{FF2B5EF4-FFF2-40B4-BE49-F238E27FC236}">
                            <a16:creationId xmlns:a16="http://schemas.microsoft.com/office/drawing/2014/main" id="{00000000-0008-0000-0300-0000130C01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8" name="ZoneTexte 33">
                        <a:extLst>
                          <a:ext uri="{FF2B5EF4-FFF2-40B4-BE49-F238E27FC236}">
                            <a16:creationId xmlns:a16="http://schemas.microsoft.com/office/drawing/2014/main" id="{00000000-0008-0000-0300-0000140C01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68622" name="Groupe 68621">
                      <a:extLst>
                        <a:ext uri="{FF2B5EF4-FFF2-40B4-BE49-F238E27FC236}">
                          <a16:creationId xmlns:a16="http://schemas.microsoft.com/office/drawing/2014/main" id="{00000000-0008-0000-0300-00000E0C0100}"/>
                        </a:ext>
                      </a:extLst>
                    </xdr:cNvPr>
                    <xdr:cNvGrpSpPr/>
                  </xdr:nvGrpSpPr>
                  <xdr:grpSpPr>
                    <a:xfrm>
                      <a:off x="5158826" y="768007"/>
                      <a:ext cx="654031" cy="671323"/>
                      <a:chOff x="4096833" y="1444280"/>
                      <a:chExt cx="654031" cy="671323"/>
                    </a:xfrm>
                  </xdr:grpSpPr>
                  <xdr:cxnSp macro="">
                    <xdr:nvCxnSpPr>
                      <xdr:cNvPr id="68623" name="Connecteur droit avec flèche 68622">
                        <a:extLst>
                          <a:ext uri="{FF2B5EF4-FFF2-40B4-BE49-F238E27FC236}">
                            <a16:creationId xmlns:a16="http://schemas.microsoft.com/office/drawing/2014/main" id="{00000000-0008-0000-0300-00000F0C01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8624" name="Connecteur droit 68623">
                        <a:extLst>
                          <a:ext uri="{FF2B5EF4-FFF2-40B4-BE49-F238E27FC236}">
                            <a16:creationId xmlns:a16="http://schemas.microsoft.com/office/drawing/2014/main" id="{00000000-0008-0000-0300-0000100C01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8625" name="ZoneTexte 29">
                        <a:extLst>
                          <a:ext uri="{FF2B5EF4-FFF2-40B4-BE49-F238E27FC236}">
                            <a16:creationId xmlns:a16="http://schemas.microsoft.com/office/drawing/2014/main" id="{00000000-0008-0000-0300-0000110C01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68610" name="Groupe 68609">
                <a:extLst>
                  <a:ext uri="{FF2B5EF4-FFF2-40B4-BE49-F238E27FC236}">
                    <a16:creationId xmlns:a16="http://schemas.microsoft.com/office/drawing/2014/main" id="{00000000-0008-0000-0300-0000020C0100}"/>
                  </a:ext>
                </a:extLst>
              </xdr:cNvPr>
              <xdr:cNvGrpSpPr/>
            </xdr:nvGrpSpPr>
            <xdr:grpSpPr>
              <a:xfrm>
                <a:off x="10123465" y="27860101"/>
                <a:ext cx="1028795" cy="733781"/>
                <a:chOff x="10123465" y="27860101"/>
                <a:chExt cx="1028795" cy="733781"/>
              </a:xfrm>
            </xdr:grpSpPr>
            <xdr:cxnSp macro="">
              <xdr:nvCxnSpPr>
                <xdr:cNvPr id="68611" name="Connecteur droit 68610">
                  <a:extLst>
                    <a:ext uri="{FF2B5EF4-FFF2-40B4-BE49-F238E27FC236}">
                      <a16:creationId xmlns:a16="http://schemas.microsoft.com/office/drawing/2014/main" id="{00000000-0008-0000-0300-0000030C01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68612" name="Connecteur droit avec flèche 68611">
                  <a:extLst>
                    <a:ext uri="{FF2B5EF4-FFF2-40B4-BE49-F238E27FC236}">
                      <a16:creationId xmlns:a16="http://schemas.microsoft.com/office/drawing/2014/main" id="{00000000-0008-0000-0300-0000040C01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8613" name="ZoneTexte 29">
                  <a:extLst>
                    <a:ext uri="{FF2B5EF4-FFF2-40B4-BE49-F238E27FC236}">
                      <a16:creationId xmlns:a16="http://schemas.microsoft.com/office/drawing/2014/main" id="{00000000-0008-0000-0300-0000050C01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C$28">
          <xdr:nvSpPr>
            <xdr:cNvPr id="14" name="Dodécagone 13">
              <a:extLst>
                <a:ext uri="{FF2B5EF4-FFF2-40B4-BE49-F238E27FC236}">
                  <a16:creationId xmlns:a16="http://schemas.microsoft.com/office/drawing/2014/main" id="{00000000-0008-0000-0300-00000E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085136-3363-464D-9187-A8A17D46FD89}" type="TxLink">
                <a:rPr lang="en-US" sz="1100" b="0" i="0" u="none" strike="noStrike">
                  <a:solidFill>
                    <a:srgbClr val="000000"/>
                  </a:solidFill>
                  <a:latin typeface="Calibri"/>
                  <a:cs typeface="Calibri"/>
                </a:rPr>
                <a:pPr algn="l"/>
                <a:t>1</a:t>
              </a:fld>
              <a:endParaRPr lang="en-US" sz="1100" b="0" i="0" u="none" strike="noStrike">
                <a:solidFill>
                  <a:srgbClr val="000000"/>
                </a:solidFill>
                <a:latin typeface="Calibri"/>
                <a:cs typeface="Calibri"/>
              </a:endParaRPr>
            </a:p>
          </xdr:txBody>
        </xdr:sp>
        <xdr:sp macro="" textlink="$C29">
          <xdr:nvSpPr>
            <xdr:cNvPr id="15" name="Dodécagone 14">
              <a:extLst>
                <a:ext uri="{FF2B5EF4-FFF2-40B4-BE49-F238E27FC236}">
                  <a16:creationId xmlns:a16="http://schemas.microsoft.com/office/drawing/2014/main" id="{00000000-0008-0000-0300-00000F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78DC204-7C53-407B-97EA-2030A3093221}" type="TxLink">
                <a:rPr lang="en-US" sz="1100" b="0" i="0" u="none" strike="noStrike">
                  <a:solidFill>
                    <a:srgbClr val="000000"/>
                  </a:solidFill>
                  <a:latin typeface="Calibri"/>
                  <a:cs typeface="Calibri"/>
                </a:rPr>
                <a:pPr algn="l"/>
                <a:t>2</a:t>
              </a:fld>
              <a:endParaRPr lang="fr-FR" sz="1100"/>
            </a:p>
          </xdr:txBody>
        </xdr:sp>
        <xdr:sp macro="" textlink="$C30">
          <xdr:nvSpPr>
            <xdr:cNvPr id="16" name="Dodécagone 15">
              <a:extLst>
                <a:ext uri="{FF2B5EF4-FFF2-40B4-BE49-F238E27FC236}">
                  <a16:creationId xmlns:a16="http://schemas.microsoft.com/office/drawing/2014/main" id="{00000000-0008-0000-0300-000010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32BA44A-48E4-4E98-86BA-2FFDA962A8F3}" type="TxLink">
                <a:rPr lang="en-US" sz="1100" b="0" i="0" u="none" strike="noStrike">
                  <a:solidFill>
                    <a:srgbClr val="000000"/>
                  </a:solidFill>
                  <a:latin typeface="Calibri"/>
                  <a:cs typeface="Calibri"/>
                </a:rPr>
                <a:pPr algn="l"/>
                <a:t>3</a:t>
              </a:fld>
              <a:endParaRPr lang="fr-FR" sz="1100"/>
            </a:p>
          </xdr:txBody>
        </xdr:sp>
        <xdr:sp macro="" textlink="$C31">
          <xdr:nvSpPr>
            <xdr:cNvPr id="17" name="Dodécagone 16">
              <a:extLst>
                <a:ext uri="{FF2B5EF4-FFF2-40B4-BE49-F238E27FC236}">
                  <a16:creationId xmlns:a16="http://schemas.microsoft.com/office/drawing/2014/main" id="{00000000-0008-0000-0300-000011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4C96B2E-9475-4C3B-A085-118272164E09}" type="TxLink">
                <a:rPr lang="en-US" sz="1100" b="0" i="0" u="none" strike="noStrike">
                  <a:solidFill>
                    <a:srgbClr val="000000"/>
                  </a:solidFill>
                  <a:latin typeface="Calibri"/>
                  <a:cs typeface="Calibri"/>
                </a:rPr>
                <a:pPr algn="l"/>
                <a:t>4</a:t>
              </a:fld>
              <a:endParaRPr lang="fr-FR" sz="1100"/>
            </a:p>
          </xdr:txBody>
        </xdr:sp>
        <xdr:sp macro="" textlink="$C32">
          <xdr:nvSpPr>
            <xdr:cNvPr id="18" name="Dodécagone 17">
              <a:extLst>
                <a:ext uri="{FF2B5EF4-FFF2-40B4-BE49-F238E27FC236}">
                  <a16:creationId xmlns:a16="http://schemas.microsoft.com/office/drawing/2014/main" id="{00000000-0008-0000-0300-000012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A5117F51-2EE5-479F-9A3C-CC7E66B754C4}" type="TxLink">
                <a:rPr lang="en-US" sz="1100" b="0" i="0" u="none" strike="noStrike">
                  <a:solidFill>
                    <a:srgbClr val="000000"/>
                  </a:solidFill>
                  <a:latin typeface="Calibri"/>
                  <a:cs typeface="Calibri"/>
                </a:rPr>
                <a:pPr algn="l"/>
                <a:t>5</a:t>
              </a:fld>
              <a:endParaRPr lang="fr-FR" sz="1100"/>
            </a:p>
          </xdr:txBody>
        </xdr:sp>
        <xdr:sp macro="" textlink="$C35">
          <xdr:nvSpPr>
            <xdr:cNvPr id="19" name="Dodécagone 18">
              <a:extLst>
                <a:ext uri="{FF2B5EF4-FFF2-40B4-BE49-F238E27FC236}">
                  <a16:creationId xmlns:a16="http://schemas.microsoft.com/office/drawing/2014/main" id="{00000000-0008-0000-0300-000013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941F972-10B1-436F-8272-88806995C94E}" type="TxLink">
                <a:rPr lang="en-US" sz="1100" b="0" i="0" u="none" strike="noStrike">
                  <a:solidFill>
                    <a:srgbClr val="000000"/>
                  </a:solidFill>
                  <a:latin typeface="Calibri"/>
                  <a:cs typeface="Calibri"/>
                </a:rPr>
                <a:pPr algn="l"/>
                <a:t>8</a:t>
              </a:fld>
              <a:endParaRPr lang="fr-FR" sz="1100"/>
            </a:p>
          </xdr:txBody>
        </xdr:sp>
        <xdr:sp macro="" textlink="$C33">
          <xdr:nvSpPr>
            <xdr:cNvPr id="20" name="Dodécagone 19">
              <a:extLst>
                <a:ext uri="{FF2B5EF4-FFF2-40B4-BE49-F238E27FC236}">
                  <a16:creationId xmlns:a16="http://schemas.microsoft.com/office/drawing/2014/main" id="{00000000-0008-0000-0300-000014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564CA02-9E4F-46FF-989C-D910B62616AF}" type="TxLink">
                <a:rPr lang="en-US" sz="1100" b="0" i="0" u="none" strike="noStrike">
                  <a:solidFill>
                    <a:srgbClr val="000000"/>
                  </a:solidFill>
                  <a:latin typeface="Calibri"/>
                  <a:cs typeface="Calibri"/>
                </a:rPr>
                <a:pPr algn="l"/>
                <a:t>6</a:t>
              </a:fld>
              <a:endParaRPr lang="fr-FR" sz="1100"/>
            </a:p>
          </xdr:txBody>
        </xdr:sp>
        <xdr:sp macro="" textlink="$C34">
          <xdr:nvSpPr>
            <xdr:cNvPr id="21" name="Dodécagone 20">
              <a:extLst>
                <a:ext uri="{FF2B5EF4-FFF2-40B4-BE49-F238E27FC236}">
                  <a16:creationId xmlns:a16="http://schemas.microsoft.com/office/drawing/2014/main" id="{00000000-0008-0000-0300-000015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598C577-2893-4341-9E53-80D94AC69706}" type="TxLink">
                <a:rPr lang="en-US" sz="1100" b="0" i="0" u="none" strike="noStrike">
                  <a:solidFill>
                    <a:srgbClr val="000000"/>
                  </a:solidFill>
                  <a:latin typeface="Calibri"/>
                  <a:cs typeface="Calibri"/>
                </a:rPr>
                <a:pPr algn="l"/>
                <a:t>7</a:t>
              </a:fld>
              <a:endParaRPr lang="fr-FR" sz="1100"/>
            </a:p>
          </xdr:txBody>
        </xdr:sp>
        <xdr:sp macro="" textlink="$B$28">
          <xdr:nvSpPr>
            <xdr:cNvPr id="22" name="Dodécagone 21">
              <a:extLst>
                <a:ext uri="{FF2B5EF4-FFF2-40B4-BE49-F238E27FC236}">
                  <a16:creationId xmlns:a16="http://schemas.microsoft.com/office/drawing/2014/main" id="{00000000-0008-0000-0300-000016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DC08ADA-7948-4C0B-87CD-BCAC636E4845}" type="TxLink">
                <a:rPr lang="en-US" sz="1100" b="0" i="0" u="none" strike="noStrike">
                  <a:solidFill>
                    <a:srgbClr val="000000"/>
                  </a:solidFill>
                  <a:latin typeface="Calibri"/>
                  <a:cs typeface="Calibri"/>
                </a:rPr>
                <a:pPr algn="l"/>
                <a:t>1</a:t>
              </a:fld>
              <a:endParaRPr lang="fr-FR" sz="1100"/>
            </a:p>
          </xdr:txBody>
        </xdr:sp>
        <xdr:sp macro="" textlink="$B$29">
          <xdr:nvSpPr>
            <xdr:cNvPr id="23" name="Dodécagone 22">
              <a:extLst>
                <a:ext uri="{FF2B5EF4-FFF2-40B4-BE49-F238E27FC236}">
                  <a16:creationId xmlns:a16="http://schemas.microsoft.com/office/drawing/2014/main" id="{00000000-0008-0000-0300-000017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82F1F7C2-27B9-4BEB-BB91-CDECA3065A66}" type="TxLink">
                <a:rPr lang="en-US" sz="1100" b="0" i="0" u="none" strike="noStrike">
                  <a:solidFill>
                    <a:srgbClr val="000000"/>
                  </a:solidFill>
                  <a:latin typeface="Calibri"/>
                  <a:cs typeface="Calibri"/>
                </a:rPr>
                <a:pPr algn="l"/>
                <a:t>2</a:t>
              </a:fld>
              <a:endParaRPr lang="fr-FR" sz="1100"/>
            </a:p>
          </xdr:txBody>
        </xdr:sp>
        <xdr:sp macro="" textlink="$B$30">
          <xdr:nvSpPr>
            <xdr:cNvPr id="24" name="Dodécagone 23">
              <a:extLst>
                <a:ext uri="{FF2B5EF4-FFF2-40B4-BE49-F238E27FC236}">
                  <a16:creationId xmlns:a16="http://schemas.microsoft.com/office/drawing/2014/main" id="{00000000-0008-0000-0300-000018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C5C30DE-05FF-4B69-8FBD-A9C3B783DD4A}" type="TxLink">
                <a:rPr lang="en-US" sz="1100" b="0" i="0" u="none" strike="noStrike">
                  <a:solidFill>
                    <a:srgbClr val="000000"/>
                  </a:solidFill>
                  <a:latin typeface="Calibri"/>
                  <a:cs typeface="Calibri"/>
                </a:rPr>
                <a:pPr algn="l"/>
                <a:t>3</a:t>
              </a:fld>
              <a:endParaRPr lang="fr-FR" sz="1100"/>
            </a:p>
          </xdr:txBody>
        </xdr:sp>
        <xdr:sp macro="" textlink="$B$31">
          <xdr:nvSpPr>
            <xdr:cNvPr id="25" name="Dodécagone 24">
              <a:extLst>
                <a:ext uri="{FF2B5EF4-FFF2-40B4-BE49-F238E27FC236}">
                  <a16:creationId xmlns:a16="http://schemas.microsoft.com/office/drawing/2014/main" id="{00000000-0008-0000-0300-000019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1E0278D-8A5A-413F-A1F1-A94E0D5F5AB2}" type="TxLink">
                <a:rPr lang="en-US" sz="1100" b="0" i="0" u="none" strike="noStrike">
                  <a:solidFill>
                    <a:srgbClr val="000000"/>
                  </a:solidFill>
                  <a:latin typeface="Calibri"/>
                  <a:cs typeface="Calibri"/>
                </a:rPr>
                <a:pPr algn="l"/>
                <a:t>4</a:t>
              </a:fld>
              <a:endParaRPr lang="fr-FR" sz="1100"/>
            </a:p>
          </xdr:txBody>
        </xdr:sp>
        <xdr:sp macro="" textlink="$B$32">
          <xdr:nvSpPr>
            <xdr:cNvPr id="26" name="Dodécagone 25">
              <a:extLst>
                <a:ext uri="{FF2B5EF4-FFF2-40B4-BE49-F238E27FC236}">
                  <a16:creationId xmlns:a16="http://schemas.microsoft.com/office/drawing/2014/main" id="{00000000-0008-0000-0300-00001A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ADFAD6F-1C97-4641-BB79-0ED98A35EBE5}" type="TxLink">
                <a:rPr lang="en-US" sz="1100" b="0" i="0" u="none" strike="noStrike">
                  <a:solidFill>
                    <a:srgbClr val="000000"/>
                  </a:solidFill>
                  <a:latin typeface="Calibri"/>
                  <a:cs typeface="Calibri"/>
                </a:rPr>
                <a:pPr algn="l"/>
                <a:t>5</a:t>
              </a:fld>
              <a:endParaRPr lang="fr-FR" sz="1100"/>
            </a:p>
          </xdr:txBody>
        </xdr:sp>
        <xdr:sp macro="" textlink="$B$33">
          <xdr:nvSpPr>
            <xdr:cNvPr id="27" name="Dodécagone 26">
              <a:extLst>
                <a:ext uri="{FF2B5EF4-FFF2-40B4-BE49-F238E27FC236}">
                  <a16:creationId xmlns:a16="http://schemas.microsoft.com/office/drawing/2014/main" id="{00000000-0008-0000-0300-00001B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773489D-60FE-4121-ADC9-A0B16B2D74F2}" type="TxLink">
                <a:rPr lang="en-US" sz="1100" b="0" i="0" u="none" strike="noStrike">
                  <a:solidFill>
                    <a:srgbClr val="000000"/>
                  </a:solidFill>
                  <a:latin typeface="Calibri"/>
                  <a:cs typeface="Calibri"/>
                </a:rPr>
                <a:pPr algn="l"/>
                <a:t>6</a:t>
              </a:fld>
              <a:endParaRPr lang="fr-FR" sz="1100"/>
            </a:p>
          </xdr:txBody>
        </xdr:sp>
        <xdr:sp macro="" textlink="$B$34">
          <xdr:nvSpPr>
            <xdr:cNvPr id="28" name="Dodécagone 27">
              <a:extLst>
                <a:ext uri="{FF2B5EF4-FFF2-40B4-BE49-F238E27FC236}">
                  <a16:creationId xmlns:a16="http://schemas.microsoft.com/office/drawing/2014/main" id="{00000000-0008-0000-0300-00001C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D29F374-D4C8-477F-90F3-80473D609FC0}" type="TxLink">
                <a:rPr lang="en-US" sz="1100" b="0" i="0" u="none" strike="noStrike">
                  <a:solidFill>
                    <a:srgbClr val="000000"/>
                  </a:solidFill>
                  <a:latin typeface="Calibri"/>
                  <a:cs typeface="Calibri"/>
                </a:rPr>
                <a:pPr algn="l"/>
                <a:t>7</a:t>
              </a:fld>
              <a:endParaRPr lang="fr-FR" sz="1100"/>
            </a:p>
          </xdr:txBody>
        </xdr:sp>
        <xdr:sp macro="" textlink="$B$35">
          <xdr:nvSpPr>
            <xdr:cNvPr id="29" name="Dodécagone 28">
              <a:extLst>
                <a:ext uri="{FF2B5EF4-FFF2-40B4-BE49-F238E27FC236}">
                  <a16:creationId xmlns:a16="http://schemas.microsoft.com/office/drawing/2014/main" id="{00000000-0008-0000-0300-00001D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1606F99-91CC-4FCA-AD1E-FDEADEA28D00}" type="TxLink">
                <a:rPr lang="en-US" sz="1100" b="0" i="0" u="none" strike="noStrike">
                  <a:solidFill>
                    <a:srgbClr val="000000"/>
                  </a:solidFill>
                  <a:latin typeface="Calibri"/>
                  <a:cs typeface="Calibri"/>
                </a:rPr>
                <a:pPr algn="l"/>
                <a:t>8</a:t>
              </a:fld>
              <a:endParaRPr lang="fr-FR" sz="1100"/>
            </a:p>
          </xdr:txBody>
        </xdr:sp>
        <xdr:sp macro="" textlink="$C36">
          <xdr:nvSpPr>
            <xdr:cNvPr id="30" name="Dodécagone 29">
              <a:extLst>
                <a:ext uri="{FF2B5EF4-FFF2-40B4-BE49-F238E27FC236}">
                  <a16:creationId xmlns:a16="http://schemas.microsoft.com/office/drawing/2014/main" id="{00000000-0008-0000-0300-00001E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03111710-FF55-4F58-B57D-547C11B17CA6}" type="TxLink">
                <a:rPr lang="en-US" sz="1100" b="0" i="0" u="none" strike="noStrike">
                  <a:solidFill>
                    <a:srgbClr val="000000"/>
                  </a:solidFill>
                  <a:latin typeface="Calibri"/>
                  <a:cs typeface="Calibri"/>
                </a:rPr>
                <a:pPr algn="l"/>
                <a:t>9</a:t>
              </a:fld>
              <a:endParaRPr lang="fr-FR" sz="1100"/>
            </a:p>
          </xdr:txBody>
        </xdr:sp>
        <xdr:sp macro="" textlink="$B$36">
          <xdr:nvSpPr>
            <xdr:cNvPr id="31" name="Dodécagone 30">
              <a:extLst>
                <a:ext uri="{FF2B5EF4-FFF2-40B4-BE49-F238E27FC236}">
                  <a16:creationId xmlns:a16="http://schemas.microsoft.com/office/drawing/2014/main" id="{00000000-0008-0000-0300-00001F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2BAF3215-FC48-4188-807B-29B7FCAF796E}" type="TxLink">
                <a:rPr lang="en-US" sz="1100" b="0" i="0" u="none" strike="noStrike">
                  <a:solidFill>
                    <a:srgbClr val="000000"/>
                  </a:solidFill>
                  <a:latin typeface="Calibri"/>
                  <a:cs typeface="Calibri"/>
                </a:rPr>
                <a:pPr algn="l"/>
                <a:t>9</a:t>
              </a:fld>
              <a:endParaRPr lang="fr-FR" sz="1100"/>
            </a:p>
          </xdr:txBody>
        </xdr:sp>
      </xdr:grpSp>
      <xdr:sp macro="" textlink="$A$28">
        <xdr:nvSpPr>
          <xdr:cNvPr id="4" name="Dodécagone 3">
            <a:extLst>
              <a:ext uri="{FF2B5EF4-FFF2-40B4-BE49-F238E27FC236}">
                <a16:creationId xmlns:a16="http://schemas.microsoft.com/office/drawing/2014/main" id="{00000000-0008-0000-0300-000004000000}"/>
              </a:ext>
            </a:extLst>
          </xdr:cNvPr>
          <xdr:cNvSpPr/>
        </xdr:nvSpPr>
        <xdr:spPr>
          <a:xfrm>
            <a:off x="3378381" y="9108894"/>
            <a:ext cx="332668" cy="34894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45BF93-0F6E-4843-833B-9B9F8F512CED}" type="TxLink">
              <a:rPr lang="en-US" sz="1100" b="0" i="0" u="none" strike="noStrike">
                <a:solidFill>
                  <a:srgbClr val="000000"/>
                </a:solidFill>
                <a:latin typeface="Calibri"/>
                <a:cs typeface="Calibri"/>
              </a:rPr>
              <a:pPr algn="l"/>
              <a:t>1</a:t>
            </a:fld>
            <a:endParaRPr lang="fr-FR" sz="1100"/>
          </a:p>
        </xdr:txBody>
      </xdr:sp>
      <xdr:sp macro="" textlink="$A$29">
        <xdr:nvSpPr>
          <xdr:cNvPr id="5" name="Dodécagone 4">
            <a:extLst>
              <a:ext uri="{FF2B5EF4-FFF2-40B4-BE49-F238E27FC236}">
                <a16:creationId xmlns:a16="http://schemas.microsoft.com/office/drawing/2014/main" id="{00000000-0008-0000-0300-000005000000}"/>
              </a:ext>
            </a:extLst>
          </xdr:cNvPr>
          <xdr:cNvSpPr/>
        </xdr:nvSpPr>
        <xdr:spPr>
          <a:xfrm>
            <a:off x="4953802" y="8265527"/>
            <a:ext cx="366958" cy="36418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71815C8-2219-440C-8115-490F7DBF5B04}" type="TxLink">
              <a:rPr lang="en-US" sz="1100" b="0" i="0" u="none" strike="noStrike">
                <a:solidFill>
                  <a:srgbClr val="000000"/>
                </a:solidFill>
                <a:latin typeface="Calibri"/>
                <a:cs typeface="Calibri"/>
              </a:rPr>
              <a:pPr algn="l"/>
              <a:t>2</a:t>
            </a:fld>
            <a:endParaRPr lang="fr-FR" sz="1100"/>
          </a:p>
        </xdr:txBody>
      </xdr:sp>
      <xdr:sp macro="" textlink="$A$30">
        <xdr:nvSpPr>
          <xdr:cNvPr id="6" name="Dodécagone 5">
            <a:extLst>
              <a:ext uri="{FF2B5EF4-FFF2-40B4-BE49-F238E27FC236}">
                <a16:creationId xmlns:a16="http://schemas.microsoft.com/office/drawing/2014/main" id="{00000000-0008-0000-0300-000006000000}"/>
              </a:ext>
            </a:extLst>
          </xdr:cNvPr>
          <xdr:cNvSpPr/>
        </xdr:nvSpPr>
        <xdr:spPr>
          <a:xfrm>
            <a:off x="7191088" y="8278589"/>
            <a:ext cx="353623" cy="33560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72CD9B4-ACEA-4C44-B440-5F1D4E63DA98}" type="TxLink">
              <a:rPr lang="en-US" sz="1100" b="0" i="0" u="none" strike="noStrike">
                <a:solidFill>
                  <a:srgbClr val="000000"/>
                </a:solidFill>
                <a:latin typeface="Calibri"/>
                <a:cs typeface="Calibri"/>
              </a:rPr>
              <a:pPr algn="l"/>
              <a:t>3</a:t>
            </a:fld>
            <a:endParaRPr lang="fr-FR" sz="1100"/>
          </a:p>
        </xdr:txBody>
      </xdr:sp>
      <xdr:sp macro="" textlink="$A$31">
        <xdr:nvSpPr>
          <xdr:cNvPr id="7" name="Dodécagone 6">
            <a:extLst>
              <a:ext uri="{FF2B5EF4-FFF2-40B4-BE49-F238E27FC236}">
                <a16:creationId xmlns:a16="http://schemas.microsoft.com/office/drawing/2014/main" id="{00000000-0008-0000-0300-000007000000}"/>
              </a:ext>
            </a:extLst>
          </xdr:cNvPr>
          <xdr:cNvSpPr/>
        </xdr:nvSpPr>
        <xdr:spPr>
          <a:xfrm>
            <a:off x="5711721" y="9079506"/>
            <a:ext cx="365053" cy="3546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1F586D73-52BD-4673-947F-E98FDB0FCF36}" type="TxLink">
              <a:rPr lang="en-US" sz="1100" b="0" i="0" u="none" strike="noStrike">
                <a:solidFill>
                  <a:srgbClr val="000000"/>
                </a:solidFill>
                <a:latin typeface="Calibri"/>
                <a:cs typeface="Calibri"/>
              </a:rPr>
              <a:pPr algn="l"/>
              <a:t>4</a:t>
            </a:fld>
            <a:endParaRPr lang="fr-FR" sz="1100"/>
          </a:p>
        </xdr:txBody>
      </xdr:sp>
      <xdr:sp macro="" textlink="$A$32">
        <xdr:nvSpPr>
          <xdr:cNvPr id="8" name="Dodécagone 7">
            <a:extLst>
              <a:ext uri="{FF2B5EF4-FFF2-40B4-BE49-F238E27FC236}">
                <a16:creationId xmlns:a16="http://schemas.microsoft.com/office/drawing/2014/main" id="{00000000-0008-0000-0300-000008000000}"/>
              </a:ext>
            </a:extLst>
          </xdr:cNvPr>
          <xdr:cNvSpPr/>
        </xdr:nvSpPr>
        <xdr:spPr>
          <a:xfrm>
            <a:off x="3231139" y="12374340"/>
            <a:ext cx="355528"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C55E6EA7-97DC-494F-AC97-D2A7390C8271}" type="TxLink">
              <a:rPr lang="en-US" sz="1100" b="0" i="0" u="none" strike="noStrike">
                <a:solidFill>
                  <a:srgbClr val="000000"/>
                </a:solidFill>
                <a:latin typeface="Calibri"/>
                <a:cs typeface="Calibri"/>
              </a:rPr>
              <a:pPr algn="l"/>
              <a:t>5</a:t>
            </a:fld>
            <a:endParaRPr lang="fr-FR" sz="1100"/>
          </a:p>
        </xdr:txBody>
      </xdr:sp>
      <xdr:sp macro="" textlink="$A$33">
        <xdr:nvSpPr>
          <xdr:cNvPr id="9" name="Dodécagone 8">
            <a:extLst>
              <a:ext uri="{FF2B5EF4-FFF2-40B4-BE49-F238E27FC236}">
                <a16:creationId xmlns:a16="http://schemas.microsoft.com/office/drawing/2014/main" id="{00000000-0008-0000-0300-000009000000}"/>
              </a:ext>
            </a:extLst>
          </xdr:cNvPr>
          <xdr:cNvSpPr/>
        </xdr:nvSpPr>
        <xdr:spPr>
          <a:xfrm>
            <a:off x="4716222" y="11847471"/>
            <a:ext cx="357433" cy="34703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29CD6E8-D1E6-4F00-BFD9-AF0DAB482B0E}" type="TxLink">
              <a:rPr lang="en-US" sz="1100" b="0" i="0" u="none" strike="noStrike">
                <a:solidFill>
                  <a:srgbClr val="000000"/>
                </a:solidFill>
                <a:latin typeface="Calibri"/>
                <a:cs typeface="Calibri"/>
              </a:rPr>
              <a:pPr algn="l"/>
              <a:t>6</a:t>
            </a:fld>
            <a:endParaRPr lang="fr-FR" sz="1100"/>
          </a:p>
        </xdr:txBody>
      </xdr:sp>
      <xdr:sp macro="" textlink="$A$34">
        <xdr:nvSpPr>
          <xdr:cNvPr id="10" name="Dodécagone 9">
            <a:extLst>
              <a:ext uri="{FF2B5EF4-FFF2-40B4-BE49-F238E27FC236}">
                <a16:creationId xmlns:a16="http://schemas.microsoft.com/office/drawing/2014/main" id="{00000000-0008-0000-0300-00000A000000}"/>
              </a:ext>
            </a:extLst>
          </xdr:cNvPr>
          <xdr:cNvSpPr/>
        </xdr:nvSpPr>
        <xdr:spPr>
          <a:xfrm>
            <a:off x="6922756" y="11816447"/>
            <a:ext cx="35743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C679327-8C79-4456-ABFF-13DCB28CB2B1}" type="TxLink">
              <a:rPr lang="en-US" sz="1100" b="0" i="0" u="none" strike="noStrike">
                <a:solidFill>
                  <a:srgbClr val="000000"/>
                </a:solidFill>
                <a:latin typeface="Calibri"/>
                <a:cs typeface="Calibri"/>
              </a:rPr>
              <a:pPr algn="l"/>
              <a:t>7</a:t>
            </a:fld>
            <a:endParaRPr lang="fr-FR" sz="1100"/>
          </a:p>
        </xdr:txBody>
      </xdr:sp>
      <xdr:sp macro="" textlink="$A$35">
        <xdr:nvSpPr>
          <xdr:cNvPr id="11" name="Dodécagone 10">
            <a:extLst>
              <a:ext uri="{FF2B5EF4-FFF2-40B4-BE49-F238E27FC236}">
                <a16:creationId xmlns:a16="http://schemas.microsoft.com/office/drawing/2014/main" id="{00000000-0008-0000-0300-00000B000000}"/>
              </a:ext>
            </a:extLst>
          </xdr:cNvPr>
          <xdr:cNvSpPr/>
        </xdr:nvSpPr>
        <xdr:spPr>
          <a:xfrm>
            <a:off x="5480399" y="12353112"/>
            <a:ext cx="380293" cy="35084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AC4482E9-81D0-46AD-9603-36DFE2B9D8BD}" type="TxLink">
              <a:rPr lang="en-US" sz="1100" b="0" i="0" u="none" strike="noStrike">
                <a:solidFill>
                  <a:srgbClr val="000000"/>
                </a:solidFill>
                <a:latin typeface="Calibri"/>
                <a:cs typeface="Calibri"/>
              </a:rPr>
              <a:pPr algn="l"/>
              <a:t>8</a:t>
            </a:fld>
            <a:endParaRPr lang="fr-FR" sz="1100"/>
          </a:p>
        </xdr:txBody>
      </xdr:sp>
      <xdr:sp macro="" textlink="$A$36">
        <xdr:nvSpPr>
          <xdr:cNvPr id="12" name="Dodécagone 11">
            <a:extLst>
              <a:ext uri="{FF2B5EF4-FFF2-40B4-BE49-F238E27FC236}">
                <a16:creationId xmlns:a16="http://schemas.microsoft.com/office/drawing/2014/main" id="{00000000-0008-0000-0300-00000C000000}"/>
              </a:ext>
            </a:extLst>
          </xdr:cNvPr>
          <xdr:cNvSpPr/>
        </xdr:nvSpPr>
        <xdr:spPr>
          <a:xfrm>
            <a:off x="5256969" y="10493016"/>
            <a:ext cx="376483" cy="356561"/>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431DAFA1-D85E-4C94-AA00-3ED150F60DBD}" type="TxLink">
              <a:rPr lang="en-US" sz="1100" b="0" i="0" u="none" strike="noStrike">
                <a:solidFill>
                  <a:srgbClr val="000000"/>
                </a:solidFill>
                <a:latin typeface="Calibri"/>
                <a:cs typeface="Calibri"/>
              </a:rPr>
              <a:pPr algn="l"/>
              <a:t>9</a:t>
            </a:fld>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373</xdr:row>
      <xdr:rowOff>0</xdr:rowOff>
    </xdr:from>
    <xdr:to>
      <xdr:col>24</xdr:col>
      <xdr:colOff>0</xdr:colOff>
      <xdr:row>393</xdr:row>
      <xdr:rowOff>0</xdr:rowOff>
    </xdr:to>
    <xdr:graphicFrame macro="">
      <xdr:nvGraphicFramePr>
        <xdr:cNvPr id="2" name="Graph80">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209</xdr:row>
      <xdr:rowOff>0</xdr:rowOff>
    </xdr:from>
    <xdr:to>
      <xdr:col>24</xdr:col>
      <xdr:colOff>0</xdr:colOff>
      <xdr:row>228</xdr:row>
      <xdr:rowOff>179293</xdr:rowOff>
    </xdr:to>
    <xdr:graphicFrame macro="">
      <xdr:nvGraphicFramePr>
        <xdr:cNvPr id="2" name="Graph200">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135</xdr:row>
      <xdr:rowOff>0</xdr:rowOff>
    </xdr:from>
    <xdr:to>
      <xdr:col>24</xdr:col>
      <xdr:colOff>0</xdr:colOff>
      <xdr:row>155</xdr:row>
      <xdr:rowOff>0</xdr:rowOff>
    </xdr:to>
    <xdr:graphicFrame macro="">
      <xdr:nvGraphicFramePr>
        <xdr:cNvPr id="2" name="Graph385">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123</xdr:row>
      <xdr:rowOff>0</xdr:rowOff>
    </xdr:from>
    <xdr:to>
      <xdr:col>24</xdr:col>
      <xdr:colOff>0</xdr:colOff>
      <xdr:row>143</xdr:row>
      <xdr:rowOff>0</xdr:rowOff>
    </xdr:to>
    <xdr:graphicFrame macro="">
      <xdr:nvGraphicFramePr>
        <xdr:cNvPr id="2" name="Graph535">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19846</xdr:colOff>
      <xdr:row>0</xdr:row>
      <xdr:rowOff>36497</xdr:rowOff>
    </xdr:from>
    <xdr:to>
      <xdr:col>1</xdr:col>
      <xdr:colOff>1393200</xdr:colOff>
      <xdr:row>3</xdr:row>
      <xdr:rowOff>168053</xdr:rowOff>
    </xdr:to>
    <xdr:pic>
      <xdr:nvPicPr>
        <xdr:cNvPr id="2" name="Imag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46" y="36497"/>
          <a:ext cx="1925804" cy="703056"/>
        </a:xfrm>
        <a:prstGeom prst="rect">
          <a:avLst/>
        </a:prstGeom>
      </xdr:spPr>
    </xdr:pic>
    <xdr:clientData/>
  </xdr:twoCellAnchor>
  <xdr:twoCellAnchor editAs="oneCell">
    <xdr:from>
      <xdr:col>0</xdr:col>
      <xdr:colOff>79374</xdr:colOff>
      <xdr:row>47</xdr:row>
      <xdr:rowOff>155559</xdr:rowOff>
    </xdr:from>
    <xdr:to>
      <xdr:col>2</xdr:col>
      <xdr:colOff>21960</xdr:colOff>
      <xdr:row>51</xdr:row>
      <xdr:rowOff>98600</xdr:rowOff>
    </xdr:to>
    <xdr:pic>
      <xdr:nvPicPr>
        <xdr:cNvPr id="3" name="Imag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374" y="9604359"/>
          <a:ext cx="1914261" cy="705041"/>
        </a:xfrm>
        <a:prstGeom prst="rect">
          <a:avLst/>
        </a:prstGeom>
      </xdr:spPr>
    </xdr:pic>
    <xdr:clientData/>
  </xdr:twoCellAnchor>
  <xdr:twoCellAnchor editAs="oneCell">
    <xdr:from>
      <xdr:col>5</xdr:col>
      <xdr:colOff>833437</xdr:colOff>
      <xdr:row>69</xdr:row>
      <xdr:rowOff>157560</xdr:rowOff>
    </xdr:from>
    <xdr:to>
      <xdr:col>7</xdr:col>
      <xdr:colOff>1068981</xdr:colOff>
      <xdr:row>91</xdr:row>
      <xdr:rowOff>19448</xdr:rowOff>
    </xdr:to>
    <xdr:pic>
      <xdr:nvPicPr>
        <xdr:cNvPr id="4" name="Imag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1037" y="13844985"/>
          <a:ext cx="3988394" cy="4100513"/>
        </a:xfrm>
        <a:prstGeom prst="rect">
          <a:avLst/>
        </a:prstGeom>
      </xdr:spPr>
    </xdr:pic>
    <xdr:clientData/>
  </xdr:twoCellAnchor>
  <xdr:twoCellAnchor editAs="oneCell">
    <xdr:from>
      <xdr:col>0</xdr:col>
      <xdr:colOff>109141</xdr:colOff>
      <xdr:row>92</xdr:row>
      <xdr:rowOff>116059</xdr:rowOff>
    </xdr:from>
    <xdr:to>
      <xdr:col>2</xdr:col>
      <xdr:colOff>116620</xdr:colOff>
      <xdr:row>96</xdr:row>
      <xdr:rowOff>95715</xdr:rowOff>
    </xdr:to>
    <xdr:pic>
      <xdr:nvPicPr>
        <xdr:cNvPr id="5" name="Imag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1" y="18232609"/>
          <a:ext cx="1979154" cy="741656"/>
        </a:xfrm>
        <a:prstGeom prst="rect">
          <a:avLst/>
        </a:prstGeom>
      </xdr:spPr>
    </xdr:pic>
    <xdr:clientData/>
  </xdr:twoCellAnchor>
  <xdr:twoCellAnchor editAs="oneCell">
    <xdr:from>
      <xdr:col>0</xdr:col>
      <xdr:colOff>109140</xdr:colOff>
      <xdr:row>135</xdr:row>
      <xdr:rowOff>145823</xdr:rowOff>
    </xdr:from>
    <xdr:to>
      <xdr:col>2</xdr:col>
      <xdr:colOff>116619</xdr:colOff>
      <xdr:row>139</xdr:row>
      <xdr:rowOff>112144</xdr:rowOff>
    </xdr:to>
    <xdr:pic>
      <xdr:nvPicPr>
        <xdr:cNvPr id="6" name="Imag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26596748"/>
          <a:ext cx="1979154" cy="728321"/>
        </a:xfrm>
        <a:prstGeom prst="rect">
          <a:avLst/>
        </a:prstGeom>
      </xdr:spPr>
    </xdr:pic>
    <xdr:clientData/>
  </xdr:twoCellAnchor>
  <xdr:twoCellAnchor editAs="oneCell">
    <xdr:from>
      <xdr:col>0</xdr:col>
      <xdr:colOff>138906</xdr:colOff>
      <xdr:row>171</xdr:row>
      <xdr:rowOff>145824</xdr:rowOff>
    </xdr:from>
    <xdr:to>
      <xdr:col>2</xdr:col>
      <xdr:colOff>133050</xdr:colOff>
      <xdr:row>175</xdr:row>
      <xdr:rowOff>112146</xdr:rowOff>
    </xdr:to>
    <xdr:pic>
      <xdr:nvPicPr>
        <xdr:cNvPr id="7" name="Imag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8906" y="33502374"/>
          <a:ext cx="1965819" cy="728322"/>
        </a:xfrm>
        <a:prstGeom prst="rect">
          <a:avLst/>
        </a:prstGeom>
      </xdr:spPr>
    </xdr:pic>
    <xdr:clientData/>
  </xdr:twoCellAnchor>
  <xdr:twoCellAnchor editAs="oneCell">
    <xdr:from>
      <xdr:col>0</xdr:col>
      <xdr:colOff>99219</xdr:colOff>
      <xdr:row>202</xdr:row>
      <xdr:rowOff>116057</xdr:rowOff>
    </xdr:from>
    <xdr:to>
      <xdr:col>2</xdr:col>
      <xdr:colOff>93363</xdr:colOff>
      <xdr:row>206</xdr:row>
      <xdr:rowOff>95713</xdr:rowOff>
    </xdr:to>
    <xdr:pic>
      <xdr:nvPicPr>
        <xdr:cNvPr id="8" name="Imag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219" y="40092482"/>
          <a:ext cx="1965819" cy="741656"/>
        </a:xfrm>
        <a:prstGeom prst="rect">
          <a:avLst/>
        </a:prstGeom>
      </xdr:spPr>
    </xdr:pic>
    <xdr:clientData/>
  </xdr:twoCellAnchor>
  <xdr:twoCellAnchor editAs="oneCell">
    <xdr:from>
      <xdr:col>0</xdr:col>
      <xdr:colOff>109140</xdr:colOff>
      <xdr:row>245</xdr:row>
      <xdr:rowOff>106136</xdr:rowOff>
    </xdr:from>
    <xdr:to>
      <xdr:col>2</xdr:col>
      <xdr:colOff>116619</xdr:colOff>
      <xdr:row>249</xdr:row>
      <xdr:rowOff>72457</xdr:rowOff>
    </xdr:to>
    <xdr:pic>
      <xdr:nvPicPr>
        <xdr:cNvPr id="9" name="Imag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9140" y="48416936"/>
          <a:ext cx="1979154" cy="728321"/>
        </a:xfrm>
        <a:prstGeom prst="rect">
          <a:avLst/>
        </a:prstGeom>
      </xdr:spPr>
    </xdr:pic>
    <xdr:clientData/>
  </xdr:twoCellAnchor>
  <xdr:twoCellAnchor editAs="oneCell">
    <xdr:from>
      <xdr:col>0</xdr:col>
      <xdr:colOff>128985</xdr:colOff>
      <xdr:row>271</xdr:row>
      <xdr:rowOff>135902</xdr:rowOff>
    </xdr:from>
    <xdr:to>
      <xdr:col>2</xdr:col>
      <xdr:colOff>132654</xdr:colOff>
      <xdr:row>275</xdr:row>
      <xdr:rowOff>98411</xdr:rowOff>
    </xdr:to>
    <xdr:pic>
      <xdr:nvPicPr>
        <xdr:cNvPr id="10" name="Imag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54790352"/>
          <a:ext cx="1975344" cy="724509"/>
        </a:xfrm>
        <a:prstGeom prst="rect">
          <a:avLst/>
        </a:prstGeom>
      </xdr:spPr>
    </xdr:pic>
    <xdr:clientData/>
  </xdr:twoCellAnchor>
  <xdr:twoCellAnchor editAs="oneCell">
    <xdr:from>
      <xdr:col>0</xdr:col>
      <xdr:colOff>119063</xdr:colOff>
      <xdr:row>302</xdr:row>
      <xdr:rowOff>106136</xdr:rowOff>
    </xdr:from>
    <xdr:to>
      <xdr:col>2</xdr:col>
      <xdr:colOff>130352</xdr:colOff>
      <xdr:row>306</xdr:row>
      <xdr:rowOff>72459</xdr:rowOff>
    </xdr:to>
    <xdr:pic>
      <xdr:nvPicPr>
        <xdr:cNvPr id="11" name="Imag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61380461"/>
          <a:ext cx="1982964" cy="728323"/>
        </a:xfrm>
        <a:prstGeom prst="rect">
          <a:avLst/>
        </a:prstGeom>
      </xdr:spPr>
    </xdr:pic>
    <xdr:clientData/>
  </xdr:twoCellAnchor>
  <xdr:twoCellAnchor editAs="oneCell">
    <xdr:from>
      <xdr:col>0</xdr:col>
      <xdr:colOff>59531</xdr:colOff>
      <xdr:row>348</xdr:row>
      <xdr:rowOff>125979</xdr:rowOff>
    </xdr:from>
    <xdr:to>
      <xdr:col>2</xdr:col>
      <xdr:colOff>59390</xdr:colOff>
      <xdr:row>352</xdr:row>
      <xdr:rowOff>96111</xdr:rowOff>
    </xdr:to>
    <xdr:pic>
      <xdr:nvPicPr>
        <xdr:cNvPr id="12" name="Imag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70306179"/>
          <a:ext cx="1971534" cy="732132"/>
        </a:xfrm>
        <a:prstGeom prst="rect">
          <a:avLst/>
        </a:prstGeom>
      </xdr:spPr>
    </xdr:pic>
    <xdr:clientData/>
  </xdr:twoCellAnchor>
  <xdr:oneCellAnchor>
    <xdr:from>
      <xdr:col>0</xdr:col>
      <xdr:colOff>128984</xdr:colOff>
      <xdr:row>475</xdr:row>
      <xdr:rowOff>145824</xdr:rowOff>
    </xdr:from>
    <xdr:ext cx="1978080" cy="720383"/>
    <xdr:pic>
      <xdr:nvPicPr>
        <xdr:cNvPr id="13" name="Imag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4" y="98062824"/>
          <a:ext cx="1978080" cy="720383"/>
        </a:xfrm>
        <a:prstGeom prst="rect">
          <a:avLst/>
        </a:prstGeom>
      </xdr:spPr>
    </xdr:pic>
    <xdr:clientData/>
  </xdr:oneCellAnchor>
  <xdr:oneCellAnchor>
    <xdr:from>
      <xdr:col>0</xdr:col>
      <xdr:colOff>89298</xdr:colOff>
      <xdr:row>506</xdr:row>
      <xdr:rowOff>86292</xdr:rowOff>
    </xdr:from>
    <xdr:ext cx="1978080" cy="720383"/>
    <xdr:pic>
      <xdr:nvPicPr>
        <xdr:cNvPr id="14" name="Imag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8" y="104623167"/>
          <a:ext cx="1978080" cy="720383"/>
        </a:xfrm>
        <a:prstGeom prst="rect">
          <a:avLst/>
        </a:prstGeom>
      </xdr:spPr>
    </xdr:pic>
    <xdr:clientData/>
  </xdr:oneCellAnchor>
  <xdr:oneCellAnchor>
    <xdr:from>
      <xdr:col>0</xdr:col>
      <xdr:colOff>59531</xdr:colOff>
      <xdr:row>551</xdr:row>
      <xdr:rowOff>76369</xdr:rowOff>
    </xdr:from>
    <xdr:ext cx="1978080" cy="720383"/>
    <xdr:pic>
      <xdr:nvPicPr>
        <xdr:cNvPr id="15" name="Imag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113328619"/>
          <a:ext cx="1978080" cy="720383"/>
        </a:xfrm>
        <a:prstGeom prst="rect">
          <a:avLst/>
        </a:prstGeom>
      </xdr:spPr>
    </xdr:pic>
    <xdr:clientData/>
  </xdr:oneCellAnchor>
  <xdr:oneCellAnchor>
    <xdr:from>
      <xdr:col>0</xdr:col>
      <xdr:colOff>89297</xdr:colOff>
      <xdr:row>576</xdr:row>
      <xdr:rowOff>106135</xdr:rowOff>
    </xdr:from>
    <xdr:ext cx="1978080" cy="720383"/>
    <xdr:pic>
      <xdr:nvPicPr>
        <xdr:cNvPr id="16" name="Imag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9297" y="119463910"/>
          <a:ext cx="1978080" cy="720383"/>
        </a:xfrm>
        <a:prstGeom prst="rect">
          <a:avLst/>
        </a:prstGeom>
      </xdr:spPr>
    </xdr:pic>
    <xdr:clientData/>
  </xdr:oneCellAnchor>
  <xdr:oneCellAnchor>
    <xdr:from>
      <xdr:col>0</xdr:col>
      <xdr:colOff>128985</xdr:colOff>
      <xdr:row>373</xdr:row>
      <xdr:rowOff>135902</xdr:rowOff>
    </xdr:from>
    <xdr:ext cx="1979714" cy="728320"/>
    <xdr:pic>
      <xdr:nvPicPr>
        <xdr:cNvPr id="17" name="Imag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8985" y="76421627"/>
          <a:ext cx="1979714" cy="728320"/>
        </a:xfrm>
        <a:prstGeom prst="rect">
          <a:avLst/>
        </a:prstGeom>
      </xdr:spPr>
    </xdr:pic>
    <xdr:clientData/>
  </xdr:oneCellAnchor>
  <xdr:oneCellAnchor>
    <xdr:from>
      <xdr:col>0</xdr:col>
      <xdr:colOff>119063</xdr:colOff>
      <xdr:row>404</xdr:row>
      <xdr:rowOff>106136</xdr:rowOff>
    </xdr:from>
    <xdr:ext cx="1979714" cy="728321"/>
    <xdr:pic>
      <xdr:nvPicPr>
        <xdr:cNvPr id="18" name="Imag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3" y="83011736"/>
          <a:ext cx="1979714" cy="728321"/>
        </a:xfrm>
        <a:prstGeom prst="rect">
          <a:avLst/>
        </a:prstGeom>
      </xdr:spPr>
    </xdr:pic>
    <xdr:clientData/>
  </xdr:oneCellAnchor>
  <xdr:oneCellAnchor>
    <xdr:from>
      <xdr:col>0</xdr:col>
      <xdr:colOff>59531</xdr:colOff>
      <xdr:row>450</xdr:row>
      <xdr:rowOff>125979</xdr:rowOff>
    </xdr:from>
    <xdr:ext cx="1979714" cy="728321"/>
    <xdr:pic>
      <xdr:nvPicPr>
        <xdr:cNvPr id="19" name="Imag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531" y="91937454"/>
          <a:ext cx="1979714" cy="728321"/>
        </a:xfrm>
        <a:prstGeom prst="rect">
          <a:avLst/>
        </a:prstGeom>
      </xdr:spPr>
    </xdr:pic>
    <xdr:clientData/>
  </xdr:oneCellAnchor>
  <xdr:twoCellAnchor>
    <xdr:from>
      <xdr:col>1</xdr:col>
      <xdr:colOff>0</xdr:colOff>
      <xdr:row>224</xdr:row>
      <xdr:rowOff>0</xdr:rowOff>
    </xdr:from>
    <xdr:to>
      <xdr:col>8</xdr:col>
      <xdr:colOff>0</xdr:colOff>
      <xdr:row>243</xdr:row>
      <xdr:rowOff>163809</xdr:rowOff>
    </xdr:to>
    <xdr:graphicFrame macro="">
      <xdr:nvGraphicFramePr>
        <xdr:cNvPr id="20" name="Graph80PV">
          <a:extLst>
            <a:ext uri="{FF2B5EF4-FFF2-40B4-BE49-F238E27FC236}">
              <a16:creationId xmlns:a16="http://schemas.microsoft.com/office/drawing/2014/main" id="{00000000-0008-0000-1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323</xdr:row>
      <xdr:rowOff>16300</xdr:rowOff>
    </xdr:from>
    <xdr:to>
      <xdr:col>8</xdr:col>
      <xdr:colOff>0</xdr:colOff>
      <xdr:row>346</xdr:row>
      <xdr:rowOff>0</xdr:rowOff>
    </xdr:to>
    <xdr:graphicFrame macro="">
      <xdr:nvGraphicFramePr>
        <xdr:cNvPr id="21" name="Graph200PV">
          <a:extLst>
            <a:ext uri="{FF2B5EF4-FFF2-40B4-BE49-F238E27FC236}">
              <a16:creationId xmlns:a16="http://schemas.microsoft.com/office/drawing/2014/main" id="{00000000-0008-0000-1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425</xdr:row>
      <xdr:rowOff>0</xdr:rowOff>
    </xdr:from>
    <xdr:to>
      <xdr:col>8</xdr:col>
      <xdr:colOff>0</xdr:colOff>
      <xdr:row>449</xdr:row>
      <xdr:rowOff>0</xdr:rowOff>
    </xdr:to>
    <xdr:graphicFrame macro="">
      <xdr:nvGraphicFramePr>
        <xdr:cNvPr id="22" name="Graph385PV">
          <a:extLst>
            <a:ext uri="{FF2B5EF4-FFF2-40B4-BE49-F238E27FC236}">
              <a16:creationId xmlns:a16="http://schemas.microsoft.com/office/drawing/2014/main" id="{00000000-0008-0000-10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527</xdr:row>
      <xdr:rowOff>16299</xdr:rowOff>
    </xdr:from>
    <xdr:to>
      <xdr:col>8</xdr:col>
      <xdr:colOff>0</xdr:colOff>
      <xdr:row>549</xdr:row>
      <xdr:rowOff>180108</xdr:rowOff>
    </xdr:to>
    <xdr:graphicFrame macro="">
      <xdr:nvGraphicFramePr>
        <xdr:cNvPr id="23" name="Graph535PV">
          <a:extLst>
            <a:ext uri="{FF2B5EF4-FFF2-40B4-BE49-F238E27FC236}">
              <a16:creationId xmlns:a16="http://schemas.microsoft.com/office/drawing/2014/main" id="{00000000-0008-0000-1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1051025</xdr:colOff>
      <xdr:row>136</xdr:row>
      <xdr:rowOff>132530</xdr:rowOff>
    </xdr:from>
    <xdr:to>
      <xdr:col>8</xdr:col>
      <xdr:colOff>2952</xdr:colOff>
      <xdr:row>170</xdr:row>
      <xdr:rowOff>21398</xdr:rowOff>
    </xdr:to>
    <xdr:grpSp>
      <xdr:nvGrpSpPr>
        <xdr:cNvPr id="24" name="Groupe 23">
          <a:extLst>
            <a:ext uri="{FF2B5EF4-FFF2-40B4-BE49-F238E27FC236}">
              <a16:creationId xmlns:a16="http://schemas.microsoft.com/office/drawing/2014/main" id="{00000000-0008-0000-1000-000018000000}"/>
            </a:ext>
          </a:extLst>
        </xdr:cNvPr>
        <xdr:cNvGrpSpPr/>
      </xdr:nvGrpSpPr>
      <xdr:grpSpPr>
        <a:xfrm>
          <a:off x="6453061" y="26924994"/>
          <a:ext cx="6163712" cy="6420297"/>
          <a:chOff x="6629953" y="25878608"/>
          <a:chExt cx="6343225" cy="5967449"/>
        </a:xfrm>
      </xdr:grpSpPr>
      <xdr:grpSp>
        <xdr:nvGrpSpPr>
          <xdr:cNvPr id="25" name="Groupe 24">
            <a:extLst>
              <a:ext uri="{FF2B5EF4-FFF2-40B4-BE49-F238E27FC236}">
                <a16:creationId xmlns:a16="http://schemas.microsoft.com/office/drawing/2014/main" id="{00000000-0008-0000-1000-000019000000}"/>
              </a:ext>
            </a:extLst>
          </xdr:cNvPr>
          <xdr:cNvGrpSpPr/>
        </xdr:nvGrpSpPr>
        <xdr:grpSpPr>
          <a:xfrm>
            <a:off x="6629953" y="26474601"/>
            <a:ext cx="6343225" cy="5371456"/>
            <a:chOff x="5863825" y="27738378"/>
            <a:chExt cx="5466578" cy="5629477"/>
          </a:xfrm>
        </xdr:grpSpPr>
        <xdr:grpSp>
          <xdr:nvGrpSpPr>
            <xdr:cNvPr id="44" name="Groupe 43">
              <a:extLst>
                <a:ext uri="{FF2B5EF4-FFF2-40B4-BE49-F238E27FC236}">
                  <a16:creationId xmlns:a16="http://schemas.microsoft.com/office/drawing/2014/main" id="{00000000-0008-0000-1000-00002C000000}"/>
                </a:ext>
              </a:extLst>
            </xdr:cNvPr>
            <xdr:cNvGrpSpPr/>
          </xdr:nvGrpSpPr>
          <xdr:grpSpPr>
            <a:xfrm>
              <a:off x="5863825" y="27738378"/>
              <a:ext cx="5466578" cy="5629477"/>
              <a:chOff x="5758349" y="726873"/>
              <a:chExt cx="5119870" cy="5629477"/>
            </a:xfrm>
          </xdr:grpSpPr>
          <xdr:sp macro="" textlink="">
            <xdr:nvSpPr>
              <xdr:cNvPr id="49" name="Organigramme : Terminateur 48">
                <a:extLst>
                  <a:ext uri="{FF2B5EF4-FFF2-40B4-BE49-F238E27FC236}">
                    <a16:creationId xmlns:a16="http://schemas.microsoft.com/office/drawing/2014/main" id="{00000000-0008-0000-1000-000031000000}"/>
                  </a:ext>
                </a:extLst>
              </xdr:cNvPr>
              <xdr:cNvSpPr/>
            </xdr:nvSpPr>
            <xdr:spPr>
              <a:xfrm>
                <a:off x="6800336" y="6087016"/>
                <a:ext cx="1778459" cy="269334"/>
              </a:xfrm>
              <a:prstGeom prst="flowChartTerminator">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FR" sz="800">
                    <a:solidFill>
                      <a:schemeClr val="tx1"/>
                    </a:solidFill>
                  </a:rPr>
                  <a:t>Face avant du four – coté armoire</a:t>
                </a:r>
                <a:endParaRPr lang="en-US" sz="800">
                  <a:solidFill>
                    <a:schemeClr val="tx1"/>
                  </a:solidFill>
                </a:endParaRPr>
              </a:p>
            </xdr:txBody>
          </xdr:sp>
          <xdr:grpSp>
            <xdr:nvGrpSpPr>
              <xdr:cNvPr id="50" name="Groupe 49">
                <a:extLst>
                  <a:ext uri="{FF2B5EF4-FFF2-40B4-BE49-F238E27FC236}">
                    <a16:creationId xmlns:a16="http://schemas.microsoft.com/office/drawing/2014/main" id="{00000000-0008-0000-1000-000032000000}"/>
                  </a:ext>
                </a:extLst>
              </xdr:cNvPr>
              <xdr:cNvGrpSpPr/>
            </xdr:nvGrpSpPr>
            <xdr:grpSpPr>
              <a:xfrm>
                <a:off x="5758349" y="726873"/>
                <a:ext cx="5119870" cy="5157554"/>
                <a:chOff x="3227421" y="768600"/>
                <a:chExt cx="4505832" cy="4177263"/>
              </a:xfrm>
            </xdr:grpSpPr>
            <xdr:grpSp>
              <xdr:nvGrpSpPr>
                <xdr:cNvPr id="51" name="Groupe 50">
                  <a:extLst>
                    <a:ext uri="{FF2B5EF4-FFF2-40B4-BE49-F238E27FC236}">
                      <a16:creationId xmlns:a16="http://schemas.microsoft.com/office/drawing/2014/main" id="{00000000-0008-0000-1000-000033000000}"/>
                    </a:ext>
                  </a:extLst>
                </xdr:cNvPr>
                <xdr:cNvGrpSpPr/>
              </xdr:nvGrpSpPr>
              <xdr:grpSpPr>
                <a:xfrm>
                  <a:off x="6799495" y="3014607"/>
                  <a:ext cx="933758" cy="249971"/>
                  <a:chOff x="10565859" y="2920942"/>
                  <a:chExt cx="1160145" cy="262896"/>
                </a:xfrm>
              </xdr:grpSpPr>
              <xdr:sp macro="" textlink="">
                <xdr:nvSpPr>
                  <xdr:cNvPr id="86" name="Flèche : pentagone 57">
                    <a:extLst>
                      <a:ext uri="{FF2B5EF4-FFF2-40B4-BE49-F238E27FC236}">
                        <a16:creationId xmlns:a16="http://schemas.microsoft.com/office/drawing/2014/main" id="{00000000-0008-0000-1000-000056000000}"/>
                      </a:ext>
                    </a:extLst>
                  </xdr:cNvPr>
                  <xdr:cNvSpPr/>
                </xdr:nvSpPr>
                <xdr:spPr>
                  <a:xfrm rot="10800000">
                    <a:off x="10565859" y="2920942"/>
                    <a:ext cx="1160145" cy="262896"/>
                  </a:xfrm>
                  <a:prstGeom prst="homePlat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87" name="Zone de texte 2">
                    <a:extLst>
                      <a:ext uri="{FF2B5EF4-FFF2-40B4-BE49-F238E27FC236}">
                        <a16:creationId xmlns:a16="http://schemas.microsoft.com/office/drawing/2014/main" id="{00000000-0008-0000-1000-000057000000}"/>
                      </a:ext>
                    </a:extLst>
                  </xdr:cNvPr>
                  <xdr:cNvSpPr txBox="1"/>
                </xdr:nvSpPr>
                <xdr:spPr>
                  <a:xfrm>
                    <a:off x="10797206" y="2949249"/>
                    <a:ext cx="760894" cy="201144"/>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formage</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2" name="Groupe 51">
                  <a:extLst>
                    <a:ext uri="{FF2B5EF4-FFF2-40B4-BE49-F238E27FC236}">
                      <a16:creationId xmlns:a16="http://schemas.microsoft.com/office/drawing/2014/main" id="{00000000-0008-0000-1000-000034000000}"/>
                    </a:ext>
                  </a:extLst>
                </xdr:cNvPr>
                <xdr:cNvGrpSpPr/>
              </xdr:nvGrpSpPr>
              <xdr:grpSpPr>
                <a:xfrm rot="10800000">
                  <a:off x="3227421" y="2970313"/>
                  <a:ext cx="806496" cy="262645"/>
                  <a:chOff x="0" y="0"/>
                  <a:chExt cx="1160289" cy="276625"/>
                </a:xfrm>
              </xdr:grpSpPr>
              <xdr:sp macro="" textlink="">
                <xdr:nvSpPr>
                  <xdr:cNvPr id="84" name="Flèche : pentagone 55">
                    <a:extLst>
                      <a:ext uri="{FF2B5EF4-FFF2-40B4-BE49-F238E27FC236}">
                        <a16:creationId xmlns:a16="http://schemas.microsoft.com/office/drawing/2014/main" id="{00000000-0008-0000-1000-000054000000}"/>
                      </a:ext>
                    </a:extLst>
                  </xdr:cNvPr>
                  <xdr:cNvSpPr/>
                </xdr:nvSpPr>
                <xdr:spPr>
                  <a:xfrm rot="10800000">
                    <a:off x="0" y="0"/>
                    <a:ext cx="1160289" cy="276625"/>
                  </a:xfrm>
                  <a:prstGeom prst="homePlate">
                    <a:avLst/>
                  </a:prstGeom>
                  <a:solidFill>
                    <a:srgbClr val="FFFF00"/>
                  </a:solidFill>
                  <a:ln w="12700" cap="flat" cmpd="sng" algn="ctr">
                    <a:solidFill>
                      <a:srgbClr val="4472C4">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85" name="Zone de texte 7">
                    <a:extLst>
                      <a:ext uri="{FF2B5EF4-FFF2-40B4-BE49-F238E27FC236}">
                        <a16:creationId xmlns:a16="http://schemas.microsoft.com/office/drawing/2014/main" id="{00000000-0008-0000-1000-000055000000}"/>
                      </a:ext>
                    </a:extLst>
                  </xdr:cNvPr>
                  <xdr:cNvSpPr txBox="1"/>
                </xdr:nvSpPr>
                <xdr:spPr>
                  <a:xfrm rot="10800000">
                    <a:off x="49647" y="12904"/>
                    <a:ext cx="929483" cy="206749"/>
                  </a:xfrm>
                  <a:prstGeom prst="rect">
                    <a:avLst/>
                  </a:prstGeom>
                  <a:noFill/>
                  <a:ln w="6350">
                    <a:noFill/>
                  </a:ln>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07000"/>
                      </a:lnSpc>
                      <a:spcAft>
                        <a:spcPts val="800"/>
                      </a:spcAft>
                    </a:pPr>
                    <a:r>
                      <a:rPr lang="fr-FR" sz="800">
                        <a:effectLst/>
                        <a:latin typeface="Calibri" panose="020F0502020204030204" pitchFamily="34" charset="0"/>
                        <a:ea typeface="Calibri" panose="020F0502020204030204" pitchFamily="34" charset="0"/>
                        <a:cs typeface="Times New Roman" panose="02020603050405020304" pitchFamily="18" charset="0"/>
                      </a:rPr>
                      <a:t>Coté couloir</a:t>
                    </a:r>
                    <a:endParaRPr lang="en-US" sz="8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nvGrpSpPr>
                <xdr:cNvPr id="53" name="Groupe 52">
                  <a:extLst>
                    <a:ext uri="{FF2B5EF4-FFF2-40B4-BE49-F238E27FC236}">
                      <a16:creationId xmlns:a16="http://schemas.microsoft.com/office/drawing/2014/main" id="{00000000-0008-0000-1000-000035000000}"/>
                    </a:ext>
                  </a:extLst>
                </xdr:cNvPr>
                <xdr:cNvGrpSpPr/>
              </xdr:nvGrpSpPr>
              <xdr:grpSpPr>
                <a:xfrm>
                  <a:off x="4101596" y="768600"/>
                  <a:ext cx="2646900" cy="4177263"/>
                  <a:chOff x="4080934" y="768007"/>
                  <a:chExt cx="2646900" cy="4177263"/>
                </a:xfrm>
              </xdr:grpSpPr>
              <xdr:grpSp>
                <xdr:nvGrpSpPr>
                  <xdr:cNvPr id="54" name="Groupe 53">
                    <a:extLst>
                      <a:ext uri="{FF2B5EF4-FFF2-40B4-BE49-F238E27FC236}">
                        <a16:creationId xmlns:a16="http://schemas.microsoft.com/office/drawing/2014/main" id="{00000000-0008-0000-1000-000036000000}"/>
                      </a:ext>
                    </a:extLst>
                  </xdr:cNvPr>
                  <xdr:cNvGrpSpPr/>
                </xdr:nvGrpSpPr>
                <xdr:grpSpPr>
                  <a:xfrm>
                    <a:off x="4080934" y="1428305"/>
                    <a:ext cx="2646900" cy="3516965"/>
                    <a:chOff x="7035923" y="2618913"/>
                    <a:chExt cx="2768724" cy="3320248"/>
                  </a:xfrm>
                </xdr:grpSpPr>
                <xdr:sp macro="" textlink="">
                  <xdr:nvSpPr>
                    <xdr:cNvPr id="67" name="Rectangle 66">
                      <a:extLst>
                        <a:ext uri="{FF2B5EF4-FFF2-40B4-BE49-F238E27FC236}">
                          <a16:creationId xmlns:a16="http://schemas.microsoft.com/office/drawing/2014/main" id="{00000000-0008-0000-1000-000043000000}"/>
                        </a:ext>
                      </a:extLst>
                    </xdr:cNvPr>
                    <xdr:cNvSpPr/>
                  </xdr:nvSpPr>
                  <xdr:spPr>
                    <a:xfrm>
                      <a:off x="7039992" y="3266983"/>
                      <a:ext cx="1651247" cy="267217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 name="Connecteur droit 67">
                      <a:extLst>
                        <a:ext uri="{FF2B5EF4-FFF2-40B4-BE49-F238E27FC236}">
                          <a16:creationId xmlns:a16="http://schemas.microsoft.com/office/drawing/2014/main" id="{00000000-0008-0000-1000-000044000000}"/>
                        </a:ext>
                      </a:extLst>
                    </xdr:cNvPr>
                    <xdr:cNvCxnSpPr/>
                  </xdr:nvCxnSpPr>
                  <xdr:spPr>
                    <a:xfrm flipV="1">
                      <a:off x="7039992" y="261891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9" name="Connecteur droit 68">
                      <a:extLst>
                        <a:ext uri="{FF2B5EF4-FFF2-40B4-BE49-F238E27FC236}">
                          <a16:creationId xmlns:a16="http://schemas.microsoft.com/office/drawing/2014/main" id="{00000000-0008-0000-1000-000045000000}"/>
                        </a:ext>
                      </a:extLst>
                    </xdr:cNvPr>
                    <xdr:cNvCxnSpPr/>
                  </xdr:nvCxnSpPr>
                  <xdr:spPr>
                    <a:xfrm flipV="1">
                      <a:off x="7052569" y="3617149"/>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0" name="Connecteur droit 69">
                      <a:extLst>
                        <a:ext uri="{FF2B5EF4-FFF2-40B4-BE49-F238E27FC236}">
                          <a16:creationId xmlns:a16="http://schemas.microsoft.com/office/drawing/2014/main" id="{00000000-0008-0000-1000-000046000000}"/>
                        </a:ext>
                      </a:extLst>
                    </xdr:cNvPr>
                    <xdr:cNvCxnSpPr/>
                  </xdr:nvCxnSpPr>
                  <xdr:spPr>
                    <a:xfrm flipV="1">
                      <a:off x="8689020" y="439007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1" name="Connecteur droit 70">
                      <a:extLst>
                        <a:ext uri="{FF2B5EF4-FFF2-40B4-BE49-F238E27FC236}">
                          <a16:creationId xmlns:a16="http://schemas.microsoft.com/office/drawing/2014/main" id="{00000000-0008-0000-1000-000047000000}"/>
                        </a:ext>
                      </a:extLst>
                    </xdr:cNvPr>
                    <xdr:cNvCxnSpPr/>
                  </xdr:nvCxnSpPr>
                  <xdr:spPr>
                    <a:xfrm flipV="1">
                      <a:off x="8689020" y="3628811"/>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2" name="Connecteur droit 71">
                      <a:extLst>
                        <a:ext uri="{FF2B5EF4-FFF2-40B4-BE49-F238E27FC236}">
                          <a16:creationId xmlns:a16="http://schemas.microsoft.com/office/drawing/2014/main" id="{00000000-0008-0000-1000-000048000000}"/>
                        </a:ext>
                      </a:extLst>
                    </xdr:cNvPr>
                    <xdr:cNvCxnSpPr/>
                  </xdr:nvCxnSpPr>
                  <xdr:spPr>
                    <a:xfrm flipV="1">
                      <a:off x="8689020" y="2628073"/>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a:extLst>
                        <a:ext uri="{FF2B5EF4-FFF2-40B4-BE49-F238E27FC236}">
                          <a16:creationId xmlns:a16="http://schemas.microsoft.com/office/drawing/2014/main" id="{00000000-0008-0000-1000-000049000000}"/>
                        </a:ext>
                      </a:extLst>
                    </xdr:cNvPr>
                    <xdr:cNvCxnSpPr/>
                  </xdr:nvCxnSpPr>
                  <xdr:spPr>
                    <a:xfrm flipV="1">
                      <a:off x="8691239" y="529109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4" name="Connecteur droit 73">
                      <a:extLst>
                        <a:ext uri="{FF2B5EF4-FFF2-40B4-BE49-F238E27FC236}">
                          <a16:creationId xmlns:a16="http://schemas.microsoft.com/office/drawing/2014/main" id="{00000000-0008-0000-1000-00004A000000}"/>
                        </a:ext>
                      </a:extLst>
                    </xdr:cNvPr>
                    <xdr:cNvCxnSpPr/>
                  </xdr:nvCxnSpPr>
                  <xdr:spPr>
                    <a:xfrm flipV="1">
                      <a:off x="7035923" y="4396322"/>
                      <a:ext cx="1113408" cy="648070"/>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5" name="Connecteur droit 74">
                      <a:extLst>
                        <a:ext uri="{FF2B5EF4-FFF2-40B4-BE49-F238E27FC236}">
                          <a16:creationId xmlns:a16="http://schemas.microsoft.com/office/drawing/2014/main" id="{00000000-0008-0000-1000-00004B000000}"/>
                        </a:ext>
                      </a:extLst>
                    </xdr:cNvPr>
                    <xdr:cNvCxnSpPr/>
                  </xdr:nvCxnSpPr>
                  <xdr:spPr>
                    <a:xfrm>
                      <a:off x="7052569" y="50443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6" name="Connecteur droit 75">
                      <a:extLst>
                        <a:ext uri="{FF2B5EF4-FFF2-40B4-BE49-F238E27FC236}">
                          <a16:creationId xmlns:a16="http://schemas.microsoft.com/office/drawing/2014/main" id="{00000000-0008-0000-1000-00004C000000}"/>
                        </a:ext>
                      </a:extLst>
                    </xdr:cNvPr>
                    <xdr:cNvCxnSpPr/>
                  </xdr:nvCxnSpPr>
                  <xdr:spPr>
                    <a:xfrm>
                      <a:off x="7067365" y="4265219"/>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7" name="Connecteur droit 76">
                      <a:extLst>
                        <a:ext uri="{FF2B5EF4-FFF2-40B4-BE49-F238E27FC236}">
                          <a16:creationId xmlns:a16="http://schemas.microsoft.com/office/drawing/2014/main" id="{00000000-0008-0000-1000-00004D000000}"/>
                        </a:ext>
                      </a:extLst>
                    </xdr:cNvPr>
                    <xdr:cNvCxnSpPr/>
                  </xdr:nvCxnSpPr>
                  <xdr:spPr>
                    <a:xfrm>
                      <a:off x="8165977" y="439632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8" name="Connecteur droit 77">
                      <a:extLst>
                        <a:ext uri="{FF2B5EF4-FFF2-40B4-BE49-F238E27FC236}">
                          <a16:creationId xmlns:a16="http://schemas.microsoft.com/office/drawing/2014/main" id="{00000000-0008-0000-1000-00004E000000}"/>
                        </a:ext>
                      </a:extLst>
                    </xdr:cNvPr>
                    <xdr:cNvCxnSpPr/>
                  </xdr:nvCxnSpPr>
                  <xdr:spPr>
                    <a:xfrm>
                      <a:off x="8134535" y="3634592"/>
                      <a:ext cx="1636451" cy="20256"/>
                    </a:xfrm>
                    <a:prstGeom prst="line">
                      <a:avLst/>
                    </a:prstGeom>
                    <a:ln w="9525" cap="flat" cmpd="sng" algn="ctr">
                      <a:solidFill>
                        <a:schemeClr val="accent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xnSp macro="">
                  <xdr:nvCxnSpPr>
                    <xdr:cNvPr id="79" name="Connecteur droit 78">
                      <a:extLst>
                        <a:ext uri="{FF2B5EF4-FFF2-40B4-BE49-F238E27FC236}">
                          <a16:creationId xmlns:a16="http://schemas.microsoft.com/office/drawing/2014/main" id="{00000000-0008-0000-1000-00004F000000}"/>
                        </a:ext>
                      </a:extLst>
                    </xdr:cNvPr>
                    <xdr:cNvCxnSpPr>
                      <a:cxnSpLocks/>
                    </xdr:cNvCxnSpPr>
                  </xdr:nvCxnSpPr>
                  <xdr:spPr>
                    <a:xfrm>
                      <a:off x="8165977" y="2618913"/>
                      <a:ext cx="1636451" cy="91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0" name="Connecteur droit 79">
                      <a:extLst>
                        <a:ext uri="{FF2B5EF4-FFF2-40B4-BE49-F238E27FC236}">
                          <a16:creationId xmlns:a16="http://schemas.microsoft.com/office/drawing/2014/main" id="{00000000-0008-0000-1000-000050000000}"/>
                        </a:ext>
                      </a:extLst>
                    </xdr:cNvPr>
                    <xdr:cNvCxnSpPr/>
                  </xdr:nvCxnSpPr>
                  <xdr:spPr>
                    <a:xfrm>
                      <a:off x="9802428" y="2618913"/>
                      <a:ext cx="0" cy="2672178"/>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1" name="Connecteur droit 80">
                      <a:extLst>
                        <a:ext uri="{FF2B5EF4-FFF2-40B4-BE49-F238E27FC236}">
                          <a16:creationId xmlns:a16="http://schemas.microsoft.com/office/drawing/2014/main" id="{00000000-0008-0000-1000-000051000000}"/>
                        </a:ext>
                      </a:extLst>
                    </xdr:cNvPr>
                    <xdr:cNvCxnSpPr/>
                  </xdr:nvCxnSpPr>
                  <xdr:spPr>
                    <a:xfrm flipV="1">
                      <a:off x="7052569" y="5283711"/>
                      <a:ext cx="1113408" cy="64807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a:extLst>
                        <a:ext uri="{FF2B5EF4-FFF2-40B4-BE49-F238E27FC236}">
                          <a16:creationId xmlns:a16="http://schemas.microsoft.com/office/drawing/2014/main" id="{00000000-0008-0000-1000-000052000000}"/>
                        </a:ext>
                      </a:extLst>
                    </xdr:cNvPr>
                    <xdr:cNvCxnSpPr/>
                  </xdr:nvCxnSpPr>
                  <xdr:spPr>
                    <a:xfrm>
                      <a:off x="8165977" y="5283711"/>
                      <a:ext cx="1634233"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3" name="Connecteur droit 82">
                      <a:extLst>
                        <a:ext uri="{FF2B5EF4-FFF2-40B4-BE49-F238E27FC236}">
                          <a16:creationId xmlns:a16="http://schemas.microsoft.com/office/drawing/2014/main" id="{00000000-0008-0000-1000-000053000000}"/>
                        </a:ext>
                      </a:extLst>
                    </xdr:cNvPr>
                    <xdr:cNvCxnSpPr/>
                  </xdr:nvCxnSpPr>
                  <xdr:spPr>
                    <a:xfrm>
                      <a:off x="8165977" y="2628073"/>
                      <a:ext cx="0" cy="2655638"/>
                    </a:xfrm>
                    <a:prstGeom prst="line">
                      <a:avLst/>
                    </a:prstGeom>
                  </xdr:spPr>
                  <xdr:style>
                    <a:lnRef idx="1">
                      <a:schemeClr val="accent1"/>
                    </a:lnRef>
                    <a:fillRef idx="0">
                      <a:schemeClr val="accent1"/>
                    </a:fillRef>
                    <a:effectRef idx="0">
                      <a:schemeClr val="accent1"/>
                    </a:effectRef>
                    <a:fontRef idx="minor">
                      <a:schemeClr val="tx1"/>
                    </a:fontRef>
                  </xdr:style>
                </xdr:cxnSp>
              </xdr:grpSp>
              <xdr:grpSp>
                <xdr:nvGrpSpPr>
                  <xdr:cNvPr id="55" name="Groupe 54">
                    <a:extLst>
                      <a:ext uri="{FF2B5EF4-FFF2-40B4-BE49-F238E27FC236}">
                        <a16:creationId xmlns:a16="http://schemas.microsoft.com/office/drawing/2014/main" id="{00000000-0008-0000-1000-000037000000}"/>
                      </a:ext>
                    </a:extLst>
                  </xdr:cNvPr>
                  <xdr:cNvGrpSpPr/>
                </xdr:nvGrpSpPr>
                <xdr:grpSpPr>
                  <a:xfrm>
                    <a:off x="4090064" y="1404736"/>
                    <a:ext cx="799986" cy="719739"/>
                    <a:chOff x="4090064" y="1404736"/>
                    <a:chExt cx="799986" cy="719739"/>
                  </a:xfrm>
                </xdr:grpSpPr>
                <xdr:cxnSp macro="">
                  <xdr:nvCxnSpPr>
                    <xdr:cNvPr id="64" name="Connecteur droit avec flèche 63">
                      <a:extLst>
                        <a:ext uri="{FF2B5EF4-FFF2-40B4-BE49-F238E27FC236}">
                          <a16:creationId xmlns:a16="http://schemas.microsoft.com/office/drawing/2014/main" id="{00000000-0008-0000-1000-000040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a:extLst>
                        <a:ext uri="{FF2B5EF4-FFF2-40B4-BE49-F238E27FC236}">
                          <a16:creationId xmlns:a16="http://schemas.microsoft.com/office/drawing/2014/main" id="{00000000-0008-0000-1000-000041000000}"/>
                        </a:ext>
                      </a:extLst>
                    </xdr:cNvPr>
                    <xdr:cNvCxnSpPr>
                      <a:cxnSpLocks/>
                    </xdr:cNvCxnSpPr>
                  </xdr:nvCxnSpPr>
                  <xdr:spPr>
                    <a:xfrm flipV="1">
                      <a:off x="4090064" y="1404736"/>
                      <a:ext cx="1624" cy="710036"/>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6" name="ZoneTexte 37">
                      <a:extLst>
                        <a:ext uri="{FF2B5EF4-FFF2-40B4-BE49-F238E27FC236}">
                          <a16:creationId xmlns:a16="http://schemas.microsoft.com/office/drawing/2014/main" id="{00000000-0008-0000-1000-000042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6" name="Groupe 55">
                    <a:extLst>
                      <a:ext uri="{FF2B5EF4-FFF2-40B4-BE49-F238E27FC236}">
                        <a16:creationId xmlns:a16="http://schemas.microsoft.com/office/drawing/2014/main" id="{00000000-0008-0000-1000-000038000000}"/>
                      </a:ext>
                    </a:extLst>
                  </xdr:cNvPr>
                  <xdr:cNvGrpSpPr/>
                </xdr:nvGrpSpPr>
                <xdr:grpSpPr>
                  <a:xfrm>
                    <a:off x="5664390" y="1530820"/>
                    <a:ext cx="793202" cy="594311"/>
                    <a:chOff x="4096848" y="1530164"/>
                    <a:chExt cx="793202" cy="594311"/>
                  </a:xfrm>
                </xdr:grpSpPr>
                <xdr:cxnSp macro="">
                  <xdr:nvCxnSpPr>
                    <xdr:cNvPr id="61" name="Connecteur droit avec flèche 60">
                      <a:extLst>
                        <a:ext uri="{FF2B5EF4-FFF2-40B4-BE49-F238E27FC236}">
                          <a16:creationId xmlns:a16="http://schemas.microsoft.com/office/drawing/2014/main" id="{00000000-0008-0000-1000-00003D000000}"/>
                        </a:ext>
                      </a:extLst>
                    </xdr:cNvPr>
                    <xdr:cNvCxnSpPr>
                      <a:cxnSpLocks/>
                    </xdr:cNvCxnSpPr>
                  </xdr:nvCxnSpPr>
                  <xdr:spPr>
                    <a:xfrm>
                      <a:off x="4306269" y="1530164"/>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Connecteur droit 61">
                      <a:extLst>
                        <a:ext uri="{FF2B5EF4-FFF2-40B4-BE49-F238E27FC236}">
                          <a16:creationId xmlns:a16="http://schemas.microsoft.com/office/drawing/2014/main" id="{00000000-0008-0000-1000-00003E000000}"/>
                        </a:ext>
                      </a:extLst>
                    </xdr:cNvPr>
                    <xdr:cNvCxnSpPr>
                      <a:cxnSpLocks/>
                    </xdr:cNvCxnSpPr>
                  </xdr:nvCxnSpPr>
                  <xdr:spPr>
                    <a:xfrm flipV="1">
                      <a:off x="4096848" y="1561475"/>
                      <a:ext cx="0" cy="55329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ZoneTexte 33">
                      <a:extLst>
                        <a:ext uri="{FF2B5EF4-FFF2-40B4-BE49-F238E27FC236}">
                          <a16:creationId xmlns:a16="http://schemas.microsoft.com/office/drawing/2014/main" id="{00000000-0008-0000-1000-00003F000000}"/>
                        </a:ext>
                      </a:extLst>
                    </xdr:cNvPr>
                    <xdr:cNvSpPr txBox="1"/>
                  </xdr:nvSpPr>
                  <xdr:spPr>
                    <a:xfrm>
                      <a:off x="4252097" y="1680370"/>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nvGrpSpPr>
                  <xdr:cNvPr id="57" name="Groupe 56">
                    <a:extLst>
                      <a:ext uri="{FF2B5EF4-FFF2-40B4-BE49-F238E27FC236}">
                        <a16:creationId xmlns:a16="http://schemas.microsoft.com/office/drawing/2014/main" id="{00000000-0008-0000-1000-000039000000}"/>
                      </a:ext>
                    </a:extLst>
                  </xdr:cNvPr>
                  <xdr:cNvGrpSpPr/>
                </xdr:nvGrpSpPr>
                <xdr:grpSpPr>
                  <a:xfrm>
                    <a:off x="5158826" y="768007"/>
                    <a:ext cx="654031" cy="671323"/>
                    <a:chOff x="4096833" y="1444280"/>
                    <a:chExt cx="654031" cy="671323"/>
                  </a:xfrm>
                </xdr:grpSpPr>
                <xdr:cxnSp macro="">
                  <xdr:nvCxnSpPr>
                    <xdr:cNvPr id="58" name="Connecteur droit avec flèche 57">
                      <a:extLst>
                        <a:ext uri="{FF2B5EF4-FFF2-40B4-BE49-F238E27FC236}">
                          <a16:creationId xmlns:a16="http://schemas.microsoft.com/office/drawing/2014/main" id="{00000000-0008-0000-1000-00003A000000}"/>
                        </a:ext>
                      </a:extLst>
                    </xdr:cNvPr>
                    <xdr:cNvCxnSpPr>
                      <a:cxnSpLocks/>
                    </xdr:cNvCxnSpPr>
                  </xdr:nvCxnSpPr>
                  <xdr:spPr>
                    <a:xfrm>
                      <a:off x="4167083" y="1521292"/>
                      <a:ext cx="0" cy="59431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9" name="Connecteur droit 58">
                      <a:extLst>
                        <a:ext uri="{FF2B5EF4-FFF2-40B4-BE49-F238E27FC236}">
                          <a16:creationId xmlns:a16="http://schemas.microsoft.com/office/drawing/2014/main" id="{00000000-0008-0000-1000-00003B000000}"/>
                        </a:ext>
                      </a:extLst>
                    </xdr:cNvPr>
                    <xdr:cNvCxnSpPr>
                      <a:cxnSpLocks/>
                    </xdr:cNvCxnSpPr>
                  </xdr:nvCxnSpPr>
                  <xdr:spPr>
                    <a:xfrm flipH="1" flipV="1">
                      <a:off x="4096833" y="1444280"/>
                      <a:ext cx="115" cy="665571"/>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ZoneTexte 29">
                      <a:extLst>
                        <a:ext uri="{FF2B5EF4-FFF2-40B4-BE49-F238E27FC236}">
                          <a16:creationId xmlns:a16="http://schemas.microsoft.com/office/drawing/2014/main" id="{00000000-0008-0000-1000-00003C000000}"/>
                        </a:ext>
                      </a:extLst>
                    </xdr:cNvPr>
                    <xdr:cNvSpPr txBox="1"/>
                  </xdr:nvSpPr>
                  <xdr:spPr>
                    <a:xfrm>
                      <a:off x="4112911" y="1671498"/>
                      <a:ext cx="637953" cy="211886"/>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grpSp>
        </xdr:grpSp>
        <xdr:grpSp>
          <xdr:nvGrpSpPr>
            <xdr:cNvPr id="45" name="Groupe 44">
              <a:extLst>
                <a:ext uri="{FF2B5EF4-FFF2-40B4-BE49-F238E27FC236}">
                  <a16:creationId xmlns:a16="http://schemas.microsoft.com/office/drawing/2014/main" id="{00000000-0008-0000-1000-00002D000000}"/>
                </a:ext>
              </a:extLst>
            </xdr:cNvPr>
            <xdr:cNvGrpSpPr/>
          </xdr:nvGrpSpPr>
          <xdr:grpSpPr>
            <a:xfrm>
              <a:off x="10123465" y="27860101"/>
              <a:ext cx="1028795" cy="733781"/>
              <a:chOff x="10123465" y="27860101"/>
              <a:chExt cx="1028795" cy="733781"/>
            </a:xfrm>
          </xdr:grpSpPr>
          <xdr:cxnSp macro="">
            <xdr:nvCxnSpPr>
              <xdr:cNvPr id="46" name="Connecteur droit 45">
                <a:extLst>
                  <a:ext uri="{FF2B5EF4-FFF2-40B4-BE49-F238E27FC236}">
                    <a16:creationId xmlns:a16="http://schemas.microsoft.com/office/drawing/2014/main" id="{00000000-0008-0000-1000-00002E000000}"/>
                  </a:ext>
                </a:extLst>
              </xdr:cNvPr>
              <xdr:cNvCxnSpPr>
                <a:cxnSpLocks/>
              </xdr:cNvCxnSpPr>
            </xdr:nvCxnSpPr>
            <xdr:spPr>
              <a:xfrm flipV="1">
                <a:off x="10123465" y="27926972"/>
                <a:ext cx="432" cy="643067"/>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47" name="Connecteur droit avec flèche 46">
                <a:extLst>
                  <a:ext uri="{FF2B5EF4-FFF2-40B4-BE49-F238E27FC236}">
                    <a16:creationId xmlns:a16="http://schemas.microsoft.com/office/drawing/2014/main" id="{00000000-0008-0000-1000-00002F000000}"/>
                  </a:ext>
                </a:extLst>
              </xdr:cNvPr>
              <xdr:cNvCxnSpPr>
                <a:cxnSpLocks/>
              </xdr:cNvCxnSpPr>
            </xdr:nvCxnSpPr>
            <xdr:spPr>
              <a:xfrm>
                <a:off x="10390280" y="27860101"/>
                <a:ext cx="0" cy="733781"/>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 name="ZoneTexte 29">
                <a:extLst>
                  <a:ext uri="{FF2B5EF4-FFF2-40B4-BE49-F238E27FC236}">
                    <a16:creationId xmlns:a16="http://schemas.microsoft.com/office/drawing/2014/main" id="{00000000-0008-0000-1000-000030000000}"/>
                  </a:ext>
                </a:extLst>
              </xdr:cNvPr>
              <xdr:cNvSpPr txBox="1"/>
            </xdr:nvSpPr>
            <xdr:spPr>
              <a:xfrm>
                <a:off x="10378281" y="28078906"/>
                <a:ext cx="773979" cy="261610"/>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100">
                    <a:solidFill>
                      <a:schemeClr val="accent1">
                        <a:lumMod val="75000"/>
                      </a:schemeClr>
                    </a:solidFill>
                  </a:rPr>
                  <a:t>400mm</a:t>
                </a:r>
                <a:endParaRPr lang="en-US" sz="1100">
                  <a:solidFill>
                    <a:schemeClr val="accent1">
                      <a:lumMod val="75000"/>
                    </a:schemeClr>
                  </a:solidFill>
                </a:endParaRPr>
              </a:p>
            </xdr:txBody>
          </xdr:sp>
        </xdr:grpSp>
      </xdr:grpSp>
      <xdr:sp macro="" textlink="$D$147">
        <xdr:nvSpPr>
          <xdr:cNvPr id="26" name="Dodécagone 25">
            <a:extLst>
              <a:ext uri="{FF2B5EF4-FFF2-40B4-BE49-F238E27FC236}">
                <a16:creationId xmlns:a16="http://schemas.microsoft.com/office/drawing/2014/main" id="{00000000-0008-0000-1000-00001A000000}"/>
              </a:ext>
            </a:extLst>
          </xdr:cNvPr>
          <xdr:cNvSpPr/>
        </xdr:nvSpPr>
        <xdr:spPr>
          <a:xfrm>
            <a:off x="7703822" y="27046644"/>
            <a:ext cx="359772" cy="34997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20147DF-82C0-4BA5-8694-4FA3A98AB41E}" type="TxLink">
              <a:rPr lang="en-US" sz="1100" b="0" i="0" u="none" strike="noStrike">
                <a:solidFill>
                  <a:srgbClr val="000000"/>
                </a:solidFill>
                <a:latin typeface="Calibri"/>
                <a:cs typeface="Calibri"/>
              </a:rPr>
              <a:pPr algn="l"/>
              <a:t>1</a:t>
            </a:fld>
            <a:endParaRPr lang="fr-FR" sz="1100"/>
          </a:p>
        </xdr:txBody>
      </xdr:sp>
      <xdr:sp macro="" textlink="$D$148">
        <xdr:nvSpPr>
          <xdr:cNvPr id="27" name="Dodécagone 26">
            <a:extLst>
              <a:ext uri="{FF2B5EF4-FFF2-40B4-BE49-F238E27FC236}">
                <a16:creationId xmlns:a16="http://schemas.microsoft.com/office/drawing/2014/main" id="{00000000-0008-0000-1000-00001B000000}"/>
              </a:ext>
            </a:extLst>
          </xdr:cNvPr>
          <xdr:cNvSpPr/>
        </xdr:nvSpPr>
        <xdr:spPr>
          <a:xfrm>
            <a:off x="9203328" y="26250085"/>
            <a:ext cx="363038" cy="34943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C49C7A8-7232-48D0-9343-936028B1DD9A}" type="TxLink">
              <a:rPr lang="en-US" sz="1100" b="0" i="0" u="none" strike="noStrike">
                <a:solidFill>
                  <a:srgbClr val="000000"/>
                </a:solidFill>
                <a:latin typeface="Calibri"/>
                <a:cs typeface="Calibri"/>
              </a:rPr>
              <a:pPr algn="l"/>
              <a:t>2</a:t>
            </a:fld>
            <a:endParaRPr lang="fr-FR" sz="1100"/>
          </a:p>
        </xdr:txBody>
      </xdr:sp>
      <xdr:sp macro="" textlink="$D$149">
        <xdr:nvSpPr>
          <xdr:cNvPr id="28" name="Dodécagone 27">
            <a:extLst>
              <a:ext uri="{FF2B5EF4-FFF2-40B4-BE49-F238E27FC236}">
                <a16:creationId xmlns:a16="http://schemas.microsoft.com/office/drawing/2014/main" id="{00000000-0008-0000-1000-00001C000000}"/>
              </a:ext>
            </a:extLst>
          </xdr:cNvPr>
          <xdr:cNvSpPr/>
        </xdr:nvSpPr>
        <xdr:spPr>
          <a:xfrm>
            <a:off x="11375029" y="26424800"/>
            <a:ext cx="364670" cy="340993"/>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BBEBC00E-8E04-4A8A-9050-AC5AF6EB76BA}" type="TxLink">
              <a:rPr lang="en-US" sz="1100" b="0" i="0" u="none" strike="noStrike">
                <a:solidFill>
                  <a:srgbClr val="000000"/>
                </a:solidFill>
                <a:latin typeface="Calibri"/>
                <a:cs typeface="Calibri"/>
              </a:rPr>
              <a:pPr algn="l"/>
              <a:t>3</a:t>
            </a:fld>
            <a:endParaRPr lang="fr-FR" sz="1100"/>
          </a:p>
        </xdr:txBody>
      </xdr:sp>
      <xdr:sp macro="" textlink="$D$150">
        <xdr:nvSpPr>
          <xdr:cNvPr id="29" name="Dodécagone 28">
            <a:extLst>
              <a:ext uri="{FF2B5EF4-FFF2-40B4-BE49-F238E27FC236}">
                <a16:creationId xmlns:a16="http://schemas.microsoft.com/office/drawing/2014/main" id="{00000000-0008-0000-1000-00001D000000}"/>
              </a:ext>
            </a:extLst>
          </xdr:cNvPr>
          <xdr:cNvSpPr/>
        </xdr:nvSpPr>
        <xdr:spPr>
          <a:xfrm>
            <a:off x="9952811" y="27038208"/>
            <a:ext cx="355418" cy="359500"/>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454D7B-6F09-4FB0-B2A9-C64CB4C73AB1}" type="TxLink">
              <a:rPr lang="en-US" sz="1100" b="0" i="0" u="none" strike="noStrike">
                <a:solidFill>
                  <a:srgbClr val="000000"/>
                </a:solidFill>
                <a:latin typeface="Calibri"/>
                <a:cs typeface="Calibri"/>
              </a:rPr>
              <a:pPr algn="l"/>
              <a:t>4</a:t>
            </a:fld>
            <a:endParaRPr lang="fr-FR" sz="1100"/>
          </a:p>
        </xdr:txBody>
      </xdr:sp>
      <xdr:sp macro="" textlink="$D$151">
        <xdr:nvSpPr>
          <xdr:cNvPr id="30" name="Dodécagone 29">
            <a:extLst>
              <a:ext uri="{FF2B5EF4-FFF2-40B4-BE49-F238E27FC236}">
                <a16:creationId xmlns:a16="http://schemas.microsoft.com/office/drawing/2014/main" id="{00000000-0008-0000-1000-00001E000000}"/>
              </a:ext>
            </a:extLst>
          </xdr:cNvPr>
          <xdr:cNvSpPr/>
        </xdr:nvSpPr>
        <xdr:spPr>
          <a:xfrm>
            <a:off x="7694569" y="31199273"/>
            <a:ext cx="35732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CDE93F8-6A89-4CC2-A7D4-C6D3BCD3EC8A}" type="TxLink">
              <a:rPr lang="en-US" sz="1100" b="0" i="0" u="none" strike="noStrike">
                <a:solidFill>
                  <a:srgbClr val="000000"/>
                </a:solidFill>
                <a:latin typeface="Calibri"/>
                <a:cs typeface="Calibri"/>
              </a:rPr>
              <a:pPr algn="l"/>
              <a:t>5</a:t>
            </a:fld>
            <a:endParaRPr lang="fr-FR" sz="1100"/>
          </a:p>
        </xdr:txBody>
      </xdr:sp>
      <xdr:sp macro="" textlink="$D$154">
        <xdr:nvSpPr>
          <xdr:cNvPr id="31" name="Dodécagone 30">
            <a:extLst>
              <a:ext uri="{FF2B5EF4-FFF2-40B4-BE49-F238E27FC236}">
                <a16:creationId xmlns:a16="http://schemas.microsoft.com/office/drawing/2014/main" id="{00000000-0008-0000-1000-00001F000000}"/>
              </a:ext>
            </a:extLst>
          </xdr:cNvPr>
          <xdr:cNvSpPr/>
        </xdr:nvSpPr>
        <xdr:spPr>
          <a:xfrm>
            <a:off x="9918792" y="31199273"/>
            <a:ext cx="353513"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38CBA35-7575-4E00-80B9-18CC9E385644}" type="TxLink">
              <a:rPr lang="en-US" sz="1100" b="0" i="0" u="none" strike="noStrike">
                <a:solidFill>
                  <a:srgbClr val="000000"/>
                </a:solidFill>
                <a:latin typeface="Calibri"/>
                <a:cs typeface="Calibri"/>
              </a:rPr>
              <a:pPr algn="l"/>
              <a:t>8</a:t>
            </a:fld>
            <a:endParaRPr lang="fr-FR" sz="1100"/>
          </a:p>
        </xdr:txBody>
      </xdr:sp>
      <xdr:sp macro="" textlink="$D$152">
        <xdr:nvSpPr>
          <xdr:cNvPr id="32" name="Dodécagone 31">
            <a:extLst>
              <a:ext uri="{FF2B5EF4-FFF2-40B4-BE49-F238E27FC236}">
                <a16:creationId xmlns:a16="http://schemas.microsoft.com/office/drawing/2014/main" id="{00000000-0008-0000-1000-000020000000}"/>
              </a:ext>
            </a:extLst>
          </xdr:cNvPr>
          <xdr:cNvSpPr/>
        </xdr:nvSpPr>
        <xdr:spPr>
          <a:xfrm>
            <a:off x="9194892" y="30402712"/>
            <a:ext cx="353513" cy="34861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0C9E325-E90E-4F09-BAC3-3FD6C428A1AD}" type="TxLink">
              <a:rPr lang="en-US" sz="1100" b="0" i="0" u="none" strike="noStrike">
                <a:solidFill>
                  <a:srgbClr val="000000"/>
                </a:solidFill>
                <a:latin typeface="Calibri"/>
                <a:cs typeface="Calibri"/>
              </a:rPr>
              <a:pPr algn="l"/>
              <a:t>6</a:t>
            </a:fld>
            <a:endParaRPr lang="fr-FR" sz="1100"/>
          </a:p>
        </xdr:txBody>
      </xdr:sp>
      <xdr:sp macro="" textlink="$D$153">
        <xdr:nvSpPr>
          <xdr:cNvPr id="33" name="Dodécagone 32">
            <a:extLst>
              <a:ext uri="{FF2B5EF4-FFF2-40B4-BE49-F238E27FC236}">
                <a16:creationId xmlns:a16="http://schemas.microsoft.com/office/drawing/2014/main" id="{00000000-0008-0000-1000-000021000000}"/>
              </a:ext>
            </a:extLst>
          </xdr:cNvPr>
          <xdr:cNvSpPr/>
        </xdr:nvSpPr>
        <xdr:spPr>
          <a:xfrm>
            <a:off x="11410135" y="30397541"/>
            <a:ext cx="366575"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506336-B047-4994-B208-96B7881DC6F3}" type="TxLink">
              <a:rPr lang="en-US" sz="1100" b="0" i="0" u="none" strike="noStrike">
                <a:solidFill>
                  <a:srgbClr val="000000"/>
                </a:solidFill>
                <a:latin typeface="Calibri"/>
                <a:cs typeface="Calibri"/>
              </a:rPr>
              <a:pPr algn="l"/>
              <a:t>7</a:t>
            </a:fld>
            <a:endParaRPr lang="fr-FR" sz="1100"/>
          </a:p>
        </xdr:txBody>
      </xdr:sp>
      <xdr:sp macro="" textlink="$C$147">
        <xdr:nvSpPr>
          <xdr:cNvPr id="34" name="Dodécagone 33">
            <a:extLst>
              <a:ext uri="{FF2B5EF4-FFF2-40B4-BE49-F238E27FC236}">
                <a16:creationId xmlns:a16="http://schemas.microsoft.com/office/drawing/2014/main" id="{00000000-0008-0000-1000-000022000000}"/>
              </a:ext>
            </a:extLst>
          </xdr:cNvPr>
          <xdr:cNvSpPr/>
        </xdr:nvSpPr>
        <xdr:spPr>
          <a:xfrm>
            <a:off x="7714435" y="26691770"/>
            <a:ext cx="355418" cy="340994"/>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3E7A8913-B747-47D5-BAD0-F6523078F648}" type="TxLink">
              <a:rPr lang="en-US" sz="1100" b="0" i="0" u="none" strike="noStrike">
                <a:solidFill>
                  <a:srgbClr val="000000"/>
                </a:solidFill>
                <a:latin typeface="Calibri"/>
                <a:cs typeface="Calibri"/>
              </a:rPr>
              <a:pPr algn="l"/>
              <a:t>1</a:t>
            </a:fld>
            <a:endParaRPr lang="fr-FR" sz="1100"/>
          </a:p>
        </xdr:txBody>
      </xdr:sp>
      <xdr:sp macro="" textlink="$C$148">
        <xdr:nvSpPr>
          <xdr:cNvPr id="35" name="Dodécagone 34">
            <a:extLst>
              <a:ext uri="{FF2B5EF4-FFF2-40B4-BE49-F238E27FC236}">
                <a16:creationId xmlns:a16="http://schemas.microsoft.com/office/drawing/2014/main" id="{00000000-0008-0000-1000-000023000000}"/>
              </a:ext>
            </a:extLst>
          </xdr:cNvPr>
          <xdr:cNvSpPr/>
        </xdr:nvSpPr>
        <xdr:spPr>
          <a:xfrm>
            <a:off x="9207682" y="25878608"/>
            <a:ext cx="353513" cy="35786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E742A3AD-DEE1-4E12-B562-A2EEF15158AC}" type="TxLink">
              <a:rPr lang="en-US" sz="1100" b="0" i="0" u="none" strike="noStrike">
                <a:solidFill>
                  <a:srgbClr val="000000"/>
                </a:solidFill>
                <a:latin typeface="Calibri"/>
                <a:cs typeface="Calibri"/>
              </a:rPr>
              <a:pPr algn="l"/>
              <a:t>2</a:t>
            </a:fld>
            <a:endParaRPr lang="fr-FR" sz="1100"/>
          </a:p>
        </xdr:txBody>
      </xdr:sp>
      <xdr:sp macro="" textlink="$C$149">
        <xdr:nvSpPr>
          <xdr:cNvPr id="36" name="Dodécagone 35">
            <a:extLst>
              <a:ext uri="{FF2B5EF4-FFF2-40B4-BE49-F238E27FC236}">
                <a16:creationId xmlns:a16="http://schemas.microsoft.com/office/drawing/2014/main" id="{00000000-0008-0000-1000-000024000000}"/>
              </a:ext>
            </a:extLst>
          </xdr:cNvPr>
          <xdr:cNvSpPr/>
        </xdr:nvSpPr>
        <xdr:spPr>
          <a:xfrm>
            <a:off x="11379382" y="26063937"/>
            <a:ext cx="357050" cy="350247"/>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13A9DCD1-E681-4697-9612-C263AC2B14AB}" type="TxLink">
              <a:rPr lang="en-US" sz="1100" b="0" i="0" u="none" strike="noStrike">
                <a:solidFill>
                  <a:srgbClr val="000000"/>
                </a:solidFill>
                <a:latin typeface="Calibri"/>
                <a:cs typeface="Calibri"/>
              </a:rPr>
              <a:pPr algn="l"/>
              <a:t>3</a:t>
            </a:fld>
            <a:endParaRPr lang="fr-FR" sz="1100"/>
          </a:p>
        </xdr:txBody>
      </xdr:sp>
      <xdr:sp macro="" textlink="$C$150">
        <xdr:nvSpPr>
          <xdr:cNvPr id="37" name="Dodécagone 36">
            <a:extLst>
              <a:ext uri="{FF2B5EF4-FFF2-40B4-BE49-F238E27FC236}">
                <a16:creationId xmlns:a16="http://schemas.microsoft.com/office/drawing/2014/main" id="{00000000-0008-0000-1000-000025000000}"/>
              </a:ext>
            </a:extLst>
          </xdr:cNvPr>
          <xdr:cNvSpPr/>
        </xdr:nvSpPr>
        <xdr:spPr>
          <a:xfrm>
            <a:off x="9957079" y="26671181"/>
            <a:ext cx="353513"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FC9827D-ECC7-4858-9A44-6604C3F7CE2C}" type="TxLink">
              <a:rPr lang="en-US" sz="1100" b="0" i="0" u="none" strike="noStrike">
                <a:solidFill>
                  <a:srgbClr val="000000"/>
                </a:solidFill>
                <a:latin typeface="Calibri"/>
                <a:cs typeface="Calibri"/>
              </a:rPr>
              <a:pPr algn="l"/>
              <a:t>4</a:t>
            </a:fld>
            <a:endParaRPr lang="fr-FR" sz="1100"/>
          </a:p>
        </xdr:txBody>
      </xdr:sp>
      <xdr:sp macro="" textlink="$C$151">
        <xdr:nvSpPr>
          <xdr:cNvPr id="38" name="Dodécagone 37">
            <a:extLst>
              <a:ext uri="{FF2B5EF4-FFF2-40B4-BE49-F238E27FC236}">
                <a16:creationId xmlns:a16="http://schemas.microsoft.com/office/drawing/2014/main" id="{00000000-0008-0000-1000-000026000000}"/>
              </a:ext>
            </a:extLst>
          </xdr:cNvPr>
          <xdr:cNvSpPr/>
        </xdr:nvSpPr>
        <xdr:spPr>
          <a:xfrm>
            <a:off x="7694568" y="30830712"/>
            <a:ext cx="357323" cy="339088"/>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5BFE4BF9-3BFB-47E4-B1A0-011C0E32E006}" type="TxLink">
              <a:rPr lang="en-US" sz="1100" b="0" i="0" u="none" strike="noStrike">
                <a:solidFill>
                  <a:srgbClr val="000000"/>
                </a:solidFill>
                <a:latin typeface="Calibri"/>
                <a:cs typeface="Calibri"/>
              </a:rPr>
              <a:pPr algn="l"/>
              <a:t>5</a:t>
            </a:fld>
            <a:endParaRPr lang="fr-FR" sz="1100"/>
          </a:p>
        </xdr:txBody>
      </xdr:sp>
      <xdr:sp macro="" textlink="$C$152">
        <xdr:nvSpPr>
          <xdr:cNvPr id="39" name="Dodécagone 38">
            <a:extLst>
              <a:ext uri="{FF2B5EF4-FFF2-40B4-BE49-F238E27FC236}">
                <a16:creationId xmlns:a16="http://schemas.microsoft.com/office/drawing/2014/main" id="{00000000-0008-0000-1000-000027000000}"/>
              </a:ext>
            </a:extLst>
          </xdr:cNvPr>
          <xdr:cNvSpPr/>
        </xdr:nvSpPr>
        <xdr:spPr>
          <a:xfrm>
            <a:off x="9175072" y="30048285"/>
            <a:ext cx="363038" cy="348615"/>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9148C02D-BDE6-43DA-9423-6229E9248AE9}" type="TxLink">
              <a:rPr lang="en-US" sz="1100" b="0" i="0" u="none" strike="noStrike">
                <a:solidFill>
                  <a:srgbClr val="000000"/>
                </a:solidFill>
                <a:latin typeface="Calibri"/>
                <a:cs typeface="Calibri"/>
              </a:rPr>
              <a:pPr algn="l"/>
              <a:t>6</a:t>
            </a:fld>
            <a:endParaRPr lang="fr-FR" sz="1100"/>
          </a:p>
        </xdr:txBody>
      </xdr:sp>
      <xdr:sp macro="" textlink="$C$153">
        <xdr:nvSpPr>
          <xdr:cNvPr id="40" name="Dodécagone 39">
            <a:extLst>
              <a:ext uri="{FF2B5EF4-FFF2-40B4-BE49-F238E27FC236}">
                <a16:creationId xmlns:a16="http://schemas.microsoft.com/office/drawing/2014/main" id="{00000000-0008-0000-1000-000028000000}"/>
              </a:ext>
            </a:extLst>
          </xdr:cNvPr>
          <xdr:cNvSpPr/>
        </xdr:nvSpPr>
        <xdr:spPr>
          <a:xfrm>
            <a:off x="11410134" y="30043115"/>
            <a:ext cx="366575" cy="339586"/>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7FE440E7-AC0C-4FA3-BCE3-3B53D82BECFB}" type="TxLink">
              <a:rPr lang="en-US" sz="1100" b="0" i="0" u="none" strike="noStrike">
                <a:solidFill>
                  <a:srgbClr val="000000"/>
                </a:solidFill>
                <a:latin typeface="Calibri"/>
                <a:cs typeface="Calibri"/>
              </a:rPr>
              <a:pPr algn="l"/>
              <a:t>7</a:t>
            </a:fld>
            <a:endParaRPr lang="fr-FR" sz="1100"/>
          </a:p>
        </xdr:txBody>
      </xdr:sp>
      <xdr:sp macro="" textlink="$C$154">
        <xdr:nvSpPr>
          <xdr:cNvPr id="41" name="Dodécagone 40">
            <a:extLst>
              <a:ext uri="{FF2B5EF4-FFF2-40B4-BE49-F238E27FC236}">
                <a16:creationId xmlns:a16="http://schemas.microsoft.com/office/drawing/2014/main" id="{00000000-0008-0000-1000-000029000000}"/>
              </a:ext>
            </a:extLst>
          </xdr:cNvPr>
          <xdr:cNvSpPr/>
        </xdr:nvSpPr>
        <xdr:spPr>
          <a:xfrm>
            <a:off x="9904095" y="30842928"/>
            <a:ext cx="363038" cy="340993"/>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F0A600A2-0004-4FB1-8EAC-77A86922294C}" type="TxLink">
              <a:rPr lang="en-US" sz="1100" b="0" i="0" u="none" strike="noStrike">
                <a:solidFill>
                  <a:srgbClr val="000000"/>
                </a:solidFill>
                <a:latin typeface="Calibri"/>
                <a:cs typeface="Calibri"/>
              </a:rPr>
              <a:pPr algn="l"/>
              <a:t>8</a:t>
            </a:fld>
            <a:endParaRPr lang="fr-FR" sz="1100"/>
          </a:p>
        </xdr:txBody>
      </xdr:sp>
      <xdr:sp macro="" textlink="$D$155">
        <xdr:nvSpPr>
          <xdr:cNvPr id="42" name="Dodécagone 41">
            <a:extLst>
              <a:ext uri="{FF2B5EF4-FFF2-40B4-BE49-F238E27FC236}">
                <a16:creationId xmlns:a16="http://schemas.microsoft.com/office/drawing/2014/main" id="{00000000-0008-0000-1000-00002A000000}"/>
              </a:ext>
            </a:extLst>
          </xdr:cNvPr>
          <xdr:cNvSpPr/>
        </xdr:nvSpPr>
        <xdr:spPr>
          <a:xfrm>
            <a:off x="9624605" y="29253453"/>
            <a:ext cx="355690" cy="340995"/>
          </a:xfrm>
          <a:prstGeom prst="dodecagon">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603E615A-3C92-4523-93E6-0F967AE37046}" type="TxLink">
              <a:rPr lang="en-US" sz="1100" b="0" i="0" u="none" strike="noStrike">
                <a:solidFill>
                  <a:srgbClr val="000000"/>
                </a:solidFill>
                <a:latin typeface="Calibri"/>
                <a:cs typeface="Calibri"/>
              </a:rPr>
              <a:pPr algn="l"/>
              <a:t>9</a:t>
            </a:fld>
            <a:endParaRPr lang="fr-FR" sz="1100"/>
          </a:p>
        </xdr:txBody>
      </xdr:sp>
      <xdr:sp macro="" textlink="$C$155">
        <xdr:nvSpPr>
          <xdr:cNvPr id="43" name="Dodécagone 42">
            <a:extLst>
              <a:ext uri="{FF2B5EF4-FFF2-40B4-BE49-F238E27FC236}">
                <a16:creationId xmlns:a16="http://schemas.microsoft.com/office/drawing/2014/main" id="{00000000-0008-0000-1000-00002B000000}"/>
              </a:ext>
            </a:extLst>
          </xdr:cNvPr>
          <xdr:cNvSpPr/>
        </xdr:nvSpPr>
        <xdr:spPr>
          <a:xfrm>
            <a:off x="9626782" y="28924593"/>
            <a:ext cx="358684" cy="339089"/>
          </a:xfrm>
          <a:prstGeom prst="dodecagon">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fld id="{4D380944-5C71-4E45-B89E-106A56923424}" type="TxLink">
              <a:rPr lang="en-US" sz="1100" b="0" i="0" u="none" strike="noStrike">
                <a:solidFill>
                  <a:srgbClr val="000000"/>
                </a:solidFill>
                <a:latin typeface="Calibri"/>
                <a:cs typeface="Calibri"/>
              </a:rPr>
              <a:pPr algn="l"/>
              <a:t>9</a:t>
            </a:fld>
            <a:endParaRPr lang="fr-FR" sz="1100"/>
          </a:p>
        </xdr:txBody>
      </xdr:sp>
    </xdr:grpSp>
    <xdr:clientData/>
  </xdr:twoCellAnchor>
  <xdr:twoCellAnchor>
    <xdr:from>
      <xdr:col>4</xdr:col>
      <xdr:colOff>1756695</xdr:colOff>
      <xdr:row>146</xdr:row>
      <xdr:rowOff>116746</xdr:rowOff>
    </xdr:from>
    <xdr:to>
      <xdr:col>4</xdr:col>
      <xdr:colOff>2098888</xdr:colOff>
      <xdr:row>148</xdr:row>
      <xdr:rowOff>111901</xdr:rowOff>
    </xdr:to>
    <xdr:sp macro="" textlink="$B$147">
      <xdr:nvSpPr>
        <xdr:cNvPr id="88" name="Dodécagone 87">
          <a:extLst>
            <a:ext uri="{FF2B5EF4-FFF2-40B4-BE49-F238E27FC236}">
              <a16:creationId xmlns:a16="http://schemas.microsoft.com/office/drawing/2014/main" id="{00000000-0008-0000-1000-000058000000}"/>
            </a:ext>
          </a:extLst>
        </xdr:cNvPr>
        <xdr:cNvSpPr/>
      </xdr:nvSpPr>
      <xdr:spPr>
        <a:xfrm>
          <a:off x="7157370" y="28710796"/>
          <a:ext cx="313618"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B178163E-481A-4A4E-B80A-92C8A44EEB10}" type="TxLink">
            <a:rPr lang="en-US" sz="1100" b="0" i="0" u="none" strike="noStrike">
              <a:solidFill>
                <a:srgbClr val="000000"/>
              </a:solidFill>
              <a:latin typeface="Calibri"/>
              <a:cs typeface="Calibri"/>
            </a:rPr>
            <a:pPr algn="l"/>
            <a:t>1</a:t>
          </a:fld>
          <a:endParaRPr lang="fr-FR" sz="1100"/>
        </a:p>
      </xdr:txBody>
    </xdr:sp>
    <xdr:clientData/>
  </xdr:twoCellAnchor>
  <xdr:twoCellAnchor>
    <xdr:from>
      <xdr:col>5</xdr:col>
      <xdr:colOff>1222737</xdr:colOff>
      <xdr:row>141</xdr:row>
      <xdr:rowOff>223702</xdr:rowOff>
    </xdr:from>
    <xdr:to>
      <xdr:col>5</xdr:col>
      <xdr:colOff>1568740</xdr:colOff>
      <xdr:row>143</xdr:row>
      <xdr:rowOff>172049</xdr:rowOff>
    </xdr:to>
    <xdr:sp macro="" textlink="$B$148">
      <xdr:nvSpPr>
        <xdr:cNvPr id="89" name="Dodécagone 88">
          <a:extLst>
            <a:ext uri="{FF2B5EF4-FFF2-40B4-BE49-F238E27FC236}">
              <a16:creationId xmlns:a16="http://schemas.microsoft.com/office/drawing/2014/main" id="{00000000-0008-0000-1000-000059000000}"/>
            </a:ext>
          </a:extLst>
        </xdr:cNvPr>
        <xdr:cNvSpPr/>
      </xdr:nvSpPr>
      <xdr:spPr>
        <a:xfrm>
          <a:off x="8690337" y="27817627"/>
          <a:ext cx="346003" cy="376972"/>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EDD410-24D1-4D24-BD73-E9FEFD4CAFCF}" type="TxLink">
            <a:rPr lang="en-US" sz="1100" b="0" i="0" u="none" strike="noStrike">
              <a:solidFill>
                <a:srgbClr val="000000"/>
              </a:solidFill>
              <a:latin typeface="Calibri"/>
              <a:cs typeface="Calibri"/>
            </a:rPr>
            <a:pPr algn="l"/>
            <a:t>2</a:t>
          </a:fld>
          <a:endParaRPr lang="fr-FR" sz="1100"/>
        </a:p>
      </xdr:txBody>
    </xdr:sp>
    <xdr:clientData/>
  </xdr:twoCellAnchor>
  <xdr:twoCellAnchor>
    <xdr:from>
      <xdr:col>6</xdr:col>
      <xdr:colOff>1353093</xdr:colOff>
      <xdr:row>141</xdr:row>
      <xdr:rowOff>227239</xdr:rowOff>
    </xdr:from>
    <xdr:to>
      <xdr:col>6</xdr:col>
      <xdr:colOff>1710526</xdr:colOff>
      <xdr:row>143</xdr:row>
      <xdr:rowOff>158441</xdr:rowOff>
    </xdr:to>
    <xdr:sp macro="" textlink="$B$149">
      <xdr:nvSpPr>
        <xdr:cNvPr id="90" name="Dodécagone 89">
          <a:extLst>
            <a:ext uri="{FF2B5EF4-FFF2-40B4-BE49-F238E27FC236}">
              <a16:creationId xmlns:a16="http://schemas.microsoft.com/office/drawing/2014/main" id="{00000000-0008-0000-1000-00005A000000}"/>
            </a:ext>
          </a:extLst>
        </xdr:cNvPr>
        <xdr:cNvSpPr/>
      </xdr:nvSpPr>
      <xdr:spPr>
        <a:xfrm>
          <a:off x="10859043" y="27821164"/>
          <a:ext cx="357433" cy="359827"/>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DC68B832-5CAF-4764-B628-E9B56C280A59}" type="TxLink">
            <a:rPr lang="en-US" sz="1100" b="0" i="0" u="none" strike="noStrike">
              <a:solidFill>
                <a:srgbClr val="000000"/>
              </a:solidFill>
              <a:latin typeface="Calibri"/>
              <a:cs typeface="Calibri"/>
            </a:rPr>
            <a:pPr algn="l"/>
            <a:t>3</a:t>
          </a:fld>
          <a:endParaRPr lang="fr-FR" sz="1100"/>
        </a:p>
      </xdr:txBody>
    </xdr:sp>
    <xdr:clientData/>
  </xdr:twoCellAnchor>
  <xdr:twoCellAnchor>
    <xdr:from>
      <xdr:col>5</xdr:col>
      <xdr:colOff>1974941</xdr:colOff>
      <xdr:row>146</xdr:row>
      <xdr:rowOff>85453</xdr:rowOff>
    </xdr:from>
    <xdr:to>
      <xdr:col>6</xdr:col>
      <xdr:colOff>236874</xdr:colOff>
      <xdr:row>148</xdr:row>
      <xdr:rowOff>80608</xdr:rowOff>
    </xdr:to>
    <xdr:sp macro="" textlink="$B$150">
      <xdr:nvSpPr>
        <xdr:cNvPr id="91" name="Dodécagone 90">
          <a:extLst>
            <a:ext uri="{FF2B5EF4-FFF2-40B4-BE49-F238E27FC236}">
              <a16:creationId xmlns:a16="http://schemas.microsoft.com/office/drawing/2014/main" id="{00000000-0008-0000-1000-00005B000000}"/>
            </a:ext>
          </a:extLst>
        </xdr:cNvPr>
        <xdr:cNvSpPr/>
      </xdr:nvSpPr>
      <xdr:spPr>
        <a:xfrm>
          <a:off x="9442541" y="28679503"/>
          <a:ext cx="300283" cy="37615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F71F8CBA-6D91-493F-BE4E-38E645F215EE}" type="TxLink">
            <a:rPr lang="en-US" sz="1100" b="0" i="0" u="none" strike="noStrike">
              <a:solidFill>
                <a:srgbClr val="000000"/>
              </a:solidFill>
              <a:latin typeface="Calibri"/>
              <a:cs typeface="Calibri"/>
            </a:rPr>
            <a:pPr algn="l"/>
            <a:t>4</a:t>
          </a:fld>
          <a:endParaRPr lang="fr-FR" sz="1100"/>
        </a:p>
      </xdr:txBody>
    </xdr:sp>
    <xdr:clientData/>
  </xdr:twoCellAnchor>
  <xdr:twoCellAnchor>
    <xdr:from>
      <xdr:col>4</xdr:col>
      <xdr:colOff>1609453</xdr:colOff>
      <xdr:row>165</xdr:row>
      <xdr:rowOff>17418</xdr:rowOff>
    </xdr:from>
    <xdr:to>
      <xdr:col>4</xdr:col>
      <xdr:colOff>1968791</xdr:colOff>
      <xdr:row>167</xdr:row>
      <xdr:rowOff>14478</xdr:rowOff>
    </xdr:to>
    <xdr:sp macro="" textlink="$B$151">
      <xdr:nvSpPr>
        <xdr:cNvPr id="92" name="Dodécagone 91">
          <a:extLst>
            <a:ext uri="{FF2B5EF4-FFF2-40B4-BE49-F238E27FC236}">
              <a16:creationId xmlns:a16="http://schemas.microsoft.com/office/drawing/2014/main" id="{00000000-0008-0000-1000-00005C000000}"/>
            </a:ext>
          </a:extLst>
        </xdr:cNvPr>
        <xdr:cNvSpPr/>
      </xdr:nvSpPr>
      <xdr:spPr>
        <a:xfrm>
          <a:off x="7010128" y="32230968"/>
          <a:ext cx="359338"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2DD565DD-B9F2-4583-B418-C9F05EECA2DD}" type="TxLink">
            <a:rPr lang="en-US" sz="1100" b="0" i="0" u="none" strike="noStrike">
              <a:solidFill>
                <a:srgbClr val="000000"/>
              </a:solidFill>
              <a:latin typeface="Calibri"/>
              <a:cs typeface="Calibri"/>
            </a:rPr>
            <a:pPr algn="l"/>
            <a:t>5</a:t>
          </a:fld>
          <a:endParaRPr lang="fr-FR" sz="1100"/>
        </a:p>
      </xdr:txBody>
    </xdr:sp>
    <xdr:clientData/>
  </xdr:twoCellAnchor>
  <xdr:twoCellAnchor>
    <xdr:from>
      <xdr:col>5</xdr:col>
      <xdr:colOff>962297</xdr:colOff>
      <xdr:row>162</xdr:row>
      <xdr:rowOff>19322</xdr:rowOff>
    </xdr:from>
    <xdr:to>
      <xdr:col>5</xdr:col>
      <xdr:colOff>1333065</xdr:colOff>
      <xdr:row>164</xdr:row>
      <xdr:rowOff>14478</xdr:rowOff>
    </xdr:to>
    <xdr:sp macro="" textlink="$B$152">
      <xdr:nvSpPr>
        <xdr:cNvPr id="93" name="Dodécagone 92">
          <a:extLst>
            <a:ext uri="{FF2B5EF4-FFF2-40B4-BE49-F238E27FC236}">
              <a16:creationId xmlns:a16="http://schemas.microsoft.com/office/drawing/2014/main" id="{00000000-0008-0000-1000-00005D000000}"/>
            </a:ext>
          </a:extLst>
        </xdr:cNvPr>
        <xdr:cNvSpPr/>
      </xdr:nvSpPr>
      <xdr:spPr>
        <a:xfrm>
          <a:off x="8429897" y="31661372"/>
          <a:ext cx="370768" cy="376156"/>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65678589-B140-4988-9854-2CC7BDC8D795}" type="TxLink">
            <a:rPr lang="en-US" sz="1100" b="0" i="0" u="none" strike="noStrike">
              <a:solidFill>
                <a:srgbClr val="000000"/>
              </a:solidFill>
              <a:latin typeface="Calibri"/>
              <a:cs typeface="Calibri"/>
            </a:rPr>
            <a:pPr algn="l"/>
            <a:t>6</a:t>
          </a:fld>
          <a:endParaRPr lang="fr-FR" sz="1100"/>
        </a:p>
      </xdr:txBody>
    </xdr:sp>
    <xdr:clientData/>
  </xdr:twoCellAnchor>
  <xdr:twoCellAnchor>
    <xdr:from>
      <xdr:col>6</xdr:col>
      <xdr:colOff>1084761</xdr:colOff>
      <xdr:row>161</xdr:row>
      <xdr:rowOff>165191</xdr:rowOff>
    </xdr:from>
    <xdr:to>
      <xdr:col>6</xdr:col>
      <xdr:colOff>1446004</xdr:colOff>
      <xdr:row>163</xdr:row>
      <xdr:rowOff>162251</xdr:rowOff>
    </xdr:to>
    <xdr:sp macro="" textlink="$B$153">
      <xdr:nvSpPr>
        <xdr:cNvPr id="94" name="Dodécagone 93">
          <a:extLst>
            <a:ext uri="{FF2B5EF4-FFF2-40B4-BE49-F238E27FC236}">
              <a16:creationId xmlns:a16="http://schemas.microsoft.com/office/drawing/2014/main" id="{00000000-0008-0000-1000-00005E000000}"/>
            </a:ext>
          </a:extLst>
        </xdr:cNvPr>
        <xdr:cNvSpPr/>
      </xdr:nvSpPr>
      <xdr:spPr>
        <a:xfrm>
          <a:off x="10590711" y="31616741"/>
          <a:ext cx="361243" cy="378060"/>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82F6A174-C2C2-4960-B033-C940A8F50FB0}" type="TxLink">
            <a:rPr lang="en-US" sz="1100" b="0" i="0" u="none" strike="noStrike">
              <a:solidFill>
                <a:srgbClr val="000000"/>
              </a:solidFill>
              <a:latin typeface="Calibri"/>
              <a:cs typeface="Calibri"/>
            </a:rPr>
            <a:pPr algn="l"/>
            <a:t>7</a:t>
          </a:fld>
          <a:endParaRPr lang="fr-FR" sz="1100"/>
        </a:p>
      </xdr:txBody>
    </xdr:sp>
    <xdr:clientData/>
  </xdr:twoCellAnchor>
  <xdr:twoCellAnchor>
    <xdr:from>
      <xdr:col>5</xdr:col>
      <xdr:colOff>1741714</xdr:colOff>
      <xdr:row>165</xdr:row>
      <xdr:rowOff>0</xdr:rowOff>
    </xdr:from>
    <xdr:to>
      <xdr:col>6</xdr:col>
      <xdr:colOff>11267</xdr:colOff>
      <xdr:row>166</xdr:row>
      <xdr:rowOff>168238</xdr:rowOff>
    </xdr:to>
    <xdr:sp macro="" textlink="$B$154">
      <xdr:nvSpPr>
        <xdr:cNvPr id="95" name="Dodécagone 94">
          <a:extLst>
            <a:ext uri="{FF2B5EF4-FFF2-40B4-BE49-F238E27FC236}">
              <a16:creationId xmlns:a16="http://schemas.microsoft.com/office/drawing/2014/main" id="{00000000-0008-0000-1000-00005F000000}"/>
            </a:ext>
          </a:extLst>
        </xdr:cNvPr>
        <xdr:cNvSpPr/>
      </xdr:nvSpPr>
      <xdr:spPr>
        <a:xfrm>
          <a:off x="9209314" y="32213550"/>
          <a:ext cx="307903" cy="358738"/>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200C600-10F7-4790-AC12-D192E1E4B42F}" type="TxLink">
            <a:rPr lang="en-US" sz="1100" b="0" i="0" u="none" strike="noStrike">
              <a:solidFill>
                <a:srgbClr val="000000"/>
              </a:solidFill>
              <a:latin typeface="Calibri"/>
              <a:cs typeface="Calibri"/>
            </a:rPr>
            <a:pPr algn="l"/>
            <a:t>8</a:t>
          </a:fld>
          <a:endParaRPr lang="fr-FR" sz="1100"/>
        </a:p>
      </xdr:txBody>
    </xdr:sp>
    <xdr:clientData/>
  </xdr:twoCellAnchor>
  <xdr:twoCellAnchor>
    <xdr:from>
      <xdr:col>5</xdr:col>
      <xdr:colOff>1523999</xdr:colOff>
      <xdr:row>154</xdr:row>
      <xdr:rowOff>95250</xdr:rowOff>
    </xdr:from>
    <xdr:to>
      <xdr:col>5</xdr:col>
      <xdr:colOff>1889052</xdr:colOff>
      <xdr:row>156</xdr:row>
      <xdr:rowOff>86595</xdr:rowOff>
    </xdr:to>
    <xdr:sp macro="" textlink="$B$155">
      <xdr:nvSpPr>
        <xdr:cNvPr id="96" name="Dodécagone 95">
          <a:extLst>
            <a:ext uri="{FF2B5EF4-FFF2-40B4-BE49-F238E27FC236}">
              <a16:creationId xmlns:a16="http://schemas.microsoft.com/office/drawing/2014/main" id="{00000000-0008-0000-1000-000060000000}"/>
            </a:ext>
          </a:extLst>
        </xdr:cNvPr>
        <xdr:cNvSpPr/>
      </xdr:nvSpPr>
      <xdr:spPr>
        <a:xfrm>
          <a:off x="8991599" y="30213300"/>
          <a:ext cx="365053" cy="372345"/>
        </a:xfrm>
        <a:prstGeom prst="dodecagon">
          <a:avLst/>
        </a:prstGeom>
      </xdr:spPr>
      <xdr:style>
        <a:lnRef idx="2">
          <a:schemeClr val="dk1"/>
        </a:lnRef>
        <a:fillRef idx="1">
          <a:schemeClr val="lt1"/>
        </a:fillRef>
        <a:effectRef idx="0">
          <a:schemeClr val="dk1"/>
        </a:effectRef>
        <a:fontRef idx="minor">
          <a:schemeClr val="dk1"/>
        </a:fontRef>
      </xdr:style>
      <xdr:txBody>
        <a:bodyPr vertOverflow="clip" horzOverflow="clip" lIns="0" tIns="0" rIns="0" bIns="0" rtlCol="0" anchor="ctr" anchorCtr="1"/>
        <a:lstStyle/>
        <a:p>
          <a:pPr algn="l"/>
          <a:fld id="{9668297E-8971-429A-B16D-C0C8ABCF2E5E}" type="TxLink">
            <a:rPr lang="en-US" sz="1100" b="0" i="0" u="none" strike="noStrike">
              <a:solidFill>
                <a:srgbClr val="000000"/>
              </a:solidFill>
              <a:latin typeface="Calibri"/>
              <a:cs typeface="Calibri"/>
            </a:rPr>
            <a:pPr algn="l"/>
            <a:t>9</a:t>
          </a:fld>
          <a:endParaRPr lang="fr-FR"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257175</xdr:colOff>
      <xdr:row>12</xdr:row>
      <xdr:rowOff>38099</xdr:rowOff>
    </xdr:from>
    <xdr:to>
      <xdr:col>12</xdr:col>
      <xdr:colOff>1038225</xdr:colOff>
      <xdr:row>34</xdr:row>
      <xdr:rowOff>180974</xdr:rowOff>
    </xdr:to>
    <xdr:grpSp>
      <xdr:nvGrpSpPr>
        <xdr:cNvPr id="62479" name="Groupe 62478">
          <a:extLst>
            <a:ext uri="{FF2B5EF4-FFF2-40B4-BE49-F238E27FC236}">
              <a16:creationId xmlns:a16="http://schemas.microsoft.com/office/drawing/2014/main" id="{00000000-0008-0000-1100-00000FF40000}"/>
            </a:ext>
          </a:extLst>
        </xdr:cNvPr>
        <xdr:cNvGrpSpPr/>
      </xdr:nvGrpSpPr>
      <xdr:grpSpPr>
        <a:xfrm>
          <a:off x="7058025" y="2857499"/>
          <a:ext cx="5762625" cy="4352925"/>
          <a:chOff x="7058025" y="2857499"/>
          <a:chExt cx="5762625" cy="4352925"/>
        </a:xfrm>
      </xdr:grpSpPr>
      <xdr:grpSp>
        <xdr:nvGrpSpPr>
          <xdr:cNvPr id="34" name="Groupe 33">
            <a:extLst>
              <a:ext uri="{FF2B5EF4-FFF2-40B4-BE49-F238E27FC236}">
                <a16:creationId xmlns:a16="http://schemas.microsoft.com/office/drawing/2014/main" id="{00000000-0008-0000-1100-000022000000}"/>
              </a:ext>
            </a:extLst>
          </xdr:cNvPr>
          <xdr:cNvGrpSpPr/>
        </xdr:nvGrpSpPr>
        <xdr:grpSpPr>
          <a:xfrm>
            <a:off x="7058025" y="2857499"/>
            <a:ext cx="4391025" cy="4352925"/>
            <a:chOff x="8605630" y="3404152"/>
            <a:chExt cx="4174435" cy="4232412"/>
          </a:xfrm>
        </xdr:grpSpPr>
        <xdr:sp macro="" textlink="">
          <xdr:nvSpPr>
            <xdr:cNvPr id="35" name="Organigramme : Connecteur 34">
              <a:extLst>
                <a:ext uri="{FF2B5EF4-FFF2-40B4-BE49-F238E27FC236}">
                  <a16:creationId xmlns:a16="http://schemas.microsoft.com/office/drawing/2014/main" id="{00000000-0008-0000-1100-00002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36" name="Groupe 35">
              <a:extLst>
                <a:ext uri="{FF2B5EF4-FFF2-40B4-BE49-F238E27FC236}">
                  <a16:creationId xmlns:a16="http://schemas.microsoft.com/office/drawing/2014/main" id="{00000000-0008-0000-1100-000024000000}"/>
                </a:ext>
              </a:extLst>
            </xdr:cNvPr>
            <xdr:cNvGrpSpPr/>
          </xdr:nvGrpSpPr>
          <xdr:grpSpPr>
            <a:xfrm>
              <a:off x="8605630" y="3404152"/>
              <a:ext cx="4174435" cy="4232412"/>
              <a:chOff x="8605630" y="3404152"/>
              <a:chExt cx="4174435" cy="4232412"/>
            </a:xfrm>
          </xdr:grpSpPr>
          <xdr:grpSp>
            <xdr:nvGrpSpPr>
              <xdr:cNvPr id="37" name="Groupe 36">
                <a:extLst>
                  <a:ext uri="{FF2B5EF4-FFF2-40B4-BE49-F238E27FC236}">
                    <a16:creationId xmlns:a16="http://schemas.microsoft.com/office/drawing/2014/main" id="{00000000-0008-0000-1100-000025000000}"/>
                  </a:ext>
                </a:extLst>
              </xdr:cNvPr>
              <xdr:cNvGrpSpPr/>
            </xdr:nvGrpSpPr>
            <xdr:grpSpPr>
              <a:xfrm>
                <a:off x="9316277" y="3404152"/>
                <a:ext cx="3463788" cy="3327953"/>
                <a:chOff x="9092647" y="3420717"/>
                <a:chExt cx="3463788" cy="3327953"/>
              </a:xfrm>
            </xdr:grpSpPr>
            <xdr:sp macro="" textlink="">
              <xdr:nvSpPr>
                <xdr:cNvPr id="41" name="Organigramme : Connecteur 40">
                  <a:extLst>
                    <a:ext uri="{FF2B5EF4-FFF2-40B4-BE49-F238E27FC236}">
                      <a16:creationId xmlns:a16="http://schemas.microsoft.com/office/drawing/2014/main" id="{00000000-0008-0000-1100-00002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42" name="Organigramme : Connecteur 41">
                  <a:extLst>
                    <a:ext uri="{FF2B5EF4-FFF2-40B4-BE49-F238E27FC236}">
                      <a16:creationId xmlns:a16="http://schemas.microsoft.com/office/drawing/2014/main" id="{00000000-0008-0000-1100-00002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43" name="Organigramme : Connecteur 42">
                  <a:extLst>
                    <a:ext uri="{FF2B5EF4-FFF2-40B4-BE49-F238E27FC236}">
                      <a16:creationId xmlns:a16="http://schemas.microsoft.com/office/drawing/2014/main" id="{00000000-0008-0000-1100-00002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44" name="Organigramme : Connecteur 43">
                  <a:extLst>
                    <a:ext uri="{FF2B5EF4-FFF2-40B4-BE49-F238E27FC236}">
                      <a16:creationId xmlns:a16="http://schemas.microsoft.com/office/drawing/2014/main" id="{00000000-0008-0000-1100-00002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45" name="Organigramme : Connecteur 44">
                  <a:extLst>
                    <a:ext uri="{FF2B5EF4-FFF2-40B4-BE49-F238E27FC236}">
                      <a16:creationId xmlns:a16="http://schemas.microsoft.com/office/drawing/2014/main" id="{00000000-0008-0000-1100-00002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46" name="Organigramme : Connecteur 45">
                  <a:extLst>
                    <a:ext uri="{FF2B5EF4-FFF2-40B4-BE49-F238E27FC236}">
                      <a16:creationId xmlns:a16="http://schemas.microsoft.com/office/drawing/2014/main" id="{00000000-0008-0000-1100-00002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47" name="Groupe 46">
                  <a:extLst>
                    <a:ext uri="{FF2B5EF4-FFF2-40B4-BE49-F238E27FC236}">
                      <a16:creationId xmlns:a16="http://schemas.microsoft.com/office/drawing/2014/main" id="{00000000-0008-0000-1100-00002F000000}"/>
                    </a:ext>
                  </a:extLst>
                </xdr:cNvPr>
                <xdr:cNvGrpSpPr/>
              </xdr:nvGrpSpPr>
              <xdr:grpSpPr>
                <a:xfrm>
                  <a:off x="9092647" y="3592995"/>
                  <a:ext cx="3463788" cy="3155675"/>
                  <a:chOff x="9092647" y="3592995"/>
                  <a:chExt cx="3463788" cy="3155675"/>
                </a:xfrm>
              </xdr:grpSpPr>
              <xdr:sp macro="" textlink="">
                <xdr:nvSpPr>
                  <xdr:cNvPr id="48" name="Organigramme : Connecteur 47">
                    <a:extLst>
                      <a:ext uri="{FF2B5EF4-FFF2-40B4-BE49-F238E27FC236}">
                        <a16:creationId xmlns:a16="http://schemas.microsoft.com/office/drawing/2014/main" id="{00000000-0008-0000-1100-00003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49" name="Organigramme : Connecteur 48">
                    <a:extLst>
                      <a:ext uri="{FF2B5EF4-FFF2-40B4-BE49-F238E27FC236}">
                        <a16:creationId xmlns:a16="http://schemas.microsoft.com/office/drawing/2014/main" id="{00000000-0008-0000-1100-00003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50" name="Organigramme : Connecteur 49">
                    <a:extLst>
                      <a:ext uri="{FF2B5EF4-FFF2-40B4-BE49-F238E27FC236}">
                        <a16:creationId xmlns:a16="http://schemas.microsoft.com/office/drawing/2014/main" id="{00000000-0008-0000-1100-00003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6263F362-8B22-4449-BA8F-D83F2A3EE872}" type="TxLink">
                      <a:rPr lang="en-US" sz="1100" b="0" i="0" u="none" strike="noStrike">
                        <a:solidFill>
                          <a:srgbClr val="000000"/>
                        </a:solidFill>
                        <a:latin typeface="Calibri"/>
                        <a:cs typeface="Calibri"/>
                      </a:rPr>
                      <a:pPr algn="ctr"/>
                      <a:t> </a:t>
                    </a:fld>
                    <a:endParaRPr lang="fr-FR" sz="1100"/>
                  </a:p>
                </xdr:txBody>
              </xdr:sp>
              <xdr:sp macro="" textlink="$B$26">
                <xdr:nvSpPr>
                  <xdr:cNvPr id="51" name="Organigramme : Connecteur 50">
                    <a:extLst>
                      <a:ext uri="{FF2B5EF4-FFF2-40B4-BE49-F238E27FC236}">
                        <a16:creationId xmlns:a16="http://schemas.microsoft.com/office/drawing/2014/main" id="{00000000-0008-0000-1100-00003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52EAD06-1B3B-4E37-BD84-03A77855B54C}" type="TxLink">
                      <a:rPr lang="en-US" sz="1100" b="0" i="0" u="none" strike="noStrike">
                        <a:solidFill>
                          <a:srgbClr val="000000"/>
                        </a:solidFill>
                        <a:latin typeface="Calibri"/>
                        <a:cs typeface="Calibri"/>
                      </a:rPr>
                      <a:pPr algn="ctr"/>
                      <a:t> </a:t>
                    </a:fld>
                    <a:endParaRPr lang="fr-FR" sz="1100"/>
                  </a:p>
                </xdr:txBody>
              </xdr:sp>
              <xdr:sp macro="" textlink="$B$28">
                <xdr:nvSpPr>
                  <xdr:cNvPr id="52" name="Organigramme : Connecteur 51">
                    <a:extLst>
                      <a:ext uri="{FF2B5EF4-FFF2-40B4-BE49-F238E27FC236}">
                        <a16:creationId xmlns:a16="http://schemas.microsoft.com/office/drawing/2014/main" id="{00000000-0008-0000-1100-00003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E51C5D6-0BD4-4619-A879-C9B6C56CE8A4}" type="TxLink">
                      <a:rPr lang="en-US" sz="1100" b="0" i="0" u="none" strike="noStrike">
                        <a:solidFill>
                          <a:srgbClr val="000000"/>
                        </a:solidFill>
                        <a:latin typeface="Calibri"/>
                        <a:cs typeface="Calibri"/>
                      </a:rPr>
                      <a:pPr algn="ctr"/>
                      <a:t> </a:t>
                    </a:fld>
                    <a:endParaRPr lang="fr-FR" sz="1100"/>
                  </a:p>
                </xdr:txBody>
              </xdr:sp>
              <xdr:sp macro="" textlink="$B$30">
                <xdr:nvSpPr>
                  <xdr:cNvPr id="53" name="Organigramme : Connecteur 52">
                    <a:extLst>
                      <a:ext uri="{FF2B5EF4-FFF2-40B4-BE49-F238E27FC236}">
                        <a16:creationId xmlns:a16="http://schemas.microsoft.com/office/drawing/2014/main" id="{00000000-0008-0000-1100-00003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B64E26-1CA7-4CB1-BC20-9D70C0B4CAD2}" type="TxLink">
                      <a:rPr lang="en-US" sz="1100" b="0" i="0" u="none" strike="noStrike">
                        <a:solidFill>
                          <a:srgbClr val="000000"/>
                        </a:solidFill>
                        <a:latin typeface="Calibri"/>
                        <a:cs typeface="Calibri"/>
                      </a:rPr>
                      <a:pPr algn="ctr"/>
                      <a:t> </a:t>
                    </a:fld>
                    <a:endParaRPr lang="fr-FR" sz="1100"/>
                  </a:p>
                </xdr:txBody>
              </xdr:sp>
              <xdr:sp macro="" textlink="$B$29">
                <xdr:nvSpPr>
                  <xdr:cNvPr id="54" name="Organigramme : Connecteur 53">
                    <a:extLst>
                      <a:ext uri="{FF2B5EF4-FFF2-40B4-BE49-F238E27FC236}">
                        <a16:creationId xmlns:a16="http://schemas.microsoft.com/office/drawing/2014/main" id="{00000000-0008-0000-1100-00003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8DED866-5CA0-47AA-AAFB-707E0AA2339B}" type="TxLink">
                      <a:rPr lang="en-US" sz="1100" b="0" i="0" u="none" strike="noStrike">
                        <a:solidFill>
                          <a:srgbClr val="000000"/>
                        </a:solidFill>
                        <a:latin typeface="Calibri"/>
                        <a:cs typeface="Calibri"/>
                      </a:rPr>
                      <a:pPr algn="ctr"/>
                      <a:t> </a:t>
                    </a:fld>
                    <a:endParaRPr lang="fr-FR" sz="1100"/>
                  </a:p>
                </xdr:txBody>
              </xdr:sp>
              <xdr:sp macro="" textlink="$C$30">
                <xdr:nvSpPr>
                  <xdr:cNvPr id="55" name="Organigramme : Connecteur 54">
                    <a:extLst>
                      <a:ext uri="{FF2B5EF4-FFF2-40B4-BE49-F238E27FC236}">
                        <a16:creationId xmlns:a16="http://schemas.microsoft.com/office/drawing/2014/main" id="{00000000-0008-0000-1100-00003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B8F252F-1701-4893-8DA9-82D3A655A034}" type="TxLink">
                      <a:rPr lang="en-US" sz="1100" b="0" i="0" u="none" strike="noStrike">
                        <a:solidFill>
                          <a:srgbClr val="000000"/>
                        </a:solidFill>
                        <a:latin typeface="Calibri"/>
                        <a:cs typeface="Calibri"/>
                      </a:rPr>
                      <a:pPr algn="ctr"/>
                      <a:t> </a:t>
                    </a:fld>
                    <a:endParaRPr lang="fr-FR" sz="1100"/>
                  </a:p>
                </xdr:txBody>
              </xdr:sp>
              <xdr:sp macro="" textlink="$C$25">
                <xdr:nvSpPr>
                  <xdr:cNvPr id="56" name="Organigramme : Connecteur 55">
                    <a:extLst>
                      <a:ext uri="{FF2B5EF4-FFF2-40B4-BE49-F238E27FC236}">
                        <a16:creationId xmlns:a16="http://schemas.microsoft.com/office/drawing/2014/main" id="{00000000-0008-0000-1100-00003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4334C02C-4725-4B9D-8C8F-9D95BA80E856}" type="TxLink">
                      <a:rPr lang="en-US" sz="1100" b="0" i="0" u="none" strike="noStrike">
                        <a:solidFill>
                          <a:srgbClr val="000000"/>
                        </a:solidFill>
                        <a:latin typeface="Calibri"/>
                        <a:cs typeface="Calibri"/>
                      </a:rPr>
                      <a:pPr algn="ctr"/>
                      <a:t> </a:t>
                    </a:fld>
                    <a:endParaRPr lang="fr-FR" sz="1100"/>
                  </a:p>
                </xdr:txBody>
              </xdr:sp>
              <xdr:sp macro="" textlink="$C$29">
                <xdr:nvSpPr>
                  <xdr:cNvPr id="57" name="Organigramme : Connecteur 56">
                    <a:extLst>
                      <a:ext uri="{FF2B5EF4-FFF2-40B4-BE49-F238E27FC236}">
                        <a16:creationId xmlns:a16="http://schemas.microsoft.com/office/drawing/2014/main" id="{00000000-0008-0000-1100-00003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DCEC34-70D3-4A77-944F-DBF1B1BD5358}" type="TxLink">
                      <a:rPr lang="en-US" sz="1100" b="0" i="0" u="none" strike="noStrike">
                        <a:solidFill>
                          <a:srgbClr val="000000"/>
                        </a:solidFill>
                        <a:latin typeface="Calibri"/>
                        <a:cs typeface="Calibri"/>
                      </a:rPr>
                      <a:pPr algn="ctr"/>
                      <a:t> </a:t>
                    </a:fld>
                    <a:endParaRPr lang="fr-FR" sz="1100"/>
                  </a:p>
                </xdr:txBody>
              </xdr:sp>
              <xdr:sp macro="" textlink="$C$28">
                <xdr:nvSpPr>
                  <xdr:cNvPr id="58" name="Organigramme : Connecteur 57">
                    <a:extLst>
                      <a:ext uri="{FF2B5EF4-FFF2-40B4-BE49-F238E27FC236}">
                        <a16:creationId xmlns:a16="http://schemas.microsoft.com/office/drawing/2014/main" id="{00000000-0008-0000-1100-00003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D63012E-7628-4D92-AEB7-4D388E68171E}" type="TxLink">
                      <a:rPr lang="en-US" sz="1100" b="0" i="0" u="none" strike="noStrike">
                        <a:solidFill>
                          <a:srgbClr val="000000"/>
                        </a:solidFill>
                        <a:latin typeface="Calibri"/>
                        <a:cs typeface="Calibri"/>
                      </a:rPr>
                      <a:pPr algn="ctr"/>
                      <a:t> </a:t>
                    </a:fld>
                    <a:endParaRPr lang="fr-FR" sz="1100"/>
                  </a:p>
                </xdr:txBody>
              </xdr:sp>
              <xdr:sp macro="" textlink="$C$26">
                <xdr:nvSpPr>
                  <xdr:cNvPr id="59" name="Organigramme : Connecteur 58">
                    <a:extLst>
                      <a:ext uri="{FF2B5EF4-FFF2-40B4-BE49-F238E27FC236}">
                        <a16:creationId xmlns:a16="http://schemas.microsoft.com/office/drawing/2014/main" id="{00000000-0008-0000-1100-00003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9A252C4-ACFF-472F-9BC2-51D99FAA1C97}" type="TxLink">
                      <a:rPr lang="en-US" sz="1100" b="0" i="0" u="none" strike="noStrike">
                        <a:solidFill>
                          <a:srgbClr val="000000"/>
                        </a:solidFill>
                        <a:latin typeface="Calibri"/>
                        <a:cs typeface="Calibri"/>
                      </a:rPr>
                      <a:pPr algn="ctr"/>
                      <a:t> </a:t>
                    </a:fld>
                    <a:endParaRPr lang="fr-FR" sz="1100"/>
                  </a:p>
                </xdr:txBody>
              </xdr:sp>
              <xdr:grpSp>
                <xdr:nvGrpSpPr>
                  <xdr:cNvPr id="60" name="Groupe 59">
                    <a:extLst>
                      <a:ext uri="{FF2B5EF4-FFF2-40B4-BE49-F238E27FC236}">
                        <a16:creationId xmlns:a16="http://schemas.microsoft.com/office/drawing/2014/main" id="{00000000-0008-0000-1100-00003C000000}"/>
                      </a:ext>
                    </a:extLst>
                  </xdr:cNvPr>
                  <xdr:cNvGrpSpPr/>
                </xdr:nvGrpSpPr>
                <xdr:grpSpPr>
                  <a:xfrm>
                    <a:off x="9230139" y="3592995"/>
                    <a:ext cx="3326296" cy="2792482"/>
                    <a:chOff x="9230139" y="3592995"/>
                    <a:chExt cx="3326296" cy="2792482"/>
                  </a:xfrm>
                </xdr:grpSpPr>
                <xdr:grpSp>
                  <xdr:nvGrpSpPr>
                    <xdr:cNvPr id="61" name="Groupe 60">
                      <a:extLst>
                        <a:ext uri="{FF2B5EF4-FFF2-40B4-BE49-F238E27FC236}">
                          <a16:creationId xmlns:a16="http://schemas.microsoft.com/office/drawing/2014/main" id="{00000000-0008-0000-1100-00003D000000}"/>
                        </a:ext>
                      </a:extLst>
                    </xdr:cNvPr>
                    <xdr:cNvGrpSpPr/>
                  </xdr:nvGrpSpPr>
                  <xdr:grpSpPr>
                    <a:xfrm>
                      <a:off x="9310480" y="3635237"/>
                      <a:ext cx="2949367" cy="2750240"/>
                      <a:chOff x="9320893" y="3638550"/>
                      <a:chExt cx="2950550" cy="2755446"/>
                    </a:xfrm>
                  </xdr:grpSpPr>
                  <xdr:sp macro="" textlink="">
                    <xdr:nvSpPr>
                      <xdr:cNvPr id="62471" name="Cube 62470">
                        <a:extLst>
                          <a:ext uri="{FF2B5EF4-FFF2-40B4-BE49-F238E27FC236}">
                            <a16:creationId xmlns:a16="http://schemas.microsoft.com/office/drawing/2014/main" id="{00000000-0008-0000-1100-000007F4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2472" name="Connecteur droit 62471">
                        <a:extLst>
                          <a:ext uri="{FF2B5EF4-FFF2-40B4-BE49-F238E27FC236}">
                            <a16:creationId xmlns:a16="http://schemas.microsoft.com/office/drawing/2014/main" id="{00000000-0008-0000-1100-000008F4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3" name="Connecteur droit 62472">
                        <a:extLst>
                          <a:ext uri="{FF2B5EF4-FFF2-40B4-BE49-F238E27FC236}">
                            <a16:creationId xmlns:a16="http://schemas.microsoft.com/office/drawing/2014/main" id="{00000000-0008-0000-1100-000009F4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62474" name="Connecteur droit 62473">
                        <a:extLst>
                          <a:ext uri="{FF2B5EF4-FFF2-40B4-BE49-F238E27FC236}">
                            <a16:creationId xmlns:a16="http://schemas.microsoft.com/office/drawing/2014/main" id="{00000000-0008-0000-1100-00000AF4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62" name="Organigramme : Connecteur 61">
                      <a:extLst>
                        <a:ext uri="{FF2B5EF4-FFF2-40B4-BE49-F238E27FC236}">
                          <a16:creationId xmlns:a16="http://schemas.microsoft.com/office/drawing/2014/main" id="{00000000-0008-0000-1100-00003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6C58362-AB02-4DE1-822E-5EEF7CDF5FA9}" type="TxLink">
                        <a:rPr lang="en-US" sz="1100" b="0" i="0" u="none" strike="noStrike">
                          <a:solidFill>
                            <a:srgbClr val="000000"/>
                          </a:solidFill>
                          <a:latin typeface="Calibri"/>
                          <a:cs typeface="Calibri"/>
                        </a:rPr>
                        <a:pPr algn="ctr"/>
                        <a:t> </a:t>
                      </a:fld>
                      <a:endParaRPr lang="fr-FR" sz="1100"/>
                    </a:p>
                  </xdr:txBody>
                </xdr:sp>
                <xdr:sp macro="" textlink="$C$23">
                  <xdr:nvSpPr>
                    <xdr:cNvPr id="63" name="Organigramme : Connecteur 62">
                      <a:extLst>
                        <a:ext uri="{FF2B5EF4-FFF2-40B4-BE49-F238E27FC236}">
                          <a16:creationId xmlns:a16="http://schemas.microsoft.com/office/drawing/2014/main" id="{00000000-0008-0000-1100-00003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A7A5C36-7E84-44E2-A814-F5300607AAB3}" type="TxLink">
                        <a:rPr lang="en-US" sz="1100" b="0" i="0" u="none" strike="noStrike">
                          <a:solidFill>
                            <a:srgbClr val="000000"/>
                          </a:solidFill>
                          <a:latin typeface="Calibri"/>
                          <a:cs typeface="Calibri"/>
                        </a:rPr>
                        <a:pPr algn="ctr"/>
                        <a:t> </a:t>
                      </a:fld>
                      <a:endParaRPr lang="fr-FR" sz="1100"/>
                    </a:p>
                  </xdr:txBody>
                </xdr:sp>
                <xdr:sp macro="" textlink="$B$24">
                  <xdr:nvSpPr>
                    <xdr:cNvPr id="62464" name="Organigramme : Connecteur 62463">
                      <a:extLst>
                        <a:ext uri="{FF2B5EF4-FFF2-40B4-BE49-F238E27FC236}">
                          <a16:creationId xmlns:a16="http://schemas.microsoft.com/office/drawing/2014/main" id="{00000000-0008-0000-1100-000000F4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810A220-2A71-4994-8FA0-072A21A509CC}" type="TxLink">
                        <a:rPr lang="en-US" sz="1100" b="0" i="0" u="none" strike="noStrike">
                          <a:solidFill>
                            <a:srgbClr val="000000"/>
                          </a:solidFill>
                          <a:latin typeface="Calibri"/>
                          <a:cs typeface="Calibri"/>
                        </a:rPr>
                        <a:pPr algn="ctr"/>
                        <a:t> </a:t>
                      </a:fld>
                      <a:endParaRPr lang="fr-FR" sz="1100"/>
                    </a:p>
                  </xdr:txBody>
                </xdr:sp>
                <xdr:sp macro="" textlink="$B$27">
                  <xdr:nvSpPr>
                    <xdr:cNvPr id="62466" name="Organigramme : Connecteur 62465">
                      <a:extLst>
                        <a:ext uri="{FF2B5EF4-FFF2-40B4-BE49-F238E27FC236}">
                          <a16:creationId xmlns:a16="http://schemas.microsoft.com/office/drawing/2014/main" id="{00000000-0008-0000-1100-000002F4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A397030-C00B-494F-9275-27918985CE7D}" type="TxLink">
                        <a:rPr lang="en-US" sz="1100" b="0" i="0" u="none" strike="noStrike">
                          <a:solidFill>
                            <a:srgbClr val="000000"/>
                          </a:solidFill>
                          <a:latin typeface="Calibri"/>
                          <a:cs typeface="Calibri"/>
                        </a:rPr>
                        <a:pPr algn="ctr"/>
                        <a:t> </a:t>
                      </a:fld>
                      <a:endParaRPr lang="fr-FR" sz="1100"/>
                    </a:p>
                  </xdr:txBody>
                </xdr:sp>
                <xdr:sp macro="" textlink="$B$31">
                  <xdr:nvSpPr>
                    <xdr:cNvPr id="62467" name="Organigramme : Connecteur 62466">
                      <a:extLst>
                        <a:ext uri="{FF2B5EF4-FFF2-40B4-BE49-F238E27FC236}">
                          <a16:creationId xmlns:a16="http://schemas.microsoft.com/office/drawing/2014/main" id="{00000000-0008-0000-1100-000003F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2AE9DA3-BF58-4E23-A4DD-6F98752576C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468" name="Organigramme : Connecteur 62467">
                      <a:extLst>
                        <a:ext uri="{FF2B5EF4-FFF2-40B4-BE49-F238E27FC236}">
                          <a16:creationId xmlns:a16="http://schemas.microsoft.com/office/drawing/2014/main" id="{00000000-0008-0000-1100-000004F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C13ADA8-CF11-4C45-A5B5-95759E465B67}" type="TxLink">
                        <a:rPr lang="en-US" sz="1100" b="0" i="0" u="none" strike="noStrike">
                          <a:solidFill>
                            <a:srgbClr val="000000"/>
                          </a:solidFill>
                          <a:latin typeface="Calibri"/>
                          <a:cs typeface="Calibri"/>
                        </a:rPr>
                        <a:pPr algn="ctr"/>
                        <a:t> </a:t>
                      </a:fld>
                      <a:endParaRPr lang="fr-FR" sz="1100"/>
                    </a:p>
                  </xdr:txBody>
                </xdr:sp>
                <xdr:sp macro="" textlink="$C$27">
                  <xdr:nvSpPr>
                    <xdr:cNvPr id="62469" name="Organigramme : Connecteur 62468">
                      <a:extLst>
                        <a:ext uri="{FF2B5EF4-FFF2-40B4-BE49-F238E27FC236}">
                          <a16:creationId xmlns:a16="http://schemas.microsoft.com/office/drawing/2014/main" id="{00000000-0008-0000-1100-000005F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3509816-55DA-4DA7-9B90-70D00609DE22}" type="TxLink">
                        <a:rPr lang="en-US" sz="1100" b="0" i="0" u="none" strike="noStrike">
                          <a:solidFill>
                            <a:srgbClr val="000000"/>
                          </a:solidFill>
                          <a:latin typeface="Calibri"/>
                          <a:cs typeface="Calibri"/>
                        </a:rPr>
                        <a:pPr algn="ctr"/>
                        <a:t> </a:t>
                      </a:fld>
                      <a:endParaRPr lang="fr-FR" sz="1100"/>
                    </a:p>
                  </xdr:txBody>
                </xdr:sp>
                <xdr:sp macro="" textlink="$C$24">
                  <xdr:nvSpPr>
                    <xdr:cNvPr id="62470" name="Organigramme : Connecteur 62469">
                      <a:extLst>
                        <a:ext uri="{FF2B5EF4-FFF2-40B4-BE49-F238E27FC236}">
                          <a16:creationId xmlns:a16="http://schemas.microsoft.com/office/drawing/2014/main" id="{00000000-0008-0000-1100-000006F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C014BAA-DE8D-47DC-A53B-4A8DC81EA4D0}"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38" name="Organigramme : Connecteur 37">
                <a:extLst>
                  <a:ext uri="{FF2B5EF4-FFF2-40B4-BE49-F238E27FC236}">
                    <a16:creationId xmlns:a16="http://schemas.microsoft.com/office/drawing/2014/main" id="{00000000-0008-0000-1100-00002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39" name="Organigramme : Connecteur 38">
                <a:extLst>
                  <a:ext uri="{FF2B5EF4-FFF2-40B4-BE49-F238E27FC236}">
                    <a16:creationId xmlns:a16="http://schemas.microsoft.com/office/drawing/2014/main" id="{00000000-0008-0000-1100-00002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40" name="ZoneTexte 39">
                <a:extLst>
                  <a:ext uri="{FF2B5EF4-FFF2-40B4-BE49-F238E27FC236}">
                    <a16:creationId xmlns:a16="http://schemas.microsoft.com/office/drawing/2014/main" id="{00000000-0008-0000-1100-00002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62476" name="Connecteur droit avec flèche 62475">
            <a:extLst>
              <a:ext uri="{FF2B5EF4-FFF2-40B4-BE49-F238E27FC236}">
                <a16:creationId xmlns:a16="http://schemas.microsoft.com/office/drawing/2014/main" id="{00000000-0008-0000-1100-00000CF4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2478" name="ZoneTexte 62477">
            <a:extLst>
              <a:ext uri="{FF2B5EF4-FFF2-40B4-BE49-F238E27FC236}">
                <a16:creationId xmlns:a16="http://schemas.microsoft.com/office/drawing/2014/main" id="{00000000-0008-0000-1100-00000EF4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11</xdr:col>
      <xdr:colOff>285750</xdr:colOff>
      <xdr:row>21</xdr:row>
      <xdr:rowOff>38100</xdr:rowOff>
    </xdr:from>
    <xdr:to>
      <xdr:col>11</xdr:col>
      <xdr:colOff>486134</xdr:colOff>
      <xdr:row>22</xdr:row>
      <xdr:rowOff>16963</xdr:rowOff>
    </xdr:to>
    <xdr:sp macro="" textlink="">
      <xdr:nvSpPr>
        <xdr:cNvPr id="62521" name="Organigramme : Connecteur 62520">
          <a:extLst>
            <a:ext uri="{FF2B5EF4-FFF2-40B4-BE49-F238E27FC236}">
              <a16:creationId xmlns:a16="http://schemas.microsoft.com/office/drawing/2014/main" id="{00000000-0008-0000-1100-000039F40000}"/>
            </a:ext>
          </a:extLst>
        </xdr:cNvPr>
        <xdr:cNvSpPr/>
      </xdr:nvSpPr>
      <xdr:spPr>
        <a:xfrm>
          <a:off x="10134600" y="4581525"/>
          <a:ext cx="200384" cy="178888"/>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10</xdr:col>
      <xdr:colOff>66675</xdr:colOff>
      <xdr:row>16</xdr:row>
      <xdr:rowOff>123825</xdr:rowOff>
    </xdr:from>
    <xdr:to>
      <xdr:col>10</xdr:col>
      <xdr:colOff>523875</xdr:colOff>
      <xdr:row>18</xdr:row>
      <xdr:rowOff>85725</xdr:rowOff>
    </xdr:to>
    <xdr:sp macro="" textlink="">
      <xdr:nvSpPr>
        <xdr:cNvPr id="62523" name="Étoile : 5 branches 62522">
          <a:extLst>
            <a:ext uri="{FF2B5EF4-FFF2-40B4-BE49-F238E27FC236}">
              <a16:creationId xmlns:a16="http://schemas.microsoft.com/office/drawing/2014/main" id="{00000000-0008-0000-1100-00003BF40000}"/>
            </a:ext>
          </a:extLst>
        </xdr:cNvPr>
        <xdr:cNvSpPr/>
      </xdr:nvSpPr>
      <xdr:spPr>
        <a:xfrm>
          <a:off x="9153525" y="3705225"/>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10</xdr:col>
      <xdr:colOff>66675</xdr:colOff>
      <xdr:row>18</xdr:row>
      <xdr:rowOff>104775</xdr:rowOff>
    </xdr:from>
    <xdr:to>
      <xdr:col>10</xdr:col>
      <xdr:colOff>267059</xdr:colOff>
      <xdr:row>19</xdr:row>
      <xdr:rowOff>93163</xdr:rowOff>
    </xdr:to>
    <xdr:sp macro="" textlink="$B$32">
      <xdr:nvSpPr>
        <xdr:cNvPr id="62524" name="Organigramme : Connecteur 62523">
          <a:extLst>
            <a:ext uri="{FF2B5EF4-FFF2-40B4-BE49-F238E27FC236}">
              <a16:creationId xmlns:a16="http://schemas.microsoft.com/office/drawing/2014/main" id="{00000000-0008-0000-1100-00003CF40000}"/>
            </a:ext>
          </a:extLst>
        </xdr:cNvPr>
        <xdr:cNvSpPr/>
      </xdr:nvSpPr>
      <xdr:spPr>
        <a:xfrm>
          <a:off x="9153525" y="4067175"/>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71D705A-40CE-432C-8EBD-9762BFF6F8D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10</xdr:col>
      <xdr:colOff>276225</xdr:colOff>
      <xdr:row>18</xdr:row>
      <xdr:rowOff>104775</xdr:rowOff>
    </xdr:from>
    <xdr:to>
      <xdr:col>10</xdr:col>
      <xdr:colOff>476609</xdr:colOff>
      <xdr:row>19</xdr:row>
      <xdr:rowOff>93163</xdr:rowOff>
    </xdr:to>
    <xdr:sp macro="" textlink="$C$32">
      <xdr:nvSpPr>
        <xdr:cNvPr id="62525" name="Organigramme : Connecteur 62524">
          <a:extLst>
            <a:ext uri="{FF2B5EF4-FFF2-40B4-BE49-F238E27FC236}">
              <a16:creationId xmlns:a16="http://schemas.microsoft.com/office/drawing/2014/main" id="{00000000-0008-0000-1100-00003DF40000}"/>
            </a:ext>
          </a:extLst>
        </xdr:cNvPr>
        <xdr:cNvSpPr/>
      </xdr:nvSpPr>
      <xdr:spPr>
        <a:xfrm>
          <a:off x="9363075" y="4067175"/>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3A72947-C8DF-48AD-B95B-4B6CC0A50BB8}" type="TxLink">
            <a:rPr lang="en-US" sz="1100" b="0" i="0" u="none" strike="noStrike">
              <a:solidFill>
                <a:srgbClr val="000000"/>
              </a:solidFill>
              <a:latin typeface="Calibri"/>
              <a:cs typeface="Calibri"/>
            </a:rPr>
            <a:pPr algn="ctr"/>
            <a:t> </a:t>
          </a:fld>
          <a:endParaRPr lang="fr-FR"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26</xdr:row>
      <xdr:rowOff>0</xdr:rowOff>
    </xdr:from>
    <xdr:to>
      <xdr:col>12</xdr:col>
      <xdr:colOff>104775</xdr:colOff>
      <xdr:row>46</xdr:row>
      <xdr:rowOff>57150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4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1</xdr:col>
      <xdr:colOff>1442356</xdr:colOff>
      <xdr:row>259</xdr:row>
      <xdr:rowOff>68035</xdr:rowOff>
    </xdr:from>
    <xdr:to>
      <xdr:col>8</xdr:col>
      <xdr:colOff>217713</xdr:colOff>
      <xdr:row>288</xdr:row>
      <xdr:rowOff>108856</xdr:rowOff>
    </xdr:to>
    <xdr:graphicFrame macro="">
      <xdr:nvGraphicFramePr>
        <xdr:cNvPr id="88" name="Graphique 87">
          <a:extLst>
            <a:ext uri="{FF2B5EF4-FFF2-40B4-BE49-F238E27FC236}">
              <a16:creationId xmlns:a16="http://schemas.microsoft.com/office/drawing/2014/main" id="{00000000-0008-0000-14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421822</xdr:colOff>
      <xdr:row>165</xdr:row>
      <xdr:rowOff>163286</xdr:rowOff>
    </xdr:from>
    <xdr:to>
      <xdr:col>7</xdr:col>
      <xdr:colOff>1000126</xdr:colOff>
      <xdr:row>188</xdr:row>
      <xdr:rowOff>134711</xdr:rowOff>
    </xdr:to>
    <xdr:grpSp>
      <xdr:nvGrpSpPr>
        <xdr:cNvPr id="12" name="Groupe 11">
          <a:extLst>
            <a:ext uri="{FF2B5EF4-FFF2-40B4-BE49-F238E27FC236}">
              <a16:creationId xmlns:a16="http://schemas.microsoft.com/office/drawing/2014/main" id="{00000000-0008-0000-1400-00000C000000}"/>
            </a:ext>
          </a:extLst>
        </xdr:cNvPr>
        <xdr:cNvGrpSpPr/>
      </xdr:nvGrpSpPr>
      <xdr:grpSpPr>
        <a:xfrm>
          <a:off x="7851322" y="36861750"/>
          <a:ext cx="5762625" cy="4352925"/>
          <a:chOff x="7058025" y="2857499"/>
          <a:chExt cx="5762625" cy="4352925"/>
        </a:xfrm>
      </xdr:grpSpPr>
      <xdr:grpSp>
        <xdr:nvGrpSpPr>
          <xdr:cNvPr id="13" name="Groupe 12">
            <a:extLst>
              <a:ext uri="{FF2B5EF4-FFF2-40B4-BE49-F238E27FC236}">
                <a16:creationId xmlns:a16="http://schemas.microsoft.com/office/drawing/2014/main" id="{00000000-0008-0000-1400-00000D000000}"/>
              </a:ext>
            </a:extLst>
          </xdr:cNvPr>
          <xdr:cNvGrpSpPr/>
        </xdr:nvGrpSpPr>
        <xdr:grpSpPr>
          <a:xfrm>
            <a:off x="7058025" y="2857499"/>
            <a:ext cx="4391025" cy="4352925"/>
            <a:chOff x="8605630" y="3404152"/>
            <a:chExt cx="4174435" cy="4232412"/>
          </a:xfrm>
        </xdr:grpSpPr>
        <xdr:sp macro="" textlink="">
          <xdr:nvSpPr>
            <xdr:cNvPr id="16" name="Organigramme : Connecteur 15">
              <a:extLst>
                <a:ext uri="{FF2B5EF4-FFF2-40B4-BE49-F238E27FC236}">
                  <a16:creationId xmlns:a16="http://schemas.microsoft.com/office/drawing/2014/main" id="{00000000-0008-0000-1400-000010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 name="Groupe 16">
              <a:extLst>
                <a:ext uri="{FF2B5EF4-FFF2-40B4-BE49-F238E27FC236}">
                  <a16:creationId xmlns:a16="http://schemas.microsoft.com/office/drawing/2014/main" id="{00000000-0008-0000-1400-000011000000}"/>
                </a:ext>
              </a:extLst>
            </xdr:cNvPr>
            <xdr:cNvGrpSpPr/>
          </xdr:nvGrpSpPr>
          <xdr:grpSpPr>
            <a:xfrm>
              <a:off x="8605630" y="3404152"/>
              <a:ext cx="4174435" cy="4232412"/>
              <a:chOff x="8605630" y="3404152"/>
              <a:chExt cx="4174435" cy="4232412"/>
            </a:xfrm>
          </xdr:grpSpPr>
          <xdr:grpSp>
            <xdr:nvGrpSpPr>
              <xdr:cNvPr id="18" name="Groupe 17">
                <a:extLst>
                  <a:ext uri="{FF2B5EF4-FFF2-40B4-BE49-F238E27FC236}">
                    <a16:creationId xmlns:a16="http://schemas.microsoft.com/office/drawing/2014/main" id="{00000000-0008-0000-1400-000012000000}"/>
                  </a:ext>
                </a:extLst>
              </xdr:cNvPr>
              <xdr:cNvGrpSpPr/>
            </xdr:nvGrpSpPr>
            <xdr:grpSpPr>
              <a:xfrm>
                <a:off x="9316277" y="3404152"/>
                <a:ext cx="3463788" cy="3327953"/>
                <a:chOff x="9092647" y="3420717"/>
                <a:chExt cx="3463788" cy="3327953"/>
              </a:xfrm>
            </xdr:grpSpPr>
            <xdr:sp macro="" textlink="">
              <xdr:nvSpPr>
                <xdr:cNvPr id="22" name="Organigramme : Connecteur 21">
                  <a:extLst>
                    <a:ext uri="{FF2B5EF4-FFF2-40B4-BE49-F238E27FC236}">
                      <a16:creationId xmlns:a16="http://schemas.microsoft.com/office/drawing/2014/main" id="{00000000-0008-0000-1400-000016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3" name="Organigramme : Connecteur 22">
                  <a:extLst>
                    <a:ext uri="{FF2B5EF4-FFF2-40B4-BE49-F238E27FC236}">
                      <a16:creationId xmlns:a16="http://schemas.microsoft.com/office/drawing/2014/main" id="{00000000-0008-0000-1400-000017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4" name="Organigramme : Connecteur 23">
                  <a:extLst>
                    <a:ext uri="{FF2B5EF4-FFF2-40B4-BE49-F238E27FC236}">
                      <a16:creationId xmlns:a16="http://schemas.microsoft.com/office/drawing/2014/main" id="{00000000-0008-0000-1400-000018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5" name="Organigramme : Connecteur 24">
                  <a:extLst>
                    <a:ext uri="{FF2B5EF4-FFF2-40B4-BE49-F238E27FC236}">
                      <a16:creationId xmlns:a16="http://schemas.microsoft.com/office/drawing/2014/main" id="{00000000-0008-0000-1400-000019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6" name="Organigramme : Connecteur 25">
                  <a:extLst>
                    <a:ext uri="{FF2B5EF4-FFF2-40B4-BE49-F238E27FC236}">
                      <a16:creationId xmlns:a16="http://schemas.microsoft.com/office/drawing/2014/main" id="{00000000-0008-0000-1400-00001A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7" name="Organigramme : Connecteur 26">
                  <a:extLst>
                    <a:ext uri="{FF2B5EF4-FFF2-40B4-BE49-F238E27FC236}">
                      <a16:creationId xmlns:a16="http://schemas.microsoft.com/office/drawing/2014/main" id="{00000000-0008-0000-1400-00001B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28" name="Groupe 27">
                  <a:extLst>
                    <a:ext uri="{FF2B5EF4-FFF2-40B4-BE49-F238E27FC236}">
                      <a16:creationId xmlns:a16="http://schemas.microsoft.com/office/drawing/2014/main" id="{00000000-0008-0000-1400-00001C000000}"/>
                    </a:ext>
                  </a:extLst>
                </xdr:cNvPr>
                <xdr:cNvGrpSpPr/>
              </xdr:nvGrpSpPr>
              <xdr:grpSpPr>
                <a:xfrm>
                  <a:off x="9092647" y="3592995"/>
                  <a:ext cx="3463788" cy="3155675"/>
                  <a:chOff x="9092647" y="3592995"/>
                  <a:chExt cx="3463788" cy="3155675"/>
                </a:xfrm>
              </xdr:grpSpPr>
              <xdr:sp macro="" textlink="">
                <xdr:nvSpPr>
                  <xdr:cNvPr id="29" name="Organigramme : Connecteur 28">
                    <a:extLst>
                      <a:ext uri="{FF2B5EF4-FFF2-40B4-BE49-F238E27FC236}">
                        <a16:creationId xmlns:a16="http://schemas.microsoft.com/office/drawing/2014/main" id="{00000000-0008-0000-1400-00001D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30" name="Organigramme : Connecteur 29">
                    <a:extLst>
                      <a:ext uri="{FF2B5EF4-FFF2-40B4-BE49-F238E27FC236}">
                        <a16:creationId xmlns:a16="http://schemas.microsoft.com/office/drawing/2014/main" id="{00000000-0008-0000-1400-00001E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Mesures_Ressuage_BCH!$B$25">
                <xdr:nvSpPr>
                  <xdr:cNvPr id="31" name="Organigramme : Connecteur 30">
                    <a:extLst>
                      <a:ext uri="{FF2B5EF4-FFF2-40B4-BE49-F238E27FC236}">
                        <a16:creationId xmlns:a16="http://schemas.microsoft.com/office/drawing/2014/main" id="{00000000-0008-0000-1400-00001F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8C22A5D-4F8C-47E5-9C85-AB9BC54E9D44}" type="TxLink">
                      <a:rPr lang="en-US" sz="1100" b="0" i="0" u="none" strike="noStrike">
                        <a:solidFill>
                          <a:srgbClr val="000000"/>
                        </a:solidFill>
                        <a:latin typeface="Calibri"/>
                        <a:cs typeface="Calibri"/>
                      </a:rPr>
                      <a:pPr algn="ctr"/>
                      <a:t> </a:t>
                    </a:fld>
                    <a:endParaRPr lang="fr-FR" sz="1100"/>
                  </a:p>
                </xdr:txBody>
              </xdr:sp>
              <xdr:sp macro="" textlink="Mesures_Ressuage_BCH!$B$26">
                <xdr:nvSpPr>
                  <xdr:cNvPr id="32" name="Organigramme : Connecteur 31">
                    <a:extLst>
                      <a:ext uri="{FF2B5EF4-FFF2-40B4-BE49-F238E27FC236}">
                        <a16:creationId xmlns:a16="http://schemas.microsoft.com/office/drawing/2014/main" id="{00000000-0008-0000-1400-000020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218A699-9F0E-4E17-B70B-7E9EAC0A8C50}" type="TxLink">
                      <a:rPr lang="en-US" sz="1100" b="0" i="0" u="none" strike="noStrike">
                        <a:solidFill>
                          <a:srgbClr val="000000"/>
                        </a:solidFill>
                        <a:latin typeface="Calibri"/>
                        <a:cs typeface="Calibri"/>
                      </a:rPr>
                      <a:pPr algn="ctr"/>
                      <a:t> </a:t>
                    </a:fld>
                    <a:endParaRPr lang="fr-FR" sz="1100"/>
                  </a:p>
                </xdr:txBody>
              </xdr:sp>
              <xdr:sp macro="" textlink="Mesures_Ressuage_BCH!$B$28">
                <xdr:nvSpPr>
                  <xdr:cNvPr id="33" name="Organigramme : Connecteur 32">
                    <a:extLst>
                      <a:ext uri="{FF2B5EF4-FFF2-40B4-BE49-F238E27FC236}">
                        <a16:creationId xmlns:a16="http://schemas.microsoft.com/office/drawing/2014/main" id="{00000000-0008-0000-1400-000021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259792E-6714-4C58-900E-1D14A9448FEB}" type="TxLink">
                      <a:rPr lang="en-US" sz="1100" b="0" i="0" u="none" strike="noStrike">
                        <a:solidFill>
                          <a:srgbClr val="000000"/>
                        </a:solidFill>
                        <a:latin typeface="Calibri"/>
                        <a:cs typeface="Calibri"/>
                      </a:rPr>
                      <a:pPr algn="ctr"/>
                      <a:t> </a:t>
                    </a:fld>
                    <a:endParaRPr lang="fr-FR" sz="1100"/>
                  </a:p>
                </xdr:txBody>
              </xdr:sp>
              <xdr:sp macro="" textlink="Mesures_Ressuage_BCH!$B$30">
                <xdr:nvSpPr>
                  <xdr:cNvPr id="34" name="Organigramme : Connecteur 33">
                    <a:extLst>
                      <a:ext uri="{FF2B5EF4-FFF2-40B4-BE49-F238E27FC236}">
                        <a16:creationId xmlns:a16="http://schemas.microsoft.com/office/drawing/2014/main" id="{00000000-0008-0000-1400-000022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60A6DA5-AFA0-40AD-821A-D3CB56AA945F}" type="TxLink">
                      <a:rPr lang="en-US" sz="1100" b="0" i="0" u="none" strike="noStrike">
                        <a:solidFill>
                          <a:srgbClr val="000000"/>
                        </a:solidFill>
                        <a:latin typeface="Calibri"/>
                        <a:cs typeface="Calibri"/>
                      </a:rPr>
                      <a:pPr algn="ctr"/>
                      <a:t> </a:t>
                    </a:fld>
                    <a:endParaRPr lang="fr-FR" sz="1100"/>
                  </a:p>
                </xdr:txBody>
              </xdr:sp>
              <xdr:sp macro="" textlink="Mesures_Ressuage_BCH!$B$29">
                <xdr:nvSpPr>
                  <xdr:cNvPr id="35" name="Organigramme : Connecteur 34">
                    <a:extLst>
                      <a:ext uri="{FF2B5EF4-FFF2-40B4-BE49-F238E27FC236}">
                        <a16:creationId xmlns:a16="http://schemas.microsoft.com/office/drawing/2014/main" id="{00000000-0008-0000-1400-000023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02E0C4A-40B1-4BA0-A2F0-6A45C0C346FB}" type="TxLink">
                      <a:rPr lang="en-US" sz="1100" b="0" i="0" u="none" strike="noStrike">
                        <a:solidFill>
                          <a:srgbClr val="000000"/>
                        </a:solidFill>
                        <a:latin typeface="Calibri"/>
                        <a:cs typeface="Calibri"/>
                      </a:rPr>
                      <a:pPr algn="ctr"/>
                      <a:t> </a:t>
                    </a:fld>
                    <a:endParaRPr lang="fr-FR" sz="1100"/>
                  </a:p>
                </xdr:txBody>
              </xdr:sp>
              <xdr:sp macro="" textlink="Mesures_Ressuage_BCH!$C$30">
                <xdr:nvSpPr>
                  <xdr:cNvPr id="36" name="Organigramme : Connecteur 35">
                    <a:extLst>
                      <a:ext uri="{FF2B5EF4-FFF2-40B4-BE49-F238E27FC236}">
                        <a16:creationId xmlns:a16="http://schemas.microsoft.com/office/drawing/2014/main" id="{00000000-0008-0000-1400-000024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9CD6431-C007-4227-B35C-BBFF1B7F4FBE}" type="TxLink">
                      <a:rPr lang="en-US" sz="1100" b="0" i="0" u="none" strike="noStrike">
                        <a:solidFill>
                          <a:srgbClr val="000000"/>
                        </a:solidFill>
                        <a:latin typeface="Calibri"/>
                        <a:cs typeface="Calibri"/>
                      </a:rPr>
                      <a:pPr algn="ctr"/>
                      <a:t> </a:t>
                    </a:fld>
                    <a:endParaRPr lang="fr-FR" sz="1100"/>
                  </a:p>
                </xdr:txBody>
              </xdr:sp>
              <xdr:sp macro="" textlink="Mesures_Ressuage_BCH!$C$25">
                <xdr:nvSpPr>
                  <xdr:cNvPr id="37" name="Organigramme : Connecteur 36">
                    <a:extLst>
                      <a:ext uri="{FF2B5EF4-FFF2-40B4-BE49-F238E27FC236}">
                        <a16:creationId xmlns:a16="http://schemas.microsoft.com/office/drawing/2014/main" id="{00000000-0008-0000-1400-000025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E7F77DD-7ACC-41E5-9841-C70E0085CF35}" type="TxLink">
                      <a:rPr lang="en-US" sz="1100" b="0" i="0" u="none" strike="noStrike">
                        <a:solidFill>
                          <a:srgbClr val="000000"/>
                        </a:solidFill>
                        <a:latin typeface="Calibri"/>
                        <a:cs typeface="Calibri"/>
                      </a:rPr>
                      <a:pPr algn="ctr"/>
                      <a:t> </a:t>
                    </a:fld>
                    <a:endParaRPr lang="fr-FR" sz="1100"/>
                  </a:p>
                </xdr:txBody>
              </xdr:sp>
              <xdr:sp macro="" textlink="Mesures_Ressuage_BCH!$C$29">
                <xdr:nvSpPr>
                  <xdr:cNvPr id="38" name="Organigramme : Connecteur 37">
                    <a:extLst>
                      <a:ext uri="{FF2B5EF4-FFF2-40B4-BE49-F238E27FC236}">
                        <a16:creationId xmlns:a16="http://schemas.microsoft.com/office/drawing/2014/main" id="{00000000-0008-0000-1400-000026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58634FA-368C-4663-9F82-90741F4BF4D3}" type="TxLink">
                      <a:rPr lang="en-US" sz="1100" b="0" i="0" u="none" strike="noStrike">
                        <a:solidFill>
                          <a:srgbClr val="000000"/>
                        </a:solidFill>
                        <a:latin typeface="Calibri"/>
                        <a:cs typeface="Calibri"/>
                      </a:rPr>
                      <a:pPr algn="ctr"/>
                      <a:t> </a:t>
                    </a:fld>
                    <a:endParaRPr lang="fr-FR" sz="1100"/>
                  </a:p>
                </xdr:txBody>
              </xdr:sp>
              <xdr:sp macro="" textlink="Mesures_Ressuage_BCH!$C$28">
                <xdr:nvSpPr>
                  <xdr:cNvPr id="39" name="Organigramme : Connecteur 38">
                    <a:extLst>
                      <a:ext uri="{FF2B5EF4-FFF2-40B4-BE49-F238E27FC236}">
                        <a16:creationId xmlns:a16="http://schemas.microsoft.com/office/drawing/2014/main" id="{00000000-0008-0000-1400-000027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E748FCE4-BC9C-48D5-BB9F-6CEC3C9926BA}" type="TxLink">
                      <a:rPr lang="en-US" sz="1100" b="0" i="0" u="none" strike="noStrike">
                        <a:solidFill>
                          <a:srgbClr val="000000"/>
                        </a:solidFill>
                        <a:latin typeface="Calibri"/>
                        <a:cs typeface="Calibri"/>
                      </a:rPr>
                      <a:pPr algn="ctr"/>
                      <a:t> </a:t>
                    </a:fld>
                    <a:endParaRPr lang="fr-FR" sz="1100"/>
                  </a:p>
                </xdr:txBody>
              </xdr:sp>
              <xdr:sp macro="" textlink="Mesures_Ressuage_BCH!$C$26">
                <xdr:nvSpPr>
                  <xdr:cNvPr id="40" name="Organigramme : Connecteur 39">
                    <a:extLst>
                      <a:ext uri="{FF2B5EF4-FFF2-40B4-BE49-F238E27FC236}">
                        <a16:creationId xmlns:a16="http://schemas.microsoft.com/office/drawing/2014/main" id="{00000000-0008-0000-1400-000028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D39B8FCA-2D89-40E7-ADB3-04034FABB2F9}" type="TxLink">
                      <a:rPr lang="en-US" sz="1100" b="0" i="0" u="none" strike="noStrike">
                        <a:solidFill>
                          <a:srgbClr val="000000"/>
                        </a:solidFill>
                        <a:latin typeface="Calibri"/>
                        <a:cs typeface="Calibri"/>
                      </a:rPr>
                      <a:pPr algn="ctr"/>
                      <a:t> </a:t>
                    </a:fld>
                    <a:endParaRPr lang="fr-FR" sz="1100"/>
                  </a:p>
                </xdr:txBody>
              </xdr:sp>
              <xdr:grpSp>
                <xdr:nvGrpSpPr>
                  <xdr:cNvPr id="41" name="Groupe 40">
                    <a:extLst>
                      <a:ext uri="{FF2B5EF4-FFF2-40B4-BE49-F238E27FC236}">
                        <a16:creationId xmlns:a16="http://schemas.microsoft.com/office/drawing/2014/main" id="{00000000-0008-0000-1400-000029000000}"/>
                      </a:ext>
                    </a:extLst>
                  </xdr:cNvPr>
                  <xdr:cNvGrpSpPr/>
                </xdr:nvGrpSpPr>
                <xdr:grpSpPr>
                  <a:xfrm>
                    <a:off x="9230139" y="3592995"/>
                    <a:ext cx="3326296" cy="2792482"/>
                    <a:chOff x="9230139" y="3592995"/>
                    <a:chExt cx="3326296" cy="2792482"/>
                  </a:xfrm>
                </xdr:grpSpPr>
                <xdr:grpSp>
                  <xdr:nvGrpSpPr>
                    <xdr:cNvPr id="42" name="Groupe 41">
                      <a:extLst>
                        <a:ext uri="{FF2B5EF4-FFF2-40B4-BE49-F238E27FC236}">
                          <a16:creationId xmlns:a16="http://schemas.microsoft.com/office/drawing/2014/main" id="{00000000-0008-0000-1400-00002A000000}"/>
                        </a:ext>
                      </a:extLst>
                    </xdr:cNvPr>
                    <xdr:cNvGrpSpPr/>
                  </xdr:nvGrpSpPr>
                  <xdr:grpSpPr>
                    <a:xfrm>
                      <a:off x="9310480" y="3635237"/>
                      <a:ext cx="2949367" cy="2750240"/>
                      <a:chOff x="9320893" y="3638550"/>
                      <a:chExt cx="2950550" cy="2755446"/>
                    </a:xfrm>
                  </xdr:grpSpPr>
                  <xdr:sp macro="" textlink="">
                    <xdr:nvSpPr>
                      <xdr:cNvPr id="95" name="Cube 94">
                        <a:extLst>
                          <a:ext uri="{FF2B5EF4-FFF2-40B4-BE49-F238E27FC236}">
                            <a16:creationId xmlns:a16="http://schemas.microsoft.com/office/drawing/2014/main" id="{00000000-0008-0000-1400-00005F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96" name="Connecteur droit 95">
                        <a:extLst>
                          <a:ext uri="{FF2B5EF4-FFF2-40B4-BE49-F238E27FC236}">
                            <a16:creationId xmlns:a16="http://schemas.microsoft.com/office/drawing/2014/main" id="{00000000-0008-0000-1400-000060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a:extLst>
                          <a:ext uri="{FF2B5EF4-FFF2-40B4-BE49-F238E27FC236}">
                            <a16:creationId xmlns:a16="http://schemas.microsoft.com/office/drawing/2014/main" id="{00000000-0008-0000-1400-000061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8" name="Connecteur droit 97">
                        <a:extLst>
                          <a:ext uri="{FF2B5EF4-FFF2-40B4-BE49-F238E27FC236}">
                            <a16:creationId xmlns:a16="http://schemas.microsoft.com/office/drawing/2014/main" id="{00000000-0008-0000-1400-000062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Mesures_Ressuage_BCH!$B$23">
                  <xdr:nvSpPr>
                    <xdr:cNvPr id="43" name="Organigramme : Connecteur 42">
                      <a:extLst>
                        <a:ext uri="{FF2B5EF4-FFF2-40B4-BE49-F238E27FC236}">
                          <a16:creationId xmlns:a16="http://schemas.microsoft.com/office/drawing/2014/main" id="{00000000-0008-0000-1400-00002B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AC9174C-A292-4DC5-B514-1B25F014A748}" type="TxLink">
                        <a:rPr lang="en-US" sz="1100" b="0" i="0" u="none" strike="noStrike">
                          <a:solidFill>
                            <a:srgbClr val="000000"/>
                          </a:solidFill>
                          <a:latin typeface="Calibri"/>
                          <a:cs typeface="Calibri"/>
                        </a:rPr>
                        <a:pPr algn="ctr"/>
                        <a:t> </a:t>
                      </a:fld>
                      <a:endParaRPr lang="fr-FR" sz="1100"/>
                    </a:p>
                  </xdr:txBody>
                </xdr:sp>
                <xdr:sp macro="" textlink="Mesures_Ressuage_BCH!$C$23">
                  <xdr:nvSpPr>
                    <xdr:cNvPr id="44" name="Organigramme : Connecteur 43">
                      <a:extLst>
                        <a:ext uri="{FF2B5EF4-FFF2-40B4-BE49-F238E27FC236}">
                          <a16:creationId xmlns:a16="http://schemas.microsoft.com/office/drawing/2014/main" id="{00000000-0008-0000-1400-00002C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2193BEC-4F31-4135-A484-7F98662BE9B7}" type="TxLink">
                        <a:rPr lang="en-US" sz="1100" b="0" i="0" u="none" strike="noStrike">
                          <a:solidFill>
                            <a:srgbClr val="000000"/>
                          </a:solidFill>
                          <a:latin typeface="Calibri"/>
                          <a:cs typeface="Calibri"/>
                        </a:rPr>
                        <a:pPr algn="ctr"/>
                        <a:t> </a:t>
                      </a:fld>
                      <a:endParaRPr lang="fr-FR" sz="1100"/>
                    </a:p>
                  </xdr:txBody>
                </xdr:sp>
                <xdr:sp macro="" textlink="Mesures_Ressuage_BCH!$B$24">
                  <xdr:nvSpPr>
                    <xdr:cNvPr id="89" name="Organigramme : Connecteur 88">
                      <a:extLst>
                        <a:ext uri="{FF2B5EF4-FFF2-40B4-BE49-F238E27FC236}">
                          <a16:creationId xmlns:a16="http://schemas.microsoft.com/office/drawing/2014/main" id="{00000000-0008-0000-1400-000059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9BCBD07-7AB3-479F-9E9E-33297235F7CE}" type="TxLink">
                        <a:rPr lang="en-US" sz="1100" b="0" i="0" u="none" strike="noStrike">
                          <a:solidFill>
                            <a:srgbClr val="000000"/>
                          </a:solidFill>
                          <a:latin typeface="Calibri"/>
                          <a:cs typeface="Calibri"/>
                        </a:rPr>
                        <a:pPr algn="ctr"/>
                        <a:t> </a:t>
                      </a:fld>
                      <a:endParaRPr lang="fr-FR" sz="1100"/>
                    </a:p>
                  </xdr:txBody>
                </xdr:sp>
                <xdr:sp macro="" textlink="Mesures_Ressuage_BCH!$B$27">
                  <xdr:nvSpPr>
                    <xdr:cNvPr id="90" name="Organigramme : Connecteur 89">
                      <a:extLst>
                        <a:ext uri="{FF2B5EF4-FFF2-40B4-BE49-F238E27FC236}">
                          <a16:creationId xmlns:a16="http://schemas.microsoft.com/office/drawing/2014/main" id="{00000000-0008-0000-1400-00005A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5733D64-CBF8-463D-B998-9C5328C9DD4C}" type="TxLink">
                        <a:rPr lang="en-US" sz="1100" b="0" i="0" u="none" strike="noStrike">
                          <a:solidFill>
                            <a:srgbClr val="000000"/>
                          </a:solidFill>
                          <a:latin typeface="Calibri"/>
                          <a:cs typeface="Calibri"/>
                        </a:rPr>
                        <a:pPr algn="ctr"/>
                        <a:t> </a:t>
                      </a:fld>
                      <a:endParaRPr lang="fr-FR" sz="1100"/>
                    </a:p>
                  </xdr:txBody>
                </xdr:sp>
                <xdr:sp macro="" textlink="Mesures_Ressuage_BCH!$B$31">
                  <xdr:nvSpPr>
                    <xdr:cNvPr id="91" name="Organigramme : Connecteur 90">
                      <a:extLst>
                        <a:ext uri="{FF2B5EF4-FFF2-40B4-BE49-F238E27FC236}">
                          <a16:creationId xmlns:a16="http://schemas.microsoft.com/office/drawing/2014/main" id="{00000000-0008-0000-1400-00005B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D98B4E8-C0FC-4EDE-BEDD-72AF5136331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Mesures_Ressuage_BCH!$C$31">
                  <xdr:nvSpPr>
                    <xdr:cNvPr id="92" name="Organigramme : Connecteur 91">
                      <a:extLst>
                        <a:ext uri="{FF2B5EF4-FFF2-40B4-BE49-F238E27FC236}">
                          <a16:creationId xmlns:a16="http://schemas.microsoft.com/office/drawing/2014/main" id="{00000000-0008-0000-1400-00005C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53027A3-B140-423D-BFDF-B7FC00EEFE8E}" type="TxLink">
                        <a:rPr lang="en-US" sz="1100" b="0" i="0" u="none" strike="noStrike">
                          <a:solidFill>
                            <a:srgbClr val="000000"/>
                          </a:solidFill>
                          <a:latin typeface="Calibri"/>
                          <a:cs typeface="Calibri"/>
                        </a:rPr>
                        <a:pPr algn="ctr"/>
                        <a:t> </a:t>
                      </a:fld>
                      <a:endParaRPr lang="fr-FR" sz="1100"/>
                    </a:p>
                  </xdr:txBody>
                </xdr:sp>
                <xdr:sp macro="" textlink="Mesures_Ressuage_BCH!$C$27">
                  <xdr:nvSpPr>
                    <xdr:cNvPr id="93" name="Organigramme : Connecteur 92">
                      <a:extLst>
                        <a:ext uri="{FF2B5EF4-FFF2-40B4-BE49-F238E27FC236}">
                          <a16:creationId xmlns:a16="http://schemas.microsoft.com/office/drawing/2014/main" id="{00000000-0008-0000-1400-00005D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1AE9456-585D-4086-A9BE-1485E376631F}" type="TxLink">
                        <a:rPr lang="en-US" sz="1100" b="0" i="0" u="none" strike="noStrike">
                          <a:solidFill>
                            <a:srgbClr val="000000"/>
                          </a:solidFill>
                          <a:latin typeface="Calibri"/>
                          <a:cs typeface="Calibri"/>
                        </a:rPr>
                        <a:pPr algn="ctr"/>
                        <a:t> </a:t>
                      </a:fld>
                      <a:endParaRPr lang="fr-FR" sz="1100"/>
                    </a:p>
                  </xdr:txBody>
                </xdr:sp>
                <xdr:sp macro="" textlink="Mesures_Ressuage_BCH!$C$24">
                  <xdr:nvSpPr>
                    <xdr:cNvPr id="94" name="Organigramme : Connecteur 93">
                      <a:extLst>
                        <a:ext uri="{FF2B5EF4-FFF2-40B4-BE49-F238E27FC236}">
                          <a16:creationId xmlns:a16="http://schemas.microsoft.com/office/drawing/2014/main" id="{00000000-0008-0000-1400-00005E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A4671EA-B587-4E2C-927F-8B7FAEE8480F}"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9" name="Organigramme : Connecteur 18">
                <a:extLst>
                  <a:ext uri="{FF2B5EF4-FFF2-40B4-BE49-F238E27FC236}">
                    <a16:creationId xmlns:a16="http://schemas.microsoft.com/office/drawing/2014/main" id="{00000000-0008-0000-1400-000013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0" name="Organigramme : Connecteur 19">
                <a:extLst>
                  <a:ext uri="{FF2B5EF4-FFF2-40B4-BE49-F238E27FC236}">
                    <a16:creationId xmlns:a16="http://schemas.microsoft.com/office/drawing/2014/main" id="{00000000-0008-0000-1400-000014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1" name="ZoneTexte 20">
                <a:extLst>
                  <a:ext uri="{FF2B5EF4-FFF2-40B4-BE49-F238E27FC236}">
                    <a16:creationId xmlns:a16="http://schemas.microsoft.com/office/drawing/2014/main" id="{00000000-0008-0000-1400-000015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xnSp macro="">
        <xdr:nvCxnSpPr>
          <xdr:cNvPr id="14" name="Connecteur droit avec flèche 13">
            <a:extLst>
              <a:ext uri="{FF2B5EF4-FFF2-40B4-BE49-F238E27FC236}">
                <a16:creationId xmlns:a16="http://schemas.microsoft.com/office/drawing/2014/main" id="{00000000-0008-0000-1400-00000E000000}"/>
              </a:ext>
            </a:extLst>
          </xdr:cNvPr>
          <xdr:cNvCxnSpPr/>
        </xdr:nvCxnSpPr>
        <xdr:spPr>
          <a:xfrm flipH="1">
            <a:off x="10401300" y="4286250"/>
            <a:ext cx="1533525" cy="276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ZoneTexte 14">
            <a:extLst>
              <a:ext uri="{FF2B5EF4-FFF2-40B4-BE49-F238E27FC236}">
                <a16:creationId xmlns:a16="http://schemas.microsoft.com/office/drawing/2014/main" id="{00000000-0008-0000-1400-00000F000000}"/>
              </a:ext>
            </a:extLst>
          </xdr:cNvPr>
          <xdr:cNvSpPr txBox="1"/>
        </xdr:nvSpPr>
        <xdr:spPr>
          <a:xfrm>
            <a:off x="11953875" y="4114800"/>
            <a:ext cx="866775"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Entrée</a:t>
            </a:r>
          </a:p>
        </xdr:txBody>
      </xdr:sp>
    </xdr:grpSp>
    <xdr:clientData/>
  </xdr:twoCellAnchor>
  <xdr:twoCellAnchor>
    <xdr:from>
      <xdr:col>5</xdr:col>
      <xdr:colOff>1115786</xdr:colOff>
      <xdr:row>170</xdr:row>
      <xdr:rowOff>68036</xdr:rowOff>
    </xdr:from>
    <xdr:to>
      <xdr:col>5</xdr:col>
      <xdr:colOff>1572986</xdr:colOff>
      <xdr:row>172</xdr:row>
      <xdr:rowOff>29936</xdr:rowOff>
    </xdr:to>
    <xdr:sp macro="" textlink="">
      <xdr:nvSpPr>
        <xdr:cNvPr id="45" name="Étoile : 5 branches 44">
          <a:extLst>
            <a:ext uri="{FF2B5EF4-FFF2-40B4-BE49-F238E27FC236}">
              <a16:creationId xmlns:a16="http://schemas.microsoft.com/office/drawing/2014/main" id="{00000000-0008-0000-1400-00002D000000}"/>
            </a:ext>
          </a:extLst>
        </xdr:cNvPr>
        <xdr:cNvSpPr/>
      </xdr:nvSpPr>
      <xdr:spPr>
        <a:xfrm>
          <a:off x="9892393" y="37719000"/>
          <a:ext cx="457200" cy="342900"/>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10</a:t>
          </a:r>
        </a:p>
      </xdr:txBody>
    </xdr:sp>
    <xdr:clientData/>
  </xdr:twoCellAnchor>
  <xdr:twoCellAnchor>
    <xdr:from>
      <xdr:col>5</xdr:col>
      <xdr:colOff>1115786</xdr:colOff>
      <xdr:row>172</xdr:row>
      <xdr:rowOff>48986</xdr:rowOff>
    </xdr:from>
    <xdr:to>
      <xdr:col>5</xdr:col>
      <xdr:colOff>1316170</xdr:colOff>
      <xdr:row>173</xdr:row>
      <xdr:rowOff>37374</xdr:rowOff>
    </xdr:to>
    <xdr:sp macro="" textlink="Mesures_Ressuage_BCH!$B$32">
      <xdr:nvSpPr>
        <xdr:cNvPr id="46" name="Organigramme : Connecteur 45">
          <a:extLst>
            <a:ext uri="{FF2B5EF4-FFF2-40B4-BE49-F238E27FC236}">
              <a16:creationId xmlns:a16="http://schemas.microsoft.com/office/drawing/2014/main" id="{00000000-0008-0000-1400-00002E000000}"/>
            </a:ext>
          </a:extLst>
        </xdr:cNvPr>
        <xdr:cNvSpPr/>
      </xdr:nvSpPr>
      <xdr:spPr>
        <a:xfrm>
          <a:off x="9892393" y="38080950"/>
          <a:ext cx="200384" cy="178888"/>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F16E8D2B-9BA3-4941-B901-D15EC0B0D85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clientData/>
  </xdr:twoCellAnchor>
  <xdr:twoCellAnchor>
    <xdr:from>
      <xdr:col>5</xdr:col>
      <xdr:colOff>1325336</xdr:colOff>
      <xdr:row>172</xdr:row>
      <xdr:rowOff>48986</xdr:rowOff>
    </xdr:from>
    <xdr:to>
      <xdr:col>5</xdr:col>
      <xdr:colOff>1525720</xdr:colOff>
      <xdr:row>173</xdr:row>
      <xdr:rowOff>37374</xdr:rowOff>
    </xdr:to>
    <xdr:sp macro="" textlink="Mesures_Ressuage_BCH!$C$32">
      <xdr:nvSpPr>
        <xdr:cNvPr id="47" name="Organigramme : Connecteur 46">
          <a:extLst>
            <a:ext uri="{FF2B5EF4-FFF2-40B4-BE49-F238E27FC236}">
              <a16:creationId xmlns:a16="http://schemas.microsoft.com/office/drawing/2014/main" id="{00000000-0008-0000-1400-00002F000000}"/>
            </a:ext>
          </a:extLst>
        </xdr:cNvPr>
        <xdr:cNvSpPr/>
      </xdr:nvSpPr>
      <xdr:spPr>
        <a:xfrm>
          <a:off x="10101943" y="38080950"/>
          <a:ext cx="200384" cy="178888"/>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997A4F9-7D8C-4AE3-A90A-5A75F9E5E5D2}" type="TxLink">
            <a:rPr lang="en-US" sz="1100" b="0" i="0" u="none" strike="noStrike">
              <a:solidFill>
                <a:srgbClr val="000000"/>
              </a:solidFill>
              <a:latin typeface="Calibri"/>
              <a:cs typeface="Calibri"/>
            </a:rPr>
            <a:pPr algn="ctr"/>
            <a:t> </a:t>
          </a:fld>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2270125</xdr:colOff>
      <xdr:row>30</xdr:row>
      <xdr:rowOff>174625</xdr:rowOff>
    </xdr:from>
    <xdr:to>
      <xdr:col>6</xdr:col>
      <xdr:colOff>2063750</xdr:colOff>
      <xdr:row>61</xdr:row>
      <xdr:rowOff>190500</xdr:rowOff>
    </xdr:to>
    <xdr:graphicFrame macro="">
      <xdr:nvGraphicFramePr>
        <xdr:cNvPr id="3" name="Graphique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16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16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16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16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16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16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16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16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16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16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16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16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16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16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16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16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16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16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16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16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16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16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16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16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16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16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16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16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16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16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16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16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6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190500</xdr:colOff>
      <xdr:row>24</xdr:row>
      <xdr:rowOff>66675</xdr:rowOff>
    </xdr:from>
    <xdr:to>
      <xdr:col>12</xdr:col>
      <xdr:colOff>542925</xdr:colOff>
      <xdr:row>45</xdr:row>
      <xdr:rowOff>142875</xdr:rowOff>
    </xdr:to>
    <xdr:graphicFrame macro="">
      <xdr:nvGraphicFramePr>
        <xdr:cNvPr id="3" name="Graphique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9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19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1900-00002D000000}"/>
            </a:ext>
          </a:extLst>
        </xdr:cNvPr>
        <xdr:cNvGrpSpPr/>
      </xdr:nvGrpSpPr>
      <xdr:grpSpPr>
        <a:xfrm>
          <a:off x="7701641" y="36616821"/>
          <a:ext cx="6980466" cy="4299857"/>
          <a:chOff x="6545579" y="1943100"/>
          <a:chExt cx="6151245" cy="4078885"/>
        </a:xfrm>
      </xdr:grpSpPr>
      <xdr:grpSp>
        <xdr:nvGrpSpPr>
          <xdr:cNvPr id="46" name="Groupe 45">
            <a:extLst>
              <a:ext uri="{FF2B5EF4-FFF2-40B4-BE49-F238E27FC236}">
                <a16:creationId xmlns:a16="http://schemas.microsoft.com/office/drawing/2014/main" id="{00000000-0008-0000-19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19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19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19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19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19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19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19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19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19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19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19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19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19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19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19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19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19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19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19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19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19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19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19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19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19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19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19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19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19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19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6</xdr:row>
          <xdr:rowOff>123825</xdr:rowOff>
        </xdr:from>
        <xdr:to>
          <xdr:col>12</xdr:col>
          <xdr:colOff>895350</xdr:colOff>
          <xdr:row>13</xdr:row>
          <xdr:rowOff>38100</xdr:rowOff>
        </xdr:to>
        <xdr:sp macro="" textlink="">
          <xdr:nvSpPr>
            <xdr:cNvPr id="37896" name="Button 8" hidden="1">
              <a:extLst>
                <a:ext uri="{63B3BB69-23CF-44E3-9099-C40C66FF867C}">
                  <a14:compatExt spid="_x0000_s37896"/>
                </a:ext>
                <a:ext uri="{FF2B5EF4-FFF2-40B4-BE49-F238E27FC236}">
                  <a16:creationId xmlns:a16="http://schemas.microsoft.com/office/drawing/2014/main" id="{00000000-0008-0000-1B00-000008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de l'étuve du séchoir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1E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0" name="Image 9" descr="fregat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1" name="Image 10" descr="fregat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1</xdr:col>
      <xdr:colOff>0</xdr:colOff>
      <xdr:row>259</xdr:row>
      <xdr:rowOff>0</xdr:rowOff>
    </xdr:from>
    <xdr:to>
      <xdr:col>8</xdr:col>
      <xdr:colOff>666750</xdr:colOff>
      <xdr:row>289</xdr:row>
      <xdr:rowOff>54429</xdr:rowOff>
    </xdr:to>
    <xdr:graphicFrame macro="">
      <xdr:nvGraphicFramePr>
        <xdr:cNvPr id="44" name="Graphique 43">
          <a:extLst>
            <a:ext uri="{FF2B5EF4-FFF2-40B4-BE49-F238E27FC236}">
              <a16:creationId xmlns:a16="http://schemas.microsoft.com/office/drawing/2014/main" id="{00000000-0008-0000-1E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9</xdr:col>
      <xdr:colOff>638175</xdr:colOff>
      <xdr:row>8</xdr:row>
      <xdr:rowOff>104775</xdr:rowOff>
    </xdr:from>
    <xdr:to>
      <xdr:col>17</xdr:col>
      <xdr:colOff>380975</xdr:colOff>
      <xdr:row>35</xdr:row>
      <xdr:rowOff>54212</xdr:rowOff>
    </xdr:to>
    <xdr:grpSp>
      <xdr:nvGrpSpPr>
        <xdr:cNvPr id="2" name="Groupe 1">
          <a:extLst>
            <a:ext uri="{FF2B5EF4-FFF2-40B4-BE49-F238E27FC236}">
              <a16:creationId xmlns:a16="http://schemas.microsoft.com/office/drawing/2014/main" id="{00000000-0008-0000-1F00-000002000000}"/>
            </a:ext>
          </a:extLst>
        </xdr:cNvPr>
        <xdr:cNvGrpSpPr/>
      </xdr:nvGrpSpPr>
      <xdr:grpSpPr>
        <a:xfrm>
          <a:off x="10048875" y="2162175"/>
          <a:ext cx="8562950" cy="5302487"/>
          <a:chOff x="11934267" y="3104028"/>
          <a:chExt cx="8562950" cy="5492987"/>
        </a:xfrm>
      </xdr:grpSpPr>
      <xdr:grpSp>
        <xdr:nvGrpSpPr>
          <xdr:cNvPr id="3" name="Groupe 2">
            <a:extLst>
              <a:ext uri="{FF2B5EF4-FFF2-40B4-BE49-F238E27FC236}">
                <a16:creationId xmlns:a16="http://schemas.microsoft.com/office/drawing/2014/main" id="{00000000-0008-0000-1F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1F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1F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1F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1F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1F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1F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1F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1F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1F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1F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1F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1F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1F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1F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1F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1F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1F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1F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1F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1F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1F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1F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1F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1F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1F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1F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1F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1F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1F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1F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1F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1F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1F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1F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1F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1F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1F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1F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1F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1F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1F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1F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1F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1F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1F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1F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1F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1F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1F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1F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1F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1F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1F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1F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1F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1F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1F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1F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1F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1F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1F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1F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1F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1F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1F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1F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1F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1F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1F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1F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1F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1F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1F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1F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1F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1F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1F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1F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1F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1F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1F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1F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1F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1F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1F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1F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1F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1F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1F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1F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xdr:col>
      <xdr:colOff>1000124</xdr:colOff>
      <xdr:row>59</xdr:row>
      <xdr:rowOff>0</xdr:rowOff>
    </xdr:from>
    <xdr:to>
      <xdr:col>16</xdr:col>
      <xdr:colOff>285749</xdr:colOff>
      <xdr:row>79</xdr:row>
      <xdr:rowOff>152400</xdr:rowOff>
    </xdr:to>
    <xdr:graphicFrame macro="">
      <xdr:nvGraphicFramePr>
        <xdr:cNvPr id="2" name="Graphique 1">
          <a:extLst>
            <a:ext uri="{FF2B5EF4-FFF2-40B4-BE49-F238E27FC236}">
              <a16:creationId xmlns:a16="http://schemas.microsoft.com/office/drawing/2014/main"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1000124</xdr:colOff>
      <xdr:row>73</xdr:row>
      <xdr:rowOff>190499</xdr:rowOff>
    </xdr:from>
    <xdr:to>
      <xdr:col>14</xdr:col>
      <xdr:colOff>647699</xdr:colOff>
      <xdr:row>95</xdr:row>
      <xdr:rowOff>66674</xdr:rowOff>
    </xdr:to>
    <xdr:graphicFrame macro="">
      <xdr:nvGraphicFramePr>
        <xdr:cNvPr id="2" name="Graphique 1">
          <a:extLst>
            <a:ext uri="{FF2B5EF4-FFF2-40B4-BE49-F238E27FC236}">
              <a16:creationId xmlns:a16="http://schemas.microsoft.com/office/drawing/2014/main"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1000124</xdr:colOff>
      <xdr:row>68</xdr:row>
      <xdr:rowOff>190499</xdr:rowOff>
    </xdr:from>
    <xdr:to>
      <xdr:col>14</xdr:col>
      <xdr:colOff>190500</xdr:colOff>
      <xdr:row>89</xdr:row>
      <xdr:rowOff>114300</xdr:rowOff>
    </xdr:to>
    <xdr:graphicFrame macro="">
      <xdr:nvGraphicFramePr>
        <xdr:cNvPr id="2" name="Graphique 1">
          <a:extLst>
            <a:ext uri="{FF2B5EF4-FFF2-40B4-BE49-F238E27FC236}">
              <a16:creationId xmlns:a16="http://schemas.microsoft.com/office/drawing/2014/main" id="{00000000-0008-0000-2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26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292</xdr:row>
      <xdr:rowOff>63500</xdr:rowOff>
    </xdr:to>
    <xdr:pic>
      <xdr:nvPicPr>
        <xdr:cNvPr id="104" name="Image 103" descr="fregate">
          <a:extLst>
            <a:ext uri="{FF2B5EF4-FFF2-40B4-BE49-F238E27FC236}">
              <a16:creationId xmlns:a16="http://schemas.microsoft.com/office/drawing/2014/main" id="{00000000-0008-0000-26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26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26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26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26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26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26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26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26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2600-0000CD000000}"/>
                  </a:ext>
                </a:extLst>
              </xdr:cNvPr>
              <xdr:cNvGrpSpPr/>
            </xdr:nvGrpSpPr>
            <xdr:grpSpPr>
              <a:xfrm>
                <a:off x="11889443" y="3126440"/>
                <a:ext cx="8562950" cy="5492987"/>
                <a:chOff x="11889443" y="3126440"/>
                <a:chExt cx="8562950" cy="5492987"/>
              </a:xfrm>
            </xdr:grpSpPr>
            <xdr:sp macro="" textlink="$A$23">
              <xdr:nvSpPr>
                <xdr:cNvPr id="208" name="Organigramme : Connecteur 207">
                  <a:extLst>
                    <a:ext uri="{FF2B5EF4-FFF2-40B4-BE49-F238E27FC236}">
                      <a16:creationId xmlns:a16="http://schemas.microsoft.com/office/drawing/2014/main" id="{00000000-0008-0000-26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 </a:t>
                  </a:fld>
                  <a:endParaRPr lang="fr-FR" sz="1100"/>
                </a:p>
              </xdr:txBody>
            </xdr:sp>
            <xdr:grpSp>
              <xdr:nvGrpSpPr>
                <xdr:cNvPr id="209" name="Groupe 208">
                  <a:extLst>
                    <a:ext uri="{FF2B5EF4-FFF2-40B4-BE49-F238E27FC236}">
                      <a16:creationId xmlns:a16="http://schemas.microsoft.com/office/drawing/2014/main" id="{00000000-0008-0000-26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26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26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26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26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26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26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26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26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26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26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26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26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26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26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26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26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26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26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26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26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26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26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26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26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26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26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26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26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26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26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26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26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26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26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26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26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26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26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26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26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26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26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26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26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26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26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211" name="Organigramme : Connecteur 210">
                    <a:extLst>
                      <a:ext uri="{FF2B5EF4-FFF2-40B4-BE49-F238E27FC236}">
                        <a16:creationId xmlns:a16="http://schemas.microsoft.com/office/drawing/2014/main" id="{00000000-0008-0000-26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 </a:t>
                    </a:fld>
                    <a:endParaRPr lang="fr-FR" sz="1100"/>
                  </a:p>
                </xdr:txBody>
              </xdr:sp>
              <xdr:sp macro="" textlink="$A$35">
                <xdr:nvSpPr>
                  <xdr:cNvPr id="212" name="Organigramme : Connecteur 211">
                    <a:extLst>
                      <a:ext uri="{FF2B5EF4-FFF2-40B4-BE49-F238E27FC236}">
                        <a16:creationId xmlns:a16="http://schemas.microsoft.com/office/drawing/2014/main" id="{00000000-0008-0000-26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213" name="Organigramme : Connecteur 212">
                    <a:extLst>
                      <a:ext uri="{FF2B5EF4-FFF2-40B4-BE49-F238E27FC236}">
                        <a16:creationId xmlns:a16="http://schemas.microsoft.com/office/drawing/2014/main" id="{00000000-0008-0000-26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214" name="Organigramme : Connecteur 213">
                    <a:extLst>
                      <a:ext uri="{FF2B5EF4-FFF2-40B4-BE49-F238E27FC236}">
                        <a16:creationId xmlns:a16="http://schemas.microsoft.com/office/drawing/2014/main" id="{00000000-0008-0000-26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215" name="Organigramme : Connecteur 214">
                    <a:extLst>
                      <a:ext uri="{FF2B5EF4-FFF2-40B4-BE49-F238E27FC236}">
                        <a16:creationId xmlns:a16="http://schemas.microsoft.com/office/drawing/2014/main" id="{00000000-0008-0000-26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216" name="Organigramme : Connecteur 215">
                    <a:extLst>
                      <a:ext uri="{FF2B5EF4-FFF2-40B4-BE49-F238E27FC236}">
                        <a16:creationId xmlns:a16="http://schemas.microsoft.com/office/drawing/2014/main" id="{00000000-0008-0000-26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217" name="Organigramme : Connecteur 216">
                    <a:extLst>
                      <a:ext uri="{FF2B5EF4-FFF2-40B4-BE49-F238E27FC236}">
                        <a16:creationId xmlns:a16="http://schemas.microsoft.com/office/drawing/2014/main" id="{00000000-0008-0000-26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218" name="Organigramme : Connecteur 217">
                    <a:extLst>
                      <a:ext uri="{FF2B5EF4-FFF2-40B4-BE49-F238E27FC236}">
                        <a16:creationId xmlns:a16="http://schemas.microsoft.com/office/drawing/2014/main" id="{00000000-0008-0000-26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219" name="Organigramme : Connecteur 218">
                    <a:extLst>
                      <a:ext uri="{FF2B5EF4-FFF2-40B4-BE49-F238E27FC236}">
                        <a16:creationId xmlns:a16="http://schemas.microsoft.com/office/drawing/2014/main" id="{00000000-0008-0000-26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220" name="Organigramme : Connecteur 219">
                    <a:extLst>
                      <a:ext uri="{FF2B5EF4-FFF2-40B4-BE49-F238E27FC236}">
                        <a16:creationId xmlns:a16="http://schemas.microsoft.com/office/drawing/2014/main" id="{00000000-0008-0000-26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221" name="Organigramme : Connecteur 220">
                    <a:extLst>
                      <a:ext uri="{FF2B5EF4-FFF2-40B4-BE49-F238E27FC236}">
                        <a16:creationId xmlns:a16="http://schemas.microsoft.com/office/drawing/2014/main" id="{00000000-0008-0000-26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26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207" name="Organigramme : Connecteur 206">
                <a:extLst>
                  <a:ext uri="{FF2B5EF4-FFF2-40B4-BE49-F238E27FC236}">
                    <a16:creationId xmlns:a16="http://schemas.microsoft.com/office/drawing/2014/main" id="{00000000-0008-0000-26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B23">
          <xdr:nvSpPr>
            <xdr:cNvPr id="28" name="Organigramme : Connecteur 27">
              <a:extLst>
                <a:ext uri="{FF2B5EF4-FFF2-40B4-BE49-F238E27FC236}">
                  <a16:creationId xmlns:a16="http://schemas.microsoft.com/office/drawing/2014/main" id="{00000000-0008-0000-26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29" name="Organigramme : Connecteur 28">
              <a:extLst>
                <a:ext uri="{FF2B5EF4-FFF2-40B4-BE49-F238E27FC236}">
                  <a16:creationId xmlns:a16="http://schemas.microsoft.com/office/drawing/2014/main" id="{00000000-0008-0000-26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30" name="Organigramme : Connecteur 29">
              <a:extLst>
                <a:ext uri="{FF2B5EF4-FFF2-40B4-BE49-F238E27FC236}">
                  <a16:creationId xmlns:a16="http://schemas.microsoft.com/office/drawing/2014/main" id="{00000000-0008-0000-26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31" name="Organigramme : Connecteur 30">
              <a:extLst>
                <a:ext uri="{FF2B5EF4-FFF2-40B4-BE49-F238E27FC236}">
                  <a16:creationId xmlns:a16="http://schemas.microsoft.com/office/drawing/2014/main" id="{00000000-0008-0000-26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96" name="Organigramme : Connecteur 95">
              <a:extLst>
                <a:ext uri="{FF2B5EF4-FFF2-40B4-BE49-F238E27FC236}">
                  <a16:creationId xmlns:a16="http://schemas.microsoft.com/office/drawing/2014/main" id="{00000000-0008-0000-26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97" name="Organigramme : Connecteur 96">
              <a:extLst>
                <a:ext uri="{FF2B5EF4-FFF2-40B4-BE49-F238E27FC236}">
                  <a16:creationId xmlns:a16="http://schemas.microsoft.com/office/drawing/2014/main" id="{00000000-0008-0000-26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98" name="Organigramme : Connecteur 97">
              <a:extLst>
                <a:ext uri="{FF2B5EF4-FFF2-40B4-BE49-F238E27FC236}">
                  <a16:creationId xmlns:a16="http://schemas.microsoft.com/office/drawing/2014/main" id="{00000000-0008-0000-26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99" name="Organigramme : Connecteur 98">
              <a:extLst>
                <a:ext uri="{FF2B5EF4-FFF2-40B4-BE49-F238E27FC236}">
                  <a16:creationId xmlns:a16="http://schemas.microsoft.com/office/drawing/2014/main" id="{00000000-0008-0000-26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100" name="Organigramme : Connecteur 99">
              <a:extLst>
                <a:ext uri="{FF2B5EF4-FFF2-40B4-BE49-F238E27FC236}">
                  <a16:creationId xmlns:a16="http://schemas.microsoft.com/office/drawing/2014/main" id="{00000000-0008-0000-26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101" name="Organigramme : Connecteur 100">
              <a:extLst>
                <a:ext uri="{FF2B5EF4-FFF2-40B4-BE49-F238E27FC236}">
                  <a16:creationId xmlns:a16="http://schemas.microsoft.com/office/drawing/2014/main" id="{00000000-0008-0000-26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102" name="Organigramme : Connecteur 101">
              <a:extLst>
                <a:ext uri="{FF2B5EF4-FFF2-40B4-BE49-F238E27FC236}">
                  <a16:creationId xmlns:a16="http://schemas.microsoft.com/office/drawing/2014/main" id="{00000000-0008-0000-26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03" name="Organigramme : Connecteur 202">
              <a:extLst>
                <a:ext uri="{FF2B5EF4-FFF2-40B4-BE49-F238E27FC236}">
                  <a16:creationId xmlns:a16="http://schemas.microsoft.com/office/drawing/2014/main" id="{00000000-0008-0000-26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204" name="Organigramme : Connecteur 203">
              <a:extLst>
                <a:ext uri="{FF2B5EF4-FFF2-40B4-BE49-F238E27FC236}">
                  <a16:creationId xmlns:a16="http://schemas.microsoft.com/office/drawing/2014/main" id="{00000000-0008-0000-26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14" name="Organigramme : Connecteur 13">
            <a:extLst>
              <a:ext uri="{FF2B5EF4-FFF2-40B4-BE49-F238E27FC236}">
                <a16:creationId xmlns:a16="http://schemas.microsoft.com/office/drawing/2014/main" id="{00000000-0008-0000-26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15" name="Organigramme : Connecteur 14">
            <a:extLst>
              <a:ext uri="{FF2B5EF4-FFF2-40B4-BE49-F238E27FC236}">
                <a16:creationId xmlns:a16="http://schemas.microsoft.com/office/drawing/2014/main" id="{00000000-0008-0000-26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16" name="Organigramme : Connecteur 15">
            <a:extLst>
              <a:ext uri="{FF2B5EF4-FFF2-40B4-BE49-F238E27FC236}">
                <a16:creationId xmlns:a16="http://schemas.microsoft.com/office/drawing/2014/main" id="{00000000-0008-0000-26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17" name="Organigramme : Connecteur 16">
            <a:extLst>
              <a:ext uri="{FF2B5EF4-FFF2-40B4-BE49-F238E27FC236}">
                <a16:creationId xmlns:a16="http://schemas.microsoft.com/office/drawing/2014/main" id="{00000000-0008-0000-26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18" name="Organigramme : Connecteur 17">
            <a:extLst>
              <a:ext uri="{FF2B5EF4-FFF2-40B4-BE49-F238E27FC236}">
                <a16:creationId xmlns:a16="http://schemas.microsoft.com/office/drawing/2014/main" id="{00000000-0008-0000-26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19" name="Organigramme : Connecteur 18">
            <a:extLst>
              <a:ext uri="{FF2B5EF4-FFF2-40B4-BE49-F238E27FC236}">
                <a16:creationId xmlns:a16="http://schemas.microsoft.com/office/drawing/2014/main" id="{00000000-0008-0000-26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20" name="Organigramme : Connecteur 19">
            <a:extLst>
              <a:ext uri="{FF2B5EF4-FFF2-40B4-BE49-F238E27FC236}">
                <a16:creationId xmlns:a16="http://schemas.microsoft.com/office/drawing/2014/main" id="{00000000-0008-0000-26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21" name="Organigramme : Connecteur 20">
            <a:extLst>
              <a:ext uri="{FF2B5EF4-FFF2-40B4-BE49-F238E27FC236}">
                <a16:creationId xmlns:a16="http://schemas.microsoft.com/office/drawing/2014/main" id="{00000000-0008-0000-26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22" name="Organigramme : Connecteur 21">
            <a:extLst>
              <a:ext uri="{FF2B5EF4-FFF2-40B4-BE49-F238E27FC236}">
                <a16:creationId xmlns:a16="http://schemas.microsoft.com/office/drawing/2014/main" id="{00000000-0008-0000-26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23" name="Organigramme : Connecteur 22">
            <a:extLst>
              <a:ext uri="{FF2B5EF4-FFF2-40B4-BE49-F238E27FC236}">
                <a16:creationId xmlns:a16="http://schemas.microsoft.com/office/drawing/2014/main" id="{00000000-0008-0000-26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24" name="Organigramme : Connecteur 23">
            <a:extLst>
              <a:ext uri="{FF2B5EF4-FFF2-40B4-BE49-F238E27FC236}">
                <a16:creationId xmlns:a16="http://schemas.microsoft.com/office/drawing/2014/main" id="{00000000-0008-0000-26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25" name="Organigramme : Connecteur 24">
            <a:extLst>
              <a:ext uri="{FF2B5EF4-FFF2-40B4-BE49-F238E27FC236}">
                <a16:creationId xmlns:a16="http://schemas.microsoft.com/office/drawing/2014/main" id="{00000000-0008-0000-26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26" name="Organigramme : Connecteur 25">
            <a:extLst>
              <a:ext uri="{FF2B5EF4-FFF2-40B4-BE49-F238E27FC236}">
                <a16:creationId xmlns:a16="http://schemas.microsoft.com/office/drawing/2014/main" id="{00000000-0008-0000-26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257</xdr:row>
      <xdr:rowOff>190499</xdr:rowOff>
    </xdr:from>
    <xdr:to>
      <xdr:col>13</xdr:col>
      <xdr:colOff>555625</xdr:colOff>
      <xdr:row>286</xdr:row>
      <xdr:rowOff>111125</xdr:rowOff>
    </xdr:to>
    <xdr:graphicFrame macro="">
      <xdr:nvGraphicFramePr>
        <xdr:cNvPr id="267" name="Graphique 266">
          <a:extLst>
            <a:ext uri="{FF2B5EF4-FFF2-40B4-BE49-F238E27FC236}">
              <a16:creationId xmlns:a16="http://schemas.microsoft.com/office/drawing/2014/main" id="{00000000-0008-0000-26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12</xdr:col>
      <xdr:colOff>301625</xdr:colOff>
      <xdr:row>390</xdr:row>
      <xdr:rowOff>63500</xdr:rowOff>
    </xdr:to>
    <xdr:graphicFrame macro="">
      <xdr:nvGraphicFramePr>
        <xdr:cNvPr id="268" name="Graphique 267">
          <a:extLst>
            <a:ext uri="{FF2B5EF4-FFF2-40B4-BE49-F238E27FC236}">
              <a16:creationId xmlns:a16="http://schemas.microsoft.com/office/drawing/2014/main" id="{00000000-0008-0000-26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3317874</xdr:colOff>
      <xdr:row>459</xdr:row>
      <xdr:rowOff>0</xdr:rowOff>
    </xdr:from>
    <xdr:to>
      <xdr:col>12</xdr:col>
      <xdr:colOff>444499</xdr:colOff>
      <xdr:row>489</xdr:row>
      <xdr:rowOff>0</xdr:rowOff>
    </xdr:to>
    <xdr:graphicFrame macro="">
      <xdr:nvGraphicFramePr>
        <xdr:cNvPr id="269" name="Graphique 268">
          <a:extLst>
            <a:ext uri="{FF2B5EF4-FFF2-40B4-BE49-F238E27FC236}">
              <a16:creationId xmlns:a16="http://schemas.microsoft.com/office/drawing/2014/main" id="{00000000-0008-0000-26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2700-000006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00000000-0008-0000-2700-000011440000}"/>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00000000-0008-0000-2700-000017440000}"/>
            </a:ext>
          </a:extLst>
        </xdr:cNvPr>
        <xdr:cNvGrpSpPr/>
      </xdr:nvGrpSpPr>
      <xdr:grpSpPr>
        <a:xfrm>
          <a:off x="10527196" y="3404152"/>
          <a:ext cx="4174435" cy="3851412"/>
          <a:chOff x="8605630" y="3404152"/>
          <a:chExt cx="4174435" cy="4232412"/>
        </a:xfrm>
      </xdr:grpSpPr>
      <xdr:sp macro="" textlink="">
        <xdr:nvSpPr>
          <xdr:cNvPr id="17427" name="Organigramme : Connecteur 17426">
            <a:extLst>
              <a:ext uri="{FF2B5EF4-FFF2-40B4-BE49-F238E27FC236}">
                <a16:creationId xmlns:a16="http://schemas.microsoft.com/office/drawing/2014/main" id="{00000000-0008-0000-2700-00001344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00000000-0008-0000-2700-000016440000}"/>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00000000-0008-0000-2700-000010440000}"/>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00000000-0008-0000-2700-00000F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00000000-0008-0000-2700-000012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00000000-0008-0000-2700-000014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00000000-0008-0000-2700-000015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00000000-0008-0000-2700-000016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0000000-0008-0000-2700-000017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00000000-0008-0000-2700-00000F440000}"/>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00000000-0008-0000-2700-000011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00000000-0008-0000-2700-000013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00000000-0008-0000-2700-00001D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30" name="Organigramme : Connecteur 29">
                  <a:extLst>
                    <a:ext uri="{FF2B5EF4-FFF2-40B4-BE49-F238E27FC236}">
                      <a16:creationId xmlns:a16="http://schemas.microsoft.com/office/drawing/2014/main" id="{00000000-0008-0000-2700-00001E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7408" name="Organigramme : Connecteur 17407">
                  <a:extLst>
                    <a:ext uri="{FF2B5EF4-FFF2-40B4-BE49-F238E27FC236}">
                      <a16:creationId xmlns:a16="http://schemas.microsoft.com/office/drawing/2014/main" id="{00000000-0008-0000-2700-00000044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7410" name="Organigramme : Connecteur 17409">
                  <a:extLst>
                    <a:ext uri="{FF2B5EF4-FFF2-40B4-BE49-F238E27FC236}">
                      <a16:creationId xmlns:a16="http://schemas.microsoft.com/office/drawing/2014/main" id="{00000000-0008-0000-2700-00000244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7412" name="Organigramme : Connecteur 17411">
                  <a:extLst>
                    <a:ext uri="{FF2B5EF4-FFF2-40B4-BE49-F238E27FC236}">
                      <a16:creationId xmlns:a16="http://schemas.microsoft.com/office/drawing/2014/main" id="{00000000-0008-0000-2700-00000444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7413" name="Organigramme : Connecteur 17412">
                  <a:extLst>
                    <a:ext uri="{FF2B5EF4-FFF2-40B4-BE49-F238E27FC236}">
                      <a16:creationId xmlns:a16="http://schemas.microsoft.com/office/drawing/2014/main" id="{00000000-0008-0000-2700-00000544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7416" name="Organigramme : Connecteur 17415">
                  <a:extLst>
                    <a:ext uri="{FF2B5EF4-FFF2-40B4-BE49-F238E27FC236}">
                      <a16:creationId xmlns:a16="http://schemas.microsoft.com/office/drawing/2014/main" id="{00000000-0008-0000-2700-00000844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7417" name="Organigramme : Connecteur 17416">
                  <a:extLst>
                    <a:ext uri="{FF2B5EF4-FFF2-40B4-BE49-F238E27FC236}">
                      <a16:creationId xmlns:a16="http://schemas.microsoft.com/office/drawing/2014/main" id="{00000000-0008-0000-2700-00000944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7418" name="Organigramme : Connecteur 17417">
                  <a:extLst>
                    <a:ext uri="{FF2B5EF4-FFF2-40B4-BE49-F238E27FC236}">
                      <a16:creationId xmlns:a16="http://schemas.microsoft.com/office/drawing/2014/main" id="{00000000-0008-0000-2700-00000A44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7420" name="Organigramme : Connecteur 17419">
                  <a:extLst>
                    <a:ext uri="{FF2B5EF4-FFF2-40B4-BE49-F238E27FC236}">
                      <a16:creationId xmlns:a16="http://schemas.microsoft.com/office/drawing/2014/main" id="{00000000-0008-0000-2700-00000C44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7422" name="Groupe 17421">
                  <a:extLst>
                    <a:ext uri="{FF2B5EF4-FFF2-40B4-BE49-F238E27FC236}">
                      <a16:creationId xmlns:a16="http://schemas.microsoft.com/office/drawing/2014/main" id="{00000000-0008-0000-2700-00000E440000}"/>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00000000-0008-0000-2700-00000E000000}"/>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00000000-0008-0000-2700-000004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00000000-0008-0000-2700-000006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00000000-0008-0000-2700-00000A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00000000-0008-0000-2700-00000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00000000-0008-0000-2700-000018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5" name="Organigramme : Connecteur 24">
                    <a:extLst>
                      <a:ext uri="{FF2B5EF4-FFF2-40B4-BE49-F238E27FC236}">
                        <a16:creationId xmlns:a16="http://schemas.microsoft.com/office/drawing/2014/main" id="{00000000-0008-0000-2700-000019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28" name="Organigramme : Connecteur 27">
                    <a:extLst>
                      <a:ext uri="{FF2B5EF4-FFF2-40B4-BE49-F238E27FC236}">
                        <a16:creationId xmlns:a16="http://schemas.microsoft.com/office/drawing/2014/main" id="{00000000-0008-0000-2700-00001C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31" name="Organigramme : Connecteur 30">
                    <a:extLst>
                      <a:ext uri="{FF2B5EF4-FFF2-40B4-BE49-F238E27FC236}">
                        <a16:creationId xmlns:a16="http://schemas.microsoft.com/office/drawing/2014/main" id="{00000000-0008-0000-2700-00001F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7411" name="Organigramme : Connecteur 17410">
                    <a:extLst>
                      <a:ext uri="{FF2B5EF4-FFF2-40B4-BE49-F238E27FC236}">
                        <a16:creationId xmlns:a16="http://schemas.microsoft.com/office/drawing/2014/main" id="{00000000-0008-0000-2700-00000344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00000000-0008-0000-2700-00000744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7419" name="Organigramme : Connecteur 17418">
                    <a:extLst>
                      <a:ext uri="{FF2B5EF4-FFF2-40B4-BE49-F238E27FC236}">
                        <a16:creationId xmlns:a16="http://schemas.microsoft.com/office/drawing/2014/main" id="{00000000-0008-0000-2700-00000B44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7421" name="Organigramme : Connecteur 17420">
                    <a:extLst>
                      <a:ext uri="{FF2B5EF4-FFF2-40B4-BE49-F238E27FC236}">
                        <a16:creationId xmlns:a16="http://schemas.microsoft.com/office/drawing/2014/main" id="{00000000-0008-0000-2700-00000D44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00000000-0008-0000-2700-00001244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7428" name="Organigramme : Connecteur 17427">
              <a:extLst>
                <a:ext uri="{FF2B5EF4-FFF2-40B4-BE49-F238E27FC236}">
                  <a16:creationId xmlns:a16="http://schemas.microsoft.com/office/drawing/2014/main" id="{00000000-0008-0000-2700-00001444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17429" name="ZoneTexte 17428">
              <a:extLst>
                <a:ext uri="{FF2B5EF4-FFF2-40B4-BE49-F238E27FC236}">
                  <a16:creationId xmlns:a16="http://schemas.microsoft.com/office/drawing/2014/main" id="{00000000-0008-0000-2700-00001544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1000124</xdr:colOff>
      <xdr:row>25</xdr:row>
      <xdr:rowOff>0</xdr:rowOff>
    </xdr:from>
    <xdr:to>
      <xdr:col>11</xdr:col>
      <xdr:colOff>57149</xdr:colOff>
      <xdr:row>44</xdr:row>
      <xdr:rowOff>57150</xdr:rowOff>
    </xdr:to>
    <xdr:graphicFrame macro="">
      <xdr:nvGraphicFramePr>
        <xdr:cNvPr id="4" name="Graphique 3">
          <a:extLst>
            <a:ext uri="{FF2B5EF4-FFF2-40B4-BE49-F238E27FC236}">
              <a16:creationId xmlns:a16="http://schemas.microsoft.com/office/drawing/2014/main" id="{00000000-0008-0000-2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2</xdr:col>
      <xdr:colOff>0</xdr:colOff>
      <xdr:row>24</xdr:row>
      <xdr:rowOff>0</xdr:rowOff>
    </xdr:from>
    <xdr:to>
      <xdr:col>11</xdr:col>
      <xdr:colOff>714375</xdr:colOff>
      <xdr:row>46</xdr:row>
      <xdr:rowOff>19050</xdr:rowOff>
    </xdr:to>
    <xdr:graphicFrame macro="">
      <xdr:nvGraphicFramePr>
        <xdr:cNvPr id="3" name="Graphique 2">
          <a:extLst>
            <a:ext uri="{FF2B5EF4-FFF2-40B4-BE49-F238E27FC236}">
              <a16:creationId xmlns:a16="http://schemas.microsoft.com/office/drawing/2014/main" id="{00000000-0008-0000-2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1000124</xdr:colOff>
      <xdr:row>22</xdr:row>
      <xdr:rowOff>190499</xdr:rowOff>
    </xdr:from>
    <xdr:to>
      <xdr:col>12</xdr:col>
      <xdr:colOff>190499</xdr:colOff>
      <xdr:row>44</xdr:row>
      <xdr:rowOff>85724</xdr:rowOff>
    </xdr:to>
    <xdr:graphicFrame macro="">
      <xdr:nvGraphicFramePr>
        <xdr:cNvPr id="3" name="Graphique 2">
          <a:extLst>
            <a:ext uri="{FF2B5EF4-FFF2-40B4-BE49-F238E27FC236}">
              <a16:creationId xmlns:a16="http://schemas.microsoft.com/office/drawing/2014/main" id="{00000000-0008-0000-2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00000000-0008-0000-2E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00000000-0008-0000-2E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00000000-0008-0000-2E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00000000-0008-0000-2E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00000000-0008-0000-2E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00000000-0008-0000-2E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0000000-0008-0000-2E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0000000-0008-0000-2E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284</xdr:row>
      <xdr:rowOff>61232</xdr:rowOff>
    </xdr:to>
    <xdr:pic>
      <xdr:nvPicPr>
        <xdr:cNvPr id="12" name="Image 11" descr="fregate">
          <a:extLst>
            <a:ext uri="{FF2B5EF4-FFF2-40B4-BE49-F238E27FC236}">
              <a16:creationId xmlns:a16="http://schemas.microsoft.com/office/drawing/2014/main" id="{00000000-0008-0000-2E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00000000-0008-0000-2E00-00000D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00000000-0008-0000-2E00-00000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00000000-0008-0000-2E00-00000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00000000-0008-0000-2E00-000010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00000000-0008-0000-2E00-000011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1</xdr:col>
      <xdr:colOff>0</xdr:colOff>
      <xdr:row>451</xdr:row>
      <xdr:rowOff>0</xdr:rowOff>
    </xdr:from>
    <xdr:to>
      <xdr:col>12</xdr:col>
      <xdr:colOff>606137</xdr:colOff>
      <xdr:row>480</xdr:row>
      <xdr:rowOff>34636</xdr:rowOff>
    </xdr:to>
    <xdr:graphicFrame macro="">
      <xdr:nvGraphicFramePr>
        <xdr:cNvPr id="115" name="Graphique 114">
          <a:extLst>
            <a:ext uri="{FF2B5EF4-FFF2-40B4-BE49-F238E27FC236}">
              <a16:creationId xmlns:a16="http://schemas.microsoft.com/office/drawing/2014/main" id="{00000000-0008-0000-2E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86591</xdr:colOff>
      <xdr:row>158</xdr:row>
      <xdr:rowOff>259773</xdr:rowOff>
    </xdr:from>
    <xdr:to>
      <xdr:col>11</xdr:col>
      <xdr:colOff>883227</xdr:colOff>
      <xdr:row>182</xdr:row>
      <xdr:rowOff>51956</xdr:rowOff>
    </xdr:to>
    <xdr:grpSp>
      <xdr:nvGrpSpPr>
        <xdr:cNvPr id="18" name="Groupe 17">
          <a:extLst>
            <a:ext uri="{FF2B5EF4-FFF2-40B4-BE49-F238E27FC236}">
              <a16:creationId xmlns:a16="http://schemas.microsoft.com/office/drawing/2014/main" id="{00000000-0008-0000-2E00-000012000000}"/>
            </a:ext>
          </a:extLst>
        </xdr:cNvPr>
        <xdr:cNvGrpSpPr/>
      </xdr:nvGrpSpPr>
      <xdr:grpSpPr>
        <a:xfrm>
          <a:off x="16306305" y="34835523"/>
          <a:ext cx="5518315" cy="4663540"/>
          <a:chOff x="8605630" y="3404152"/>
          <a:chExt cx="4174435" cy="4232412"/>
        </a:xfrm>
      </xdr:grpSpPr>
      <xdr:sp macro="" textlink="">
        <xdr:nvSpPr>
          <xdr:cNvPr id="19" name="Organigramme : Connecteur 18">
            <a:extLst>
              <a:ext uri="{FF2B5EF4-FFF2-40B4-BE49-F238E27FC236}">
                <a16:creationId xmlns:a16="http://schemas.microsoft.com/office/drawing/2014/main" id="{00000000-0008-0000-2E00-000013000000}"/>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20" name="Groupe 19">
            <a:extLst>
              <a:ext uri="{FF2B5EF4-FFF2-40B4-BE49-F238E27FC236}">
                <a16:creationId xmlns:a16="http://schemas.microsoft.com/office/drawing/2014/main" id="{00000000-0008-0000-2E00-000014000000}"/>
              </a:ext>
            </a:extLst>
          </xdr:cNvPr>
          <xdr:cNvGrpSpPr/>
        </xdr:nvGrpSpPr>
        <xdr:grpSpPr>
          <a:xfrm>
            <a:off x="8605630" y="3404152"/>
            <a:ext cx="4174435" cy="4232412"/>
            <a:chOff x="8605630" y="3404152"/>
            <a:chExt cx="4174435" cy="4232412"/>
          </a:xfrm>
        </xdr:grpSpPr>
        <xdr:grpSp>
          <xdr:nvGrpSpPr>
            <xdr:cNvPr id="21" name="Groupe 20">
              <a:extLst>
                <a:ext uri="{FF2B5EF4-FFF2-40B4-BE49-F238E27FC236}">
                  <a16:creationId xmlns:a16="http://schemas.microsoft.com/office/drawing/2014/main" id="{00000000-0008-0000-2E00-000015000000}"/>
                </a:ext>
              </a:extLst>
            </xdr:cNvPr>
            <xdr:cNvGrpSpPr/>
          </xdr:nvGrpSpPr>
          <xdr:grpSpPr>
            <a:xfrm>
              <a:off x="9316277" y="3404152"/>
              <a:ext cx="3463788" cy="3327953"/>
              <a:chOff x="9092647" y="3420717"/>
              <a:chExt cx="3463788" cy="3327953"/>
            </a:xfrm>
          </xdr:grpSpPr>
          <xdr:sp macro="" textlink="">
            <xdr:nvSpPr>
              <xdr:cNvPr id="25" name="Organigramme : Connecteur 24">
                <a:extLst>
                  <a:ext uri="{FF2B5EF4-FFF2-40B4-BE49-F238E27FC236}">
                    <a16:creationId xmlns:a16="http://schemas.microsoft.com/office/drawing/2014/main" id="{00000000-0008-0000-2E00-00001900000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26" name="Organigramme : Connecteur 25">
                <a:extLst>
                  <a:ext uri="{FF2B5EF4-FFF2-40B4-BE49-F238E27FC236}">
                    <a16:creationId xmlns:a16="http://schemas.microsoft.com/office/drawing/2014/main" id="{00000000-0008-0000-2E00-00001A000000}"/>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7" name="Organigramme : Connecteur 26">
                <a:extLst>
                  <a:ext uri="{FF2B5EF4-FFF2-40B4-BE49-F238E27FC236}">
                    <a16:creationId xmlns:a16="http://schemas.microsoft.com/office/drawing/2014/main" id="{00000000-0008-0000-2E00-00001B000000}"/>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8" name="Organigramme : Connecteur 27">
                <a:extLst>
                  <a:ext uri="{FF2B5EF4-FFF2-40B4-BE49-F238E27FC236}">
                    <a16:creationId xmlns:a16="http://schemas.microsoft.com/office/drawing/2014/main" id="{00000000-0008-0000-2E00-00001C000000}"/>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9" name="Organigramme : Connecteur 28">
                <a:extLst>
                  <a:ext uri="{FF2B5EF4-FFF2-40B4-BE49-F238E27FC236}">
                    <a16:creationId xmlns:a16="http://schemas.microsoft.com/office/drawing/2014/main" id="{00000000-0008-0000-2E00-00001D000000}"/>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30" name="Organigramme : Connecteur 29">
                <a:extLst>
                  <a:ext uri="{FF2B5EF4-FFF2-40B4-BE49-F238E27FC236}">
                    <a16:creationId xmlns:a16="http://schemas.microsoft.com/office/drawing/2014/main" id="{00000000-0008-0000-2E00-00001E000000}"/>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31" name="Groupe 30">
                <a:extLst>
                  <a:ext uri="{FF2B5EF4-FFF2-40B4-BE49-F238E27FC236}">
                    <a16:creationId xmlns:a16="http://schemas.microsoft.com/office/drawing/2014/main" id="{00000000-0008-0000-2E00-00001F000000}"/>
                  </a:ext>
                </a:extLst>
              </xdr:cNvPr>
              <xdr:cNvGrpSpPr/>
            </xdr:nvGrpSpPr>
            <xdr:grpSpPr>
              <a:xfrm>
                <a:off x="9092647" y="3592995"/>
                <a:ext cx="3463788" cy="3155675"/>
                <a:chOff x="9092647" y="3592995"/>
                <a:chExt cx="3463788" cy="3155675"/>
              </a:xfrm>
            </xdr:grpSpPr>
            <xdr:sp macro="" textlink="">
              <xdr:nvSpPr>
                <xdr:cNvPr id="96" name="Organigramme : Connecteur 95">
                  <a:extLst>
                    <a:ext uri="{FF2B5EF4-FFF2-40B4-BE49-F238E27FC236}">
                      <a16:creationId xmlns:a16="http://schemas.microsoft.com/office/drawing/2014/main" id="{00000000-0008-0000-2E00-000060000000}"/>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97" name="Organigramme : Connecteur 96">
                  <a:extLst>
                    <a:ext uri="{FF2B5EF4-FFF2-40B4-BE49-F238E27FC236}">
                      <a16:creationId xmlns:a16="http://schemas.microsoft.com/office/drawing/2014/main" id="{00000000-0008-0000-2E00-000061000000}"/>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98" name="Organigramme : Connecteur 97">
                  <a:extLst>
                    <a:ext uri="{FF2B5EF4-FFF2-40B4-BE49-F238E27FC236}">
                      <a16:creationId xmlns:a16="http://schemas.microsoft.com/office/drawing/2014/main" id="{00000000-0008-0000-2E00-000062000000}"/>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pPr algn="ctr"/>
                    <a:t> </a:t>
                  </a:fld>
                  <a:endParaRPr lang="fr-FR" sz="1100"/>
                </a:p>
              </xdr:txBody>
            </xdr:sp>
            <xdr:sp macro="" textlink="$B$26">
              <xdr:nvSpPr>
                <xdr:cNvPr id="99" name="Organigramme : Connecteur 98">
                  <a:extLst>
                    <a:ext uri="{FF2B5EF4-FFF2-40B4-BE49-F238E27FC236}">
                      <a16:creationId xmlns:a16="http://schemas.microsoft.com/office/drawing/2014/main" id="{00000000-0008-0000-2E00-000063000000}"/>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pPr algn="ctr"/>
                    <a:t> </a:t>
                  </a:fld>
                  <a:endParaRPr lang="fr-FR" sz="1100"/>
                </a:p>
              </xdr:txBody>
            </xdr:sp>
            <xdr:sp macro="" textlink="$B$28">
              <xdr:nvSpPr>
                <xdr:cNvPr id="100" name="Organigramme : Connecteur 99">
                  <a:extLst>
                    <a:ext uri="{FF2B5EF4-FFF2-40B4-BE49-F238E27FC236}">
                      <a16:creationId xmlns:a16="http://schemas.microsoft.com/office/drawing/2014/main" id="{00000000-0008-0000-2E00-000064000000}"/>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pPr algn="ctr"/>
                    <a:t> </a:t>
                  </a:fld>
                  <a:endParaRPr lang="fr-FR" sz="1100"/>
                </a:p>
              </xdr:txBody>
            </xdr:sp>
            <xdr:sp macro="" textlink="$B$30">
              <xdr:nvSpPr>
                <xdr:cNvPr id="101" name="Organigramme : Connecteur 100">
                  <a:extLst>
                    <a:ext uri="{FF2B5EF4-FFF2-40B4-BE49-F238E27FC236}">
                      <a16:creationId xmlns:a16="http://schemas.microsoft.com/office/drawing/2014/main" id="{00000000-0008-0000-2E00-00006500000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pPr algn="ctr"/>
                    <a:t> </a:t>
                  </a:fld>
                  <a:endParaRPr lang="fr-FR" sz="1100"/>
                </a:p>
              </xdr:txBody>
            </xdr:sp>
            <xdr:sp macro="" textlink="$B$29">
              <xdr:nvSpPr>
                <xdr:cNvPr id="102" name="Organigramme : Connecteur 101">
                  <a:extLst>
                    <a:ext uri="{FF2B5EF4-FFF2-40B4-BE49-F238E27FC236}">
                      <a16:creationId xmlns:a16="http://schemas.microsoft.com/office/drawing/2014/main" id="{00000000-0008-0000-2E00-00006600000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pPr algn="ctr"/>
                    <a:t> </a:t>
                  </a:fld>
                  <a:endParaRPr lang="fr-FR" sz="1100"/>
                </a:p>
              </xdr:txBody>
            </xdr:sp>
            <xdr:sp macro="" textlink="$C$30">
              <xdr:nvSpPr>
                <xdr:cNvPr id="103" name="Organigramme : Connecteur 102">
                  <a:extLst>
                    <a:ext uri="{FF2B5EF4-FFF2-40B4-BE49-F238E27FC236}">
                      <a16:creationId xmlns:a16="http://schemas.microsoft.com/office/drawing/2014/main" id="{00000000-0008-0000-2E00-000067000000}"/>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pPr algn="ctr"/>
                    <a:t> </a:t>
                  </a:fld>
                  <a:endParaRPr lang="fr-FR" sz="1100"/>
                </a:p>
              </xdr:txBody>
            </xdr:sp>
            <xdr:sp macro="" textlink="$C$25">
              <xdr:nvSpPr>
                <xdr:cNvPr id="104" name="Organigramme : Connecteur 103">
                  <a:extLst>
                    <a:ext uri="{FF2B5EF4-FFF2-40B4-BE49-F238E27FC236}">
                      <a16:creationId xmlns:a16="http://schemas.microsoft.com/office/drawing/2014/main" id="{00000000-0008-0000-2E00-000068000000}"/>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pPr algn="ctr"/>
                    <a:t> </a:t>
                  </a:fld>
                  <a:endParaRPr lang="fr-FR" sz="1100"/>
                </a:p>
              </xdr:txBody>
            </xdr:sp>
            <xdr:sp macro="" textlink="$C$29">
              <xdr:nvSpPr>
                <xdr:cNvPr id="105" name="Organigramme : Connecteur 104">
                  <a:extLst>
                    <a:ext uri="{FF2B5EF4-FFF2-40B4-BE49-F238E27FC236}">
                      <a16:creationId xmlns:a16="http://schemas.microsoft.com/office/drawing/2014/main" id="{00000000-0008-0000-2E00-000069000000}"/>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pPr algn="ctr"/>
                    <a:t> </a:t>
                  </a:fld>
                  <a:endParaRPr lang="fr-FR" sz="1100"/>
                </a:p>
              </xdr:txBody>
            </xdr:sp>
            <xdr:sp macro="" textlink="$C$28">
              <xdr:nvSpPr>
                <xdr:cNvPr id="106" name="Organigramme : Connecteur 105">
                  <a:extLst>
                    <a:ext uri="{FF2B5EF4-FFF2-40B4-BE49-F238E27FC236}">
                      <a16:creationId xmlns:a16="http://schemas.microsoft.com/office/drawing/2014/main" id="{00000000-0008-0000-2E00-00006A000000}"/>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pPr algn="ctr"/>
                    <a:t> </a:t>
                  </a:fld>
                  <a:endParaRPr lang="fr-FR" sz="1100"/>
                </a:p>
              </xdr:txBody>
            </xdr:sp>
            <xdr:sp macro="" textlink="$C$26">
              <xdr:nvSpPr>
                <xdr:cNvPr id="107" name="Organigramme : Connecteur 106">
                  <a:extLst>
                    <a:ext uri="{FF2B5EF4-FFF2-40B4-BE49-F238E27FC236}">
                      <a16:creationId xmlns:a16="http://schemas.microsoft.com/office/drawing/2014/main" id="{00000000-0008-0000-2E00-00006B000000}"/>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pPr algn="ctr"/>
                    <a:t> </a:t>
                  </a:fld>
                  <a:endParaRPr lang="fr-FR" sz="1100"/>
                </a:p>
              </xdr:txBody>
            </xdr:sp>
            <xdr:grpSp>
              <xdr:nvGrpSpPr>
                <xdr:cNvPr id="108" name="Groupe 107">
                  <a:extLst>
                    <a:ext uri="{FF2B5EF4-FFF2-40B4-BE49-F238E27FC236}">
                      <a16:creationId xmlns:a16="http://schemas.microsoft.com/office/drawing/2014/main" id="{00000000-0008-0000-2E00-00006C000000}"/>
                    </a:ext>
                  </a:extLst>
                </xdr:cNvPr>
                <xdr:cNvGrpSpPr/>
              </xdr:nvGrpSpPr>
              <xdr:grpSpPr>
                <a:xfrm>
                  <a:off x="9230139" y="3592995"/>
                  <a:ext cx="3326296" cy="2792482"/>
                  <a:chOff x="9230139" y="3592995"/>
                  <a:chExt cx="3326296" cy="2792482"/>
                </a:xfrm>
              </xdr:grpSpPr>
              <xdr:grpSp>
                <xdr:nvGrpSpPr>
                  <xdr:cNvPr id="109" name="Groupe 108">
                    <a:extLst>
                      <a:ext uri="{FF2B5EF4-FFF2-40B4-BE49-F238E27FC236}">
                        <a16:creationId xmlns:a16="http://schemas.microsoft.com/office/drawing/2014/main" id="{00000000-0008-0000-2E00-00006D000000}"/>
                      </a:ext>
                    </a:extLst>
                  </xdr:cNvPr>
                  <xdr:cNvGrpSpPr/>
                </xdr:nvGrpSpPr>
                <xdr:grpSpPr>
                  <a:xfrm>
                    <a:off x="9310480" y="3635237"/>
                    <a:ext cx="2949367" cy="2750240"/>
                    <a:chOff x="9320893" y="3638550"/>
                    <a:chExt cx="2950550" cy="2755446"/>
                  </a:xfrm>
                </xdr:grpSpPr>
                <xdr:sp macro="" textlink="">
                  <xdr:nvSpPr>
                    <xdr:cNvPr id="122" name="Cube 121">
                      <a:extLst>
                        <a:ext uri="{FF2B5EF4-FFF2-40B4-BE49-F238E27FC236}">
                          <a16:creationId xmlns:a16="http://schemas.microsoft.com/office/drawing/2014/main" id="{00000000-0008-0000-2E00-00007A000000}"/>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23" name="Connecteur droit 122">
                      <a:extLst>
                        <a:ext uri="{FF2B5EF4-FFF2-40B4-BE49-F238E27FC236}">
                          <a16:creationId xmlns:a16="http://schemas.microsoft.com/office/drawing/2014/main" id="{00000000-0008-0000-2E00-00007B000000}"/>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4" name="Connecteur droit 123">
                      <a:extLst>
                        <a:ext uri="{FF2B5EF4-FFF2-40B4-BE49-F238E27FC236}">
                          <a16:creationId xmlns:a16="http://schemas.microsoft.com/office/drawing/2014/main" id="{00000000-0008-0000-2E00-00007C00000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25" name="Connecteur droit 124">
                      <a:extLst>
                        <a:ext uri="{FF2B5EF4-FFF2-40B4-BE49-F238E27FC236}">
                          <a16:creationId xmlns:a16="http://schemas.microsoft.com/office/drawing/2014/main" id="{00000000-0008-0000-2E00-00007D000000}"/>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10" name="Organigramme : Connecteur 109">
                    <a:extLst>
                      <a:ext uri="{FF2B5EF4-FFF2-40B4-BE49-F238E27FC236}">
                        <a16:creationId xmlns:a16="http://schemas.microsoft.com/office/drawing/2014/main" id="{00000000-0008-0000-2E00-00006E000000}"/>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111" name="Organigramme : Connecteur 110">
                    <a:extLst>
                      <a:ext uri="{FF2B5EF4-FFF2-40B4-BE49-F238E27FC236}">
                        <a16:creationId xmlns:a16="http://schemas.microsoft.com/office/drawing/2014/main" id="{00000000-0008-0000-2E00-00006F000000}"/>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B$24">
                <xdr:nvSpPr>
                  <xdr:cNvPr id="116" name="Organigramme : Connecteur 115">
                    <a:extLst>
                      <a:ext uri="{FF2B5EF4-FFF2-40B4-BE49-F238E27FC236}">
                        <a16:creationId xmlns:a16="http://schemas.microsoft.com/office/drawing/2014/main" id="{00000000-0008-0000-2E00-000074000000}"/>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pPr algn="ctr"/>
                      <a:t> </a:t>
                    </a:fld>
                    <a:endParaRPr lang="fr-FR" sz="1100"/>
                  </a:p>
                </xdr:txBody>
              </xdr:sp>
              <xdr:sp macro="" textlink="$B$27">
                <xdr:nvSpPr>
                  <xdr:cNvPr id="117" name="Organigramme : Connecteur 116">
                    <a:extLst>
                      <a:ext uri="{FF2B5EF4-FFF2-40B4-BE49-F238E27FC236}">
                        <a16:creationId xmlns:a16="http://schemas.microsoft.com/office/drawing/2014/main" id="{00000000-0008-0000-2E00-000075000000}"/>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pPr algn="ctr"/>
                      <a:t> </a:t>
                    </a:fld>
                    <a:endParaRPr lang="fr-FR" sz="1100"/>
                  </a:p>
                </xdr:txBody>
              </xdr:sp>
              <xdr:sp macro="" textlink="$B$31">
                <xdr:nvSpPr>
                  <xdr:cNvPr id="118" name="Organigramme : Connecteur 117">
                    <a:extLst>
                      <a:ext uri="{FF2B5EF4-FFF2-40B4-BE49-F238E27FC236}">
                        <a16:creationId xmlns:a16="http://schemas.microsoft.com/office/drawing/2014/main" id="{00000000-0008-0000-2E00-000076000000}"/>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119" name="Organigramme : Connecteur 118">
                    <a:extLst>
                      <a:ext uri="{FF2B5EF4-FFF2-40B4-BE49-F238E27FC236}">
                        <a16:creationId xmlns:a16="http://schemas.microsoft.com/office/drawing/2014/main" id="{00000000-0008-0000-2E00-00007700000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pPr algn="ctr"/>
                      <a:t> </a:t>
                    </a:fld>
                    <a:endParaRPr lang="fr-FR" sz="1100"/>
                  </a:p>
                </xdr:txBody>
              </xdr:sp>
              <xdr:sp macro="" textlink="$C$27">
                <xdr:nvSpPr>
                  <xdr:cNvPr id="120" name="Organigramme : Connecteur 119">
                    <a:extLst>
                      <a:ext uri="{FF2B5EF4-FFF2-40B4-BE49-F238E27FC236}">
                        <a16:creationId xmlns:a16="http://schemas.microsoft.com/office/drawing/2014/main" id="{00000000-0008-0000-2E00-00007800000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pPr algn="ctr"/>
                      <a:t> </a:t>
                    </a:fld>
                    <a:endParaRPr lang="fr-FR" sz="1100"/>
                  </a:p>
                </xdr:txBody>
              </xdr:sp>
              <xdr:sp macro="" textlink="$C$24">
                <xdr:nvSpPr>
                  <xdr:cNvPr id="121" name="Organigramme : Connecteur 120">
                    <a:extLst>
                      <a:ext uri="{FF2B5EF4-FFF2-40B4-BE49-F238E27FC236}">
                        <a16:creationId xmlns:a16="http://schemas.microsoft.com/office/drawing/2014/main" id="{00000000-0008-0000-2E00-00007900000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pPr algn="ctr"/>
                      <a:t> </a:t>
                    </a:fld>
                    <a:endParaRPr lang="fr-FR" sz="1100"/>
                  </a:p>
                </xdr:txBody>
              </xdr:sp>
            </xdr:grpSp>
          </xdr:grpSp>
        </xdr:grpSp>
        <xdr:sp macro="" textlink="$B$23">
          <xdr:nvSpPr>
            <xdr:cNvPr id="22" name="Organigramme : Connecteur 21">
              <a:extLst>
                <a:ext uri="{FF2B5EF4-FFF2-40B4-BE49-F238E27FC236}">
                  <a16:creationId xmlns:a16="http://schemas.microsoft.com/office/drawing/2014/main" id="{00000000-0008-0000-2E00-000016000000}"/>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pPr algn="ctr"/>
                <a:t> </a:t>
              </a:fld>
              <a:endParaRPr lang="fr-FR" sz="1100"/>
            </a:p>
          </xdr:txBody>
        </xdr:sp>
        <xdr:sp macro="" textlink="$C$23">
          <xdr:nvSpPr>
            <xdr:cNvPr id="23" name="Organigramme : Connecteur 22">
              <a:extLst>
                <a:ext uri="{FF2B5EF4-FFF2-40B4-BE49-F238E27FC236}">
                  <a16:creationId xmlns:a16="http://schemas.microsoft.com/office/drawing/2014/main" id="{00000000-0008-0000-2E00-00001700000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pPr algn="ctr"/>
                <a:t> </a:t>
              </a:fld>
              <a:endParaRPr lang="fr-FR" sz="1100"/>
            </a:p>
          </xdr:txBody>
        </xdr:sp>
        <xdr:sp macro="" textlink="">
          <xdr:nvSpPr>
            <xdr:cNvPr id="24" name="ZoneTexte 23">
              <a:extLst>
                <a:ext uri="{FF2B5EF4-FFF2-40B4-BE49-F238E27FC236}">
                  <a16:creationId xmlns:a16="http://schemas.microsoft.com/office/drawing/2014/main" id="{00000000-0008-0000-2E00-00001800000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twoCellAnchor>
    <xdr:from>
      <xdr:col>1</xdr:col>
      <xdr:colOff>0</xdr:colOff>
      <xdr:row>250</xdr:row>
      <xdr:rowOff>190499</xdr:rowOff>
    </xdr:from>
    <xdr:to>
      <xdr:col>7</xdr:col>
      <xdr:colOff>1537607</xdr:colOff>
      <xdr:row>275</xdr:row>
      <xdr:rowOff>13606</xdr:rowOff>
    </xdr:to>
    <xdr:graphicFrame macro="">
      <xdr:nvGraphicFramePr>
        <xdr:cNvPr id="126" name="Graphique 125">
          <a:extLst>
            <a:ext uri="{FF2B5EF4-FFF2-40B4-BE49-F238E27FC236}">
              <a16:creationId xmlns:a16="http://schemas.microsoft.com/office/drawing/2014/main" id="{00000000-0008-0000-2E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3320142</xdr:colOff>
      <xdr:row>347</xdr:row>
      <xdr:rowOff>0</xdr:rowOff>
    </xdr:from>
    <xdr:to>
      <xdr:col>7</xdr:col>
      <xdr:colOff>857249</xdr:colOff>
      <xdr:row>381</xdr:row>
      <xdr:rowOff>27214</xdr:rowOff>
    </xdr:to>
    <xdr:graphicFrame macro="">
      <xdr:nvGraphicFramePr>
        <xdr:cNvPr id="127" name="Graphique 126">
          <a:extLst>
            <a:ext uri="{FF2B5EF4-FFF2-40B4-BE49-F238E27FC236}">
              <a16:creationId xmlns:a16="http://schemas.microsoft.com/office/drawing/2014/main" id="{00000000-0008-0000-2E00-00007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3220407-6199-4411-81EC-9706C9B63A31}" name="tab_transfert80" displayName="tab_transfert80" ref="A1:J181" totalsRowShown="0" headerRowDxfId="184" dataDxfId="183">
  <autoFilter ref="A1:J181" xr:uid="{A3220407-6199-4411-81EC-9706C9B63A31}"/>
  <tableColumns count="10">
    <tableColumn id="1" xr3:uid="{DBE75950-3ABD-4A1D-9011-6F9015F232BF}" name="Date/Heure" dataDxfId="182"/>
    <tableColumn id="2" xr3:uid="{C55189E6-EB7A-4F02-834F-ADD328F5A311}" name="Connecteur 1" dataDxfId="181"/>
    <tableColumn id="3" xr3:uid="{AADD39E2-C5B5-4662-BA30-1FC01B365A33}" name="Connecteur 2" dataDxfId="180"/>
    <tableColumn id="4" xr3:uid="{55D2ECF7-256E-43D6-ABE2-A34C1D38FD8B}" name="Connecteur 3" dataDxfId="179"/>
    <tableColumn id="5" xr3:uid="{4259CE7A-1E59-45E7-9429-5D38325EBE80}" name="Connecteur 4" dataDxfId="178"/>
    <tableColumn id="6" xr3:uid="{E1729946-1428-4D1E-8AFB-F56E6D9C3E06}" name="Connecteur 5" dataDxfId="177"/>
    <tableColumn id="7" xr3:uid="{22EB137D-2F68-4FE1-AE9D-17F3F12E0750}" name="Connecteur 6" dataDxfId="176"/>
    <tableColumn id="8" xr3:uid="{8B9A5FC0-4195-4BD8-8CC1-07D15523E90F}" name="Connecteur 7" dataDxfId="175"/>
    <tableColumn id="9" xr3:uid="{C2A42E8C-7D2F-421B-A94A-A0A14ACDD531}" name="Connecteur 8" dataDxfId="174"/>
    <tableColumn id="10" xr3:uid="{C4B56253-201C-4589-8B0B-C10719F1B09A}" name="Connecteur 9" dataDxfId="173"/>
  </tableColumns>
  <tableStyleInfo name="Style de tableau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B58C036-BE9F-45DD-89F6-7FFAE7261A52}" name="tab_transfert200" displayName="tab_transfert200" ref="A1:J98" totalsRowShown="0" headerRowDxfId="172" dataDxfId="171">
  <autoFilter ref="A1:J98" xr:uid="{7B58C036-BE9F-45DD-89F6-7FFAE7261A52}"/>
  <tableColumns count="10">
    <tableColumn id="1" xr3:uid="{15795ED4-7E87-4510-AEFE-F0B3FE88273C}" name="Date/Heure" dataDxfId="170"/>
    <tableColumn id="2" xr3:uid="{199D0401-3516-4DD3-A5BC-2448523826D1}" name="Connecteur 1" dataDxfId="169"/>
    <tableColumn id="3" xr3:uid="{FBBA962A-B1D9-48E4-A6C7-37DE165CB72D}" name="Connecteur 2" dataDxfId="168"/>
    <tableColumn id="4" xr3:uid="{36698CE3-1797-42AE-8637-1027FCE68C1A}" name="Connecteur 3" dataDxfId="167"/>
    <tableColumn id="5" xr3:uid="{C49670DB-2F39-4C20-92DB-8BA217F08381}" name="Connecteur 4" dataDxfId="166"/>
    <tableColumn id="6" xr3:uid="{07A77742-2E5F-475E-98E2-7261FBEC422F}" name="Connecteur 5" dataDxfId="165"/>
    <tableColumn id="7" xr3:uid="{53D69599-6677-4031-B112-D8B734960159}" name="Connecteur 6" dataDxfId="164"/>
    <tableColumn id="8" xr3:uid="{E7484F1D-635C-4532-B1E1-898BAFAC3FE6}" name="Connecteur 7" dataDxfId="163"/>
    <tableColumn id="9" xr3:uid="{5C273835-2721-4F07-A784-6B0F3DFDE661}" name="Connecteur 8" dataDxfId="162"/>
    <tableColumn id="10" xr3:uid="{90D15708-A48E-4326-BCC7-C6DA63B4B763}" name="Connecteur 9" dataDxfId="161"/>
  </tableColumns>
  <tableStyleInfo name="Style de tableau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535B93-49D5-4C0E-9722-3F012900CB12}" name="tab_transfert385" displayName="tab_transfert385" ref="A1:J61" totalsRowShown="0" headerRowDxfId="160" dataDxfId="159">
  <autoFilter ref="A1:J61" xr:uid="{AC535B93-49D5-4C0E-9722-3F012900CB12}"/>
  <tableColumns count="10">
    <tableColumn id="1" xr3:uid="{5BC26925-2B38-491F-AF44-61CA735710C4}" name="Date/Heure" dataDxfId="158"/>
    <tableColumn id="2" xr3:uid="{FC46513C-6376-44A5-890E-FB5B23A18B84}" name="Connecteur 1" dataDxfId="157"/>
    <tableColumn id="3" xr3:uid="{E9882541-6C92-48CF-BBC7-BB8247ED41B0}" name="Connecteur 2" dataDxfId="156"/>
    <tableColumn id="4" xr3:uid="{99ED9C46-0716-4B4B-BF48-44448B66E193}" name="Connecteur 3" dataDxfId="155"/>
    <tableColumn id="5" xr3:uid="{3785B769-5701-4A9A-A865-341BE198505D}" name="Connecteur 4" dataDxfId="154"/>
    <tableColumn id="6" xr3:uid="{DA59D146-9DB1-467E-B9D1-9E6D55D49F40}" name="Connecteur 5" dataDxfId="153"/>
    <tableColumn id="7" xr3:uid="{556C6545-1358-49CB-8B0F-45F46983EEEB}" name="Connecteur 6" dataDxfId="152"/>
    <tableColumn id="8" xr3:uid="{8C0AC3D9-ECE6-47EF-B270-1F97BBA3EBD9}" name="Connecteur 7" dataDxfId="151"/>
    <tableColumn id="9" xr3:uid="{C03CDE2E-7C8A-456B-AFBE-9A37784F1B3F}" name="Connecteur 8" dataDxfId="150"/>
    <tableColumn id="10" xr3:uid="{967ED64B-66B6-48F2-AA0A-7283094AA8E5}" name="Connecteur 9" dataDxfId="149"/>
  </tableColumns>
  <tableStyleInfo name="Style de tableau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B03FD33-37C9-440C-98B6-D9930D8E7785}" name="tab_transfert535" displayName="tab_transfert535" ref="A1:J46" totalsRowShown="0" headerRowDxfId="148" dataDxfId="147">
  <autoFilter ref="A1:J46" xr:uid="{0B03FD33-37C9-440C-98B6-D9930D8E7785}"/>
  <tableColumns count="10">
    <tableColumn id="1" xr3:uid="{02610730-F102-491A-8AA5-C83364B22E3F}" name="Date/Heure" dataDxfId="146"/>
    <tableColumn id="2" xr3:uid="{CADE2850-EDD1-4629-BFF9-DF3081FF980B}" name="Connecteur 1" dataDxfId="145"/>
    <tableColumn id="3" xr3:uid="{16CBF88E-ABF6-41AB-837C-AFDA5791D07D}" name="Connecteur 2" dataDxfId="144"/>
    <tableColumn id="4" xr3:uid="{9BF1A0F2-E85E-4539-ADB1-1D67D401844E}" name="Connecteur 3" dataDxfId="143"/>
    <tableColumn id="5" xr3:uid="{F7DF1D28-E04A-41CB-88F7-B2422BFAA719}" name="Connecteur 4" dataDxfId="142"/>
    <tableColumn id="6" xr3:uid="{78099FA6-73EA-4E8C-B270-77E5EF5CC531}" name="Connecteur 5" dataDxfId="141"/>
    <tableColumn id="7" xr3:uid="{3AED2108-0C09-4852-87C7-EC58FA856091}" name="Connecteur 6" dataDxfId="140"/>
    <tableColumn id="8" xr3:uid="{1610CFFF-D4E0-4DC6-B113-CC8D6B199E32}" name="Connecteur 7" dataDxfId="139"/>
    <tableColumn id="9" xr3:uid="{10030F88-C7B1-4A86-9248-380310E8ED75}" name="Connecteur 8" dataDxfId="138"/>
    <tableColumn id="10" xr3:uid="{9F3CD16B-A5BD-4789-8B18-A4B913D17EE2}" name="Connecteur 9" dataDxfId="137"/>
  </tableColumns>
  <tableStyleInfo name="Style de tableau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9CD2E1-AF7A-4C46-8E3C-ADBE233AE740}" name="tab_four80" displayName="tab_four80" ref="A1:E181" totalsRowShown="0" headerRowDxfId="136" dataDxfId="135">
  <autoFilter ref="A1:E181" xr:uid="{379CD2E1-AF7A-4C46-8E3C-ADBE233AE740}"/>
  <tableColumns count="5">
    <tableColumn id="1" xr3:uid="{9B884FF2-B992-49DC-9A46-4F8C53769A62}" name="Date/Heure" dataDxfId="134"/>
    <tableColumn id="2" xr3:uid="{1D504192-08F7-43DA-8A11-60D47A8A4CC9}" name="Pt Froid" dataDxfId="133"/>
    <tableColumn id="3" xr3:uid="{A410DC0A-6051-434D-9F5B-C203DF60BE17}" name="Regulation" dataDxfId="132"/>
    <tableColumn id="4" xr3:uid="{791EBD68-8612-4890-9FAD-4AE2064BF1C9}" name="Pt Chaud" dataDxfId="131"/>
    <tableColumn id="5" xr3:uid="{3DEE775C-E739-4CE1-A101-6A1312402D91}" name="Consigne T°" dataDxfId="130"/>
  </tableColumns>
  <tableStyleInfo name="Style de tableau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9EA353C-4D51-4794-8413-02ADDF49E149}" name="tab_four200" displayName="tab_four200" ref="A1:E98" totalsRowShown="0" dataDxfId="129">
  <autoFilter ref="A1:E98" xr:uid="{A9EA353C-4D51-4794-8413-02ADDF49E149}"/>
  <tableColumns count="5">
    <tableColumn id="1" xr3:uid="{7379CADE-2609-47E7-A72F-E373C2BC43A0}" name="Date/Heure" dataDxfId="128"/>
    <tableColumn id="2" xr3:uid="{EA0BDD49-5C4C-4E3D-9D1A-E9EEF7880B5C}" name="Pt Froid" dataDxfId="127"/>
    <tableColumn id="3" xr3:uid="{367A1310-12FF-4590-B743-B04BB328514B}" name="Regulation" dataDxfId="126"/>
    <tableColumn id="4" xr3:uid="{8BDBEF48-B23A-48FE-9A71-B50F7728C4D5}" name="Pt Chaud" dataDxfId="125"/>
    <tableColumn id="5" xr3:uid="{55BC97C4-9E8C-4EDB-BD89-69FF260BF102}" name="Consigne T°" dataDxfId="124"/>
  </tableColumns>
  <tableStyleInfo name="Style de tableau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8D3FEF1-285E-4CEE-BFA9-1B473E0DA3BF}" name="tab_four385" displayName="tab_four385" ref="A1:E61" totalsRowShown="0" dataDxfId="123">
  <autoFilter ref="A1:E61" xr:uid="{D8D3FEF1-285E-4CEE-BFA9-1B473E0DA3BF}"/>
  <tableColumns count="5">
    <tableColumn id="1" xr3:uid="{E74DC693-A4DF-4531-A8AD-64477626BA48}" name="Date/Heure" dataDxfId="122"/>
    <tableColumn id="2" xr3:uid="{40E02439-7B43-4BDE-B79C-986D2B5E73EA}" name="Pt Froid" dataDxfId="121"/>
    <tableColumn id="3" xr3:uid="{1EEF40A1-882D-4642-89B0-A6CFDBBC02C3}" name="Regulation" dataDxfId="120"/>
    <tableColumn id="4" xr3:uid="{E825D205-23AD-42A0-9F41-2939BD7D4F9B}" name="Pt Chaud" dataDxfId="119"/>
    <tableColumn id="5" xr3:uid="{74DF8E94-3A8F-4556-A1EB-1D1F23F58804}" name="Consigne T°" dataDxfId="118"/>
  </tableColumns>
  <tableStyleInfo name="Style de tableau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0FBF2F2-4DCC-4307-AF98-C9FE32FE96DB}" name="tab_four535" displayName="tab_four535" ref="A1:E46" totalsRowShown="0" dataDxfId="117">
  <autoFilter ref="A1:E46" xr:uid="{A0FBF2F2-4DCC-4307-AF98-C9FE32FE96DB}"/>
  <tableColumns count="5">
    <tableColumn id="1" xr3:uid="{D6F16877-04D9-4ABB-B134-2DE51D9B78FE}" name="Date/Heure" dataDxfId="116"/>
    <tableColumn id="2" xr3:uid="{D2566580-8B2F-4A0D-82CF-0C969AB1CBFB}" name="Pt Froid" dataDxfId="115"/>
    <tableColumn id="3" xr3:uid="{8CC81B64-B87F-4904-B484-27EE57536636}" name="Regulation" dataDxfId="114"/>
    <tableColumn id="4" xr3:uid="{A1C20226-B6E7-4C33-A8D1-4C78DC057BA4}" name="Pt Chaud" dataDxfId="113"/>
    <tableColumn id="5" xr3:uid="{044D41DC-25B1-4089-9A83-A965718F2C35}" name="Consigne T°" dataDxfId="112"/>
  </tableColumns>
  <tableStyleInfo name="Style de tableau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BCBAA3-802A-4FF5-B84A-5D68E9F20235}" name="Valeurs_Brutes_Ressuage_BCH" displayName="Valeurs_Brutes_Ressuage_BCH" ref="A1:K2" totalsRowShown="0">
  <autoFilter ref="A1:K2" xr:uid="{498CA035-7182-4959-95BD-969D4A12EFC9}"/>
  <tableColumns count="11">
    <tableColumn id="1" xr3:uid="{8ED4DD6E-1382-4B8A-88A5-3AC79DB516FD}" name="Date/Heure" dataDxfId="76"/>
    <tableColumn id="2" xr3:uid="{CA447312-E802-4682-A86B-C621C3C33999}" name="Connecteur 1"/>
    <tableColumn id="3" xr3:uid="{4E42D113-CCED-4AB5-8642-E73C51B694F6}" name="Connecteur 2"/>
    <tableColumn id="4" xr3:uid="{44A5C675-1C4F-413B-A01E-5092DD5608A3}" name="Connecteur 3"/>
    <tableColumn id="5" xr3:uid="{E3CCEFC6-7001-4B58-AB04-4D793E1D0D57}" name="Connecteur 4"/>
    <tableColumn id="6" xr3:uid="{69D6A8C8-F9C6-4AFA-A96F-5A06DA91CB19}" name="Connecteur 5"/>
    <tableColumn id="7" xr3:uid="{C9AE996B-62B6-459A-8CBA-0B10E944A048}" name="Connecteur 6"/>
    <tableColumn id="8" xr3:uid="{75B067C2-06C1-4BAF-94B1-4CB8DC5B4CCD}" name="Connecteur 7"/>
    <tableColumn id="9" xr3:uid="{D0A041EB-0001-4AD8-94C0-F944068E9D48}" name="Connecteur 8"/>
    <tableColumn id="10" xr3:uid="{EA3933FD-BAC9-43B4-8E9F-C83FE7670F1A}" name="Connecteur 9"/>
    <tableColumn id="11" xr3:uid="{2DE43887-5704-47BB-B4DC-CA3CF2C3AD14}" name="Connecteur 10"/>
  </tableColumns>
  <tableStyleInfo name="TableStyleLight2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_Congel" displayName="Valeurs_Brutes_Congel" ref="A1:M2" totalsRowShown="0">
  <autoFilter ref="A1:M2" xr:uid="{498CA035-7182-4959-95BD-969D4A12EFC9}"/>
  <tableColumns count="13">
    <tableColumn id="1" xr3:uid="{BEDCB300-CA5E-4C62-94EB-0D242B95DD11}" name="Date/Heure" dataDxfId="67"/>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069B02A3-7B26-4A49-99AD-B0D3E6B4E2EA}" name="Connecteur 12"/>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EB5F18-FC61-4025-9A0A-6CF5E42B725D}" name="Valeurs_Brutes_Sechoir" displayName="Valeurs_Brutes_Sechoir" ref="A1:J2" totalsRowShown="0">
  <autoFilter ref="A1:J2" xr:uid="{498CA035-7182-4959-95BD-969D4A12EFC9}"/>
  <tableColumns count="10">
    <tableColumn id="1" xr3:uid="{E6BF5BD2-7528-4E1D-A6CD-439C0C43C0C9}" name="Date/Heure" dataDxfId="54"/>
    <tableColumn id="2" xr3:uid="{68579C5D-0250-4B60-A903-E91A87848FAE}" name="Connecteur 1"/>
    <tableColumn id="3" xr3:uid="{9A112675-E9BF-4CCC-9BFC-D8D5F4884A8E}" name="Connecteur 2"/>
    <tableColumn id="4" xr3:uid="{D5247585-3722-4759-B4C9-B6730E68CC7A}" name="Connecteur 3"/>
    <tableColumn id="5" xr3:uid="{92396A06-F3C2-4C84-8314-AE4EFB5D4875}" name="Connecteur 4"/>
    <tableColumn id="6" xr3:uid="{CA40BDC1-1D99-40A5-88F7-02BD2F542283}" name="Connecteur 5"/>
    <tableColumn id="7" xr3:uid="{EB6FE920-051D-4410-BDCC-AED638C1F2C5}" name="Connecteur 6" dataDxfId="53"/>
    <tableColumn id="8" xr3:uid="{D0E28A32-95DA-4050-AC7F-DF56082C1062}" name="Connecteur 7" dataDxfId="52"/>
    <tableColumn id="9" xr3:uid="{A5310FC2-C94B-4610-B3D3-B72F7C40F80F}" name="Connecteur 8" dataDxfId="51"/>
    <tableColumn id="10" xr3:uid="{5493D449-287B-46FD-90AB-57C33BC1800D}" name="Connecteur 9" dataDxfId="50"/>
  </tableColumns>
  <tableStyleInfo name="TableStyleLight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Omia_1" displayName="Donnees_Brutes_Omia_1" ref="A1:N2" totalsRowShown="0">
  <autoFilter ref="A1:N2" xr:uid="{27D7AB2A-377A-4694-B640-5BFB20628674}"/>
  <tableColumns count="14">
    <tableColumn id="1" xr3:uid="{1B71FC6E-3980-4564-8EC5-8A2177918CDB}" name="Date/Heure" dataDxfId="39"/>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Omia_2" displayName="Donnees_Brutes_Omia_2" ref="A1:N2" totalsRowShown="0">
  <autoFilter ref="A1:N2" xr:uid="{4008C00C-4BB2-42FF-B52A-E4A96847A064}"/>
  <tableColumns count="14">
    <tableColumn id="1" xr3:uid="{3C41F4AA-2A10-45EA-B374-E900ABC319CF}" name="Date/Heure" dataDxfId="38"/>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Omia_3" displayName="Donnees_Brutes_Omia_3" ref="A1:N2" totalsRowShown="0">
  <autoFilter ref="A1:N2" xr:uid="{EF136C64-1725-4A4F-AFA9-3862DE1296FE}"/>
  <tableColumns count="14">
    <tableColumn id="1" xr3:uid="{F5A4BCD4-5801-4020-BA7C-F41EF56A0A3C}" name="Date/Heure" dataDxfId="37"/>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Dover_1" displayName="Valeurs_Brutes_Dover_1" ref="A1:J2" totalsRowShown="0">
  <autoFilter ref="A1:J2" xr:uid="{2265C0E1-B151-4A6E-9E58-EE84DFBE1CB8}"/>
  <tableColumns count="10">
    <tableColumn id="1" xr3:uid="{B65FC96D-E245-40BE-8AE7-8CCD46AB8848}" name="Date/Heure" dataDxfId="21"/>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Dover_2" displayName="Valeurs_Brutes_Dover_2" ref="A1:J2" totalsRowShown="0">
  <autoFilter ref="A1:J2" xr:uid="{FF113EDF-5B5E-42D7-81D4-64038EF6DED3}"/>
  <tableColumns count="10">
    <tableColumn id="1" xr3:uid="{653A7D54-EDA0-433A-A013-1E88A1B2E5BB}" name="Date/Heure" dataDxfId="20"/>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Dover_3" displayName="Valeurs_Brutes_Dover_3" ref="A1:J2" totalsRowShown="0">
  <autoFilter ref="A1:J2" xr:uid="{DE9C16EE-7F2E-41C6-B287-550CC4E38FB8}"/>
  <tableColumns count="10">
    <tableColumn id="1" xr3:uid="{8405F853-CC0E-42AC-B2A1-E0FF833DDCC1}" name="Date/Heure" dataDxfId="19"/>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1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1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2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7.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8.bin"/></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O195"/>
  <sheetViews>
    <sheetView workbookViewId="0">
      <selection activeCell="L22" sqref="L22"/>
    </sheetView>
  </sheetViews>
  <sheetFormatPr baseColWidth="10" defaultRowHeight="15" x14ac:dyDescent="0.25"/>
  <sheetData>
    <row r="1" spans="1:15" x14ac:dyDescent="0.25">
      <c r="A1" s="23">
        <v>45072.627083333333</v>
      </c>
      <c r="C1">
        <v>31.23</v>
      </c>
      <c r="D1">
        <v>31.02</v>
      </c>
      <c r="E1">
        <v>31.04</v>
      </c>
      <c r="F1">
        <v>31.23</v>
      </c>
      <c r="G1">
        <v>31.3</v>
      </c>
      <c r="H1">
        <v>31.29</v>
      </c>
      <c r="I1">
        <v>31.27</v>
      </c>
      <c r="J1">
        <v>31.19</v>
      </c>
      <c r="K1">
        <v>30.85</v>
      </c>
      <c r="L1">
        <v>31.26</v>
      </c>
      <c r="M1">
        <v>30.95</v>
      </c>
      <c r="N1">
        <v>31.01</v>
      </c>
      <c r="O1">
        <v>31.28</v>
      </c>
    </row>
    <row r="2" spans="1:15" x14ac:dyDescent="0.25">
      <c r="A2" s="23">
        <v>45072.62777777778</v>
      </c>
      <c r="C2">
        <v>31.26</v>
      </c>
      <c r="D2">
        <v>31.05</v>
      </c>
      <c r="E2">
        <v>31.05</v>
      </c>
      <c r="F2">
        <v>31.23</v>
      </c>
      <c r="G2">
        <v>31.29</v>
      </c>
      <c r="H2">
        <v>31.37</v>
      </c>
      <c r="I2">
        <v>31.34</v>
      </c>
      <c r="J2">
        <v>31.19</v>
      </c>
      <c r="K2">
        <v>30.88</v>
      </c>
      <c r="L2">
        <v>31.31</v>
      </c>
      <c r="M2">
        <v>30.86</v>
      </c>
      <c r="N2">
        <v>31.1</v>
      </c>
      <c r="O2">
        <v>31.38</v>
      </c>
    </row>
    <row r="3" spans="1:15" x14ac:dyDescent="0.25">
      <c r="A3" s="23">
        <v>45072.628472222219</v>
      </c>
      <c r="C3">
        <v>33.049999999999997</v>
      </c>
      <c r="D3">
        <v>33.049999999999997</v>
      </c>
      <c r="E3">
        <v>32.590000000000003</v>
      </c>
      <c r="F3">
        <v>32.75</v>
      </c>
      <c r="G3">
        <v>32.96</v>
      </c>
      <c r="H3">
        <v>33.28</v>
      </c>
      <c r="I3">
        <v>32.61</v>
      </c>
      <c r="J3">
        <v>32.78</v>
      </c>
      <c r="K3">
        <v>32.880000000000003</v>
      </c>
      <c r="L3">
        <v>32.979999999999997</v>
      </c>
      <c r="M3">
        <v>32.950000000000003</v>
      </c>
      <c r="N3">
        <v>33.22</v>
      </c>
      <c r="O3">
        <v>33.090000000000003</v>
      </c>
    </row>
    <row r="4" spans="1:15" x14ac:dyDescent="0.25">
      <c r="A4" s="23">
        <v>45072.629166666666</v>
      </c>
      <c r="C4">
        <v>33.520000000000003</v>
      </c>
      <c r="D4">
        <v>33.479999999999997</v>
      </c>
      <c r="E4">
        <v>33</v>
      </c>
      <c r="F4">
        <v>33.17</v>
      </c>
      <c r="G4">
        <v>33.42</v>
      </c>
      <c r="H4">
        <v>33.65</v>
      </c>
      <c r="I4">
        <v>33.119999999999997</v>
      </c>
      <c r="J4">
        <v>33.29</v>
      </c>
      <c r="K4">
        <v>33.26</v>
      </c>
      <c r="L4">
        <v>33.46</v>
      </c>
      <c r="M4">
        <v>33.450000000000003</v>
      </c>
      <c r="N4">
        <v>33.549999999999997</v>
      </c>
      <c r="O4">
        <v>33.42</v>
      </c>
    </row>
    <row r="5" spans="1:15" x14ac:dyDescent="0.25">
      <c r="A5" s="23">
        <v>45072.629861111112</v>
      </c>
      <c r="C5">
        <v>47.21</v>
      </c>
      <c r="D5">
        <v>45.04</v>
      </c>
      <c r="E5">
        <v>38.6</v>
      </c>
      <c r="F5">
        <v>40.090000000000003</v>
      </c>
      <c r="G5">
        <v>42.33</v>
      </c>
      <c r="H5">
        <v>50.09</v>
      </c>
      <c r="I5">
        <v>44.12</v>
      </c>
      <c r="J5">
        <v>43.58</v>
      </c>
      <c r="K5">
        <v>43.53</v>
      </c>
      <c r="L5">
        <v>45.17</v>
      </c>
      <c r="M5">
        <v>44.9</v>
      </c>
      <c r="N5">
        <v>48.69</v>
      </c>
      <c r="O5">
        <v>47.65</v>
      </c>
    </row>
    <row r="6" spans="1:15" x14ac:dyDescent="0.25">
      <c r="A6" s="23">
        <v>45072.630555555559</v>
      </c>
      <c r="C6">
        <v>59.98</v>
      </c>
      <c r="D6">
        <v>58.89</v>
      </c>
      <c r="E6">
        <v>57.49</v>
      </c>
      <c r="F6">
        <v>54.92</v>
      </c>
      <c r="G6">
        <v>57.71</v>
      </c>
      <c r="H6">
        <v>61.97</v>
      </c>
      <c r="I6">
        <v>56.72</v>
      </c>
      <c r="J6">
        <v>59.32</v>
      </c>
      <c r="K6">
        <v>59.27</v>
      </c>
      <c r="L6">
        <v>59.29</v>
      </c>
      <c r="M6">
        <v>58.32</v>
      </c>
      <c r="N6">
        <v>59.71</v>
      </c>
      <c r="O6">
        <v>59.71</v>
      </c>
    </row>
    <row r="7" spans="1:15" x14ac:dyDescent="0.25">
      <c r="A7" s="23">
        <v>45072.631249999999</v>
      </c>
      <c r="C7">
        <v>60.47</v>
      </c>
      <c r="D7">
        <v>59.21</v>
      </c>
      <c r="E7">
        <v>57.35</v>
      </c>
      <c r="F7">
        <v>57.3</v>
      </c>
      <c r="G7">
        <v>58.68</v>
      </c>
      <c r="H7">
        <v>61.1</v>
      </c>
      <c r="I7">
        <v>57.32</v>
      </c>
      <c r="J7">
        <v>59.69</v>
      </c>
      <c r="K7">
        <v>58.64</v>
      </c>
      <c r="L7">
        <v>60.26</v>
      </c>
      <c r="M7">
        <v>59.23</v>
      </c>
      <c r="N7">
        <v>59.97</v>
      </c>
      <c r="O7">
        <v>59.84</v>
      </c>
    </row>
    <row r="8" spans="1:15" x14ac:dyDescent="0.25">
      <c r="A8" s="23">
        <v>45072.631944444445</v>
      </c>
      <c r="C8">
        <v>60.59</v>
      </c>
      <c r="D8">
        <v>59.64</v>
      </c>
      <c r="E8">
        <v>57.58</v>
      </c>
      <c r="F8">
        <v>58.06</v>
      </c>
      <c r="G8">
        <v>58.12</v>
      </c>
      <c r="H8">
        <v>61.08</v>
      </c>
      <c r="I8">
        <v>57.76</v>
      </c>
      <c r="J8">
        <v>60.18</v>
      </c>
      <c r="K8">
        <v>58.67</v>
      </c>
      <c r="L8">
        <v>60.45</v>
      </c>
      <c r="M8">
        <v>59.73</v>
      </c>
      <c r="N8">
        <v>60.07</v>
      </c>
      <c r="O8">
        <v>60.07</v>
      </c>
    </row>
    <row r="9" spans="1:15" x14ac:dyDescent="0.25">
      <c r="A9" s="23">
        <v>45072.632638888892</v>
      </c>
      <c r="C9">
        <v>59.82</v>
      </c>
      <c r="D9">
        <v>59.18</v>
      </c>
      <c r="E9">
        <v>57.42</v>
      </c>
      <c r="F9">
        <v>57.8</v>
      </c>
      <c r="G9">
        <v>58.13</v>
      </c>
      <c r="H9">
        <v>60.15</v>
      </c>
      <c r="I9">
        <v>57.43</v>
      </c>
      <c r="J9">
        <v>59.3</v>
      </c>
      <c r="K9">
        <v>57.78</v>
      </c>
      <c r="L9">
        <v>59.8</v>
      </c>
      <c r="M9">
        <v>58.91</v>
      </c>
      <c r="N9">
        <v>59.12</v>
      </c>
      <c r="O9">
        <v>59.35</v>
      </c>
    </row>
    <row r="10" spans="1:15" x14ac:dyDescent="0.25">
      <c r="A10" s="23">
        <v>45072.633333333331</v>
      </c>
      <c r="C10">
        <v>59.8</v>
      </c>
      <c r="D10">
        <v>59.26</v>
      </c>
      <c r="E10">
        <v>57.04</v>
      </c>
      <c r="F10">
        <v>57.81</v>
      </c>
      <c r="G10">
        <v>58.35</v>
      </c>
      <c r="H10">
        <v>60.09</v>
      </c>
      <c r="I10">
        <v>57.11</v>
      </c>
      <c r="J10">
        <v>59.24</v>
      </c>
      <c r="K10">
        <v>58.33</v>
      </c>
      <c r="L10">
        <v>59.71</v>
      </c>
      <c r="M10">
        <v>59.1</v>
      </c>
      <c r="N10">
        <v>59.09</v>
      </c>
      <c r="O10">
        <v>59.33</v>
      </c>
    </row>
    <row r="11" spans="1:15" x14ac:dyDescent="0.25">
      <c r="A11" s="23">
        <v>45072.634027777778</v>
      </c>
      <c r="C11">
        <v>59.61</v>
      </c>
      <c r="D11">
        <v>59.18</v>
      </c>
      <c r="E11">
        <v>57.48</v>
      </c>
      <c r="F11">
        <v>55.9</v>
      </c>
      <c r="G11">
        <v>57.75</v>
      </c>
      <c r="H11">
        <v>59.89</v>
      </c>
      <c r="I11">
        <v>57.15</v>
      </c>
      <c r="J11">
        <v>58.89</v>
      </c>
      <c r="K11">
        <v>57.98</v>
      </c>
      <c r="L11">
        <v>59.55</v>
      </c>
      <c r="M11">
        <v>58.99</v>
      </c>
      <c r="N11">
        <v>59.13</v>
      </c>
      <c r="O11">
        <v>59.14</v>
      </c>
    </row>
    <row r="12" spans="1:15" x14ac:dyDescent="0.25">
      <c r="A12" s="23">
        <v>45072.634722222225</v>
      </c>
      <c r="C12">
        <v>59.62</v>
      </c>
      <c r="D12">
        <v>59.13</v>
      </c>
      <c r="E12">
        <v>57.13</v>
      </c>
      <c r="F12">
        <v>57.62</v>
      </c>
      <c r="G12">
        <v>58.62</v>
      </c>
      <c r="H12">
        <v>59.97</v>
      </c>
      <c r="I12">
        <v>57.16</v>
      </c>
      <c r="J12">
        <v>59.16</v>
      </c>
      <c r="K12">
        <v>57.51</v>
      </c>
      <c r="L12">
        <v>59.58</v>
      </c>
      <c r="M12">
        <v>59.01</v>
      </c>
      <c r="N12">
        <v>59.16</v>
      </c>
      <c r="O12">
        <v>59.25</v>
      </c>
    </row>
    <row r="13" spans="1:15" x14ac:dyDescent="0.25">
      <c r="A13" s="23">
        <v>45072.635416666664</v>
      </c>
      <c r="C13">
        <v>59.51</v>
      </c>
      <c r="D13">
        <v>58.92</v>
      </c>
      <c r="E13">
        <v>56.62</v>
      </c>
      <c r="F13">
        <v>57.44</v>
      </c>
      <c r="G13">
        <v>58.54</v>
      </c>
      <c r="H13">
        <v>59.78</v>
      </c>
      <c r="I13">
        <v>57.04</v>
      </c>
      <c r="J13">
        <v>58.92</v>
      </c>
      <c r="K13">
        <v>57.16</v>
      </c>
      <c r="L13">
        <v>59.41</v>
      </c>
      <c r="M13">
        <v>58.81</v>
      </c>
      <c r="N13">
        <v>59.04</v>
      </c>
      <c r="O13">
        <v>59.11</v>
      </c>
    </row>
    <row r="14" spans="1:15" x14ac:dyDescent="0.25">
      <c r="A14" s="23">
        <v>45072.636111111111</v>
      </c>
      <c r="C14">
        <v>59.63</v>
      </c>
      <c r="D14">
        <v>59.16</v>
      </c>
      <c r="E14">
        <v>57.13</v>
      </c>
      <c r="F14">
        <v>56.96</v>
      </c>
      <c r="G14">
        <v>58.27</v>
      </c>
      <c r="H14">
        <v>59.86</v>
      </c>
      <c r="I14">
        <v>57.3</v>
      </c>
      <c r="J14">
        <v>59.19</v>
      </c>
      <c r="K14">
        <v>58.18</v>
      </c>
      <c r="L14">
        <v>59.5</v>
      </c>
      <c r="M14">
        <v>58.77</v>
      </c>
      <c r="N14">
        <v>58.81</v>
      </c>
      <c r="O14">
        <v>59.03</v>
      </c>
    </row>
    <row r="15" spans="1:15" x14ac:dyDescent="0.25">
      <c r="A15" s="23">
        <v>45072.636805555558</v>
      </c>
      <c r="C15">
        <v>59.81</v>
      </c>
      <c r="D15">
        <v>59.36</v>
      </c>
      <c r="E15">
        <v>57.06</v>
      </c>
      <c r="F15">
        <v>58.19</v>
      </c>
      <c r="G15">
        <v>58.75</v>
      </c>
      <c r="H15">
        <v>60.12</v>
      </c>
      <c r="I15">
        <v>57.51</v>
      </c>
      <c r="J15">
        <v>59.32</v>
      </c>
      <c r="K15">
        <v>57.32</v>
      </c>
      <c r="L15">
        <v>59.69</v>
      </c>
      <c r="M15">
        <v>59.19</v>
      </c>
      <c r="N15">
        <v>59.21</v>
      </c>
      <c r="O15">
        <v>59.31</v>
      </c>
    </row>
    <row r="16" spans="1:15" x14ac:dyDescent="0.25">
      <c r="A16" s="23">
        <v>45072.637499999997</v>
      </c>
      <c r="C16">
        <v>59.75</v>
      </c>
      <c r="D16">
        <v>59.24</v>
      </c>
      <c r="E16">
        <v>57.33</v>
      </c>
      <c r="F16">
        <v>57.42</v>
      </c>
      <c r="G16">
        <v>58.65</v>
      </c>
      <c r="H16">
        <v>59.97</v>
      </c>
      <c r="I16">
        <v>57.59</v>
      </c>
      <c r="J16">
        <v>59.25</v>
      </c>
      <c r="K16">
        <v>57.68</v>
      </c>
      <c r="L16">
        <v>59.63</v>
      </c>
      <c r="M16">
        <v>59.02</v>
      </c>
      <c r="N16">
        <v>59.21</v>
      </c>
      <c r="O16">
        <v>59.33</v>
      </c>
    </row>
    <row r="17" spans="1:15" x14ac:dyDescent="0.25">
      <c r="A17" s="23">
        <v>45072.638194444444</v>
      </c>
      <c r="C17">
        <v>59.6</v>
      </c>
      <c r="D17">
        <v>59.29</v>
      </c>
      <c r="E17">
        <v>57.33</v>
      </c>
      <c r="F17">
        <v>57.62</v>
      </c>
      <c r="G17">
        <v>58.44</v>
      </c>
      <c r="H17">
        <v>59.81</v>
      </c>
      <c r="I17">
        <v>57.69</v>
      </c>
      <c r="J17">
        <v>59.03</v>
      </c>
      <c r="K17">
        <v>57.98</v>
      </c>
      <c r="L17">
        <v>59.51</v>
      </c>
      <c r="M17">
        <v>59.18</v>
      </c>
      <c r="N17">
        <v>59.1</v>
      </c>
      <c r="O17">
        <v>59.21</v>
      </c>
    </row>
    <row r="18" spans="1:15" x14ac:dyDescent="0.25">
      <c r="A18" s="23">
        <v>45072.638888888891</v>
      </c>
      <c r="C18">
        <v>59.73</v>
      </c>
      <c r="D18">
        <v>59.35</v>
      </c>
      <c r="E18">
        <v>56.89</v>
      </c>
      <c r="F18">
        <v>57.7</v>
      </c>
      <c r="G18">
        <v>58.68</v>
      </c>
      <c r="H18">
        <v>59.86</v>
      </c>
      <c r="I18">
        <v>57.54</v>
      </c>
      <c r="J18">
        <v>59.16</v>
      </c>
      <c r="K18">
        <v>57.72</v>
      </c>
      <c r="L18">
        <v>59.53</v>
      </c>
      <c r="M18">
        <v>59.01</v>
      </c>
      <c r="N18">
        <v>59.2</v>
      </c>
      <c r="O18">
        <v>59.13</v>
      </c>
    </row>
    <row r="19" spans="1:15" x14ac:dyDescent="0.25">
      <c r="A19" s="23">
        <v>45072.63958333333</v>
      </c>
      <c r="C19">
        <v>59.76</v>
      </c>
      <c r="D19">
        <v>59.33</v>
      </c>
      <c r="E19">
        <v>57.16</v>
      </c>
      <c r="F19">
        <v>57.44</v>
      </c>
      <c r="G19">
        <v>58.64</v>
      </c>
      <c r="H19">
        <v>59.97</v>
      </c>
      <c r="I19">
        <v>57.89</v>
      </c>
      <c r="J19">
        <v>59.23</v>
      </c>
      <c r="K19">
        <v>58.47</v>
      </c>
      <c r="L19">
        <v>59.61</v>
      </c>
      <c r="M19">
        <v>59.14</v>
      </c>
      <c r="N19">
        <v>59.21</v>
      </c>
      <c r="O19">
        <v>59.39</v>
      </c>
    </row>
    <row r="20" spans="1:15" x14ac:dyDescent="0.25">
      <c r="A20" s="23">
        <v>45072.640277777777</v>
      </c>
      <c r="C20">
        <v>59.86</v>
      </c>
      <c r="D20">
        <v>59.55</v>
      </c>
      <c r="E20">
        <v>57.29</v>
      </c>
      <c r="F20">
        <v>57.6</v>
      </c>
      <c r="G20">
        <v>58.73</v>
      </c>
      <c r="H20">
        <v>60.09</v>
      </c>
      <c r="I20">
        <v>57.98</v>
      </c>
      <c r="J20">
        <v>59.29</v>
      </c>
      <c r="K20">
        <v>58.04</v>
      </c>
      <c r="L20">
        <v>59.8</v>
      </c>
      <c r="M20">
        <v>59.19</v>
      </c>
      <c r="N20">
        <v>59.49</v>
      </c>
      <c r="O20">
        <v>59.43</v>
      </c>
    </row>
    <row r="21" spans="1:15" x14ac:dyDescent="0.25">
      <c r="A21" s="23">
        <v>45072.640972222223</v>
      </c>
      <c r="C21">
        <v>60.03</v>
      </c>
      <c r="D21">
        <v>59.71</v>
      </c>
      <c r="E21">
        <v>57.46</v>
      </c>
      <c r="F21">
        <v>57.88</v>
      </c>
      <c r="G21">
        <v>59.32</v>
      </c>
      <c r="H21">
        <v>60.25</v>
      </c>
      <c r="I21">
        <v>58.33</v>
      </c>
      <c r="J21">
        <v>59.36</v>
      </c>
      <c r="K21">
        <v>58.49</v>
      </c>
      <c r="L21">
        <v>59.92</v>
      </c>
      <c r="M21">
        <v>59.53</v>
      </c>
      <c r="N21">
        <v>59.57</v>
      </c>
      <c r="O21">
        <v>59.59</v>
      </c>
    </row>
    <row r="22" spans="1:15" x14ac:dyDescent="0.25">
      <c r="A22" s="23">
        <v>45072.64166666667</v>
      </c>
      <c r="C22">
        <v>60.18</v>
      </c>
      <c r="D22">
        <v>59.67</v>
      </c>
      <c r="E22">
        <v>58.26</v>
      </c>
      <c r="F22">
        <v>58.23</v>
      </c>
      <c r="G22">
        <v>59.06</v>
      </c>
      <c r="H22">
        <v>60.43</v>
      </c>
      <c r="I22">
        <v>58.48</v>
      </c>
      <c r="J22">
        <v>59.61</v>
      </c>
      <c r="K22">
        <v>58.85</v>
      </c>
      <c r="L22">
        <v>60.15</v>
      </c>
      <c r="M22">
        <v>59.6</v>
      </c>
      <c r="N22">
        <v>59.72</v>
      </c>
      <c r="O22">
        <v>59.82</v>
      </c>
    </row>
    <row r="23" spans="1:15" x14ac:dyDescent="0.25">
      <c r="A23" s="23">
        <v>45072.642361111109</v>
      </c>
      <c r="C23">
        <v>60.45</v>
      </c>
      <c r="D23">
        <v>60.06</v>
      </c>
      <c r="E23">
        <v>58.08</v>
      </c>
      <c r="F23">
        <v>57.86</v>
      </c>
      <c r="G23">
        <v>59.29</v>
      </c>
      <c r="H23">
        <v>60.61</v>
      </c>
      <c r="I23">
        <v>58.51</v>
      </c>
      <c r="J23">
        <v>59.63</v>
      </c>
      <c r="K23">
        <v>59.37</v>
      </c>
      <c r="L23">
        <v>60.3</v>
      </c>
      <c r="M23">
        <v>59.97</v>
      </c>
      <c r="N23">
        <v>60.12</v>
      </c>
      <c r="O23">
        <v>60.04</v>
      </c>
    </row>
    <row r="24" spans="1:15" x14ac:dyDescent="0.25">
      <c r="A24" s="23">
        <v>45072.643055555556</v>
      </c>
      <c r="C24">
        <v>60.62</v>
      </c>
      <c r="D24">
        <v>60.33</v>
      </c>
      <c r="E24">
        <v>58.06</v>
      </c>
      <c r="F24">
        <v>58.71</v>
      </c>
      <c r="G24">
        <v>59.62</v>
      </c>
      <c r="H24">
        <v>60.88</v>
      </c>
      <c r="I24">
        <v>58.86</v>
      </c>
      <c r="J24">
        <v>60.01</v>
      </c>
      <c r="K24">
        <v>58.83</v>
      </c>
      <c r="L24">
        <v>60.62</v>
      </c>
      <c r="M24">
        <v>60.17</v>
      </c>
      <c r="N24">
        <v>60.3</v>
      </c>
      <c r="O24">
        <v>60.33</v>
      </c>
    </row>
    <row r="25" spans="1:15" x14ac:dyDescent="0.25">
      <c r="A25" s="23">
        <v>45072.643750000003</v>
      </c>
      <c r="C25">
        <v>60.75</v>
      </c>
      <c r="D25">
        <v>60.52</v>
      </c>
      <c r="E25">
        <v>58.27</v>
      </c>
      <c r="F25">
        <v>59.09</v>
      </c>
      <c r="G25">
        <v>60.21</v>
      </c>
      <c r="H25">
        <v>61.08</v>
      </c>
      <c r="I25">
        <v>58.81</v>
      </c>
      <c r="J25">
        <v>60.3</v>
      </c>
      <c r="K25">
        <v>58.56</v>
      </c>
      <c r="L25">
        <v>60.78</v>
      </c>
      <c r="M25">
        <v>60.35</v>
      </c>
      <c r="N25">
        <v>60.42</v>
      </c>
      <c r="O25">
        <v>60.43</v>
      </c>
    </row>
    <row r="26" spans="1:15" x14ac:dyDescent="0.25">
      <c r="A26" s="23">
        <v>45072.644444444442</v>
      </c>
      <c r="C26">
        <v>61.1</v>
      </c>
      <c r="D26">
        <v>60.85</v>
      </c>
      <c r="E26">
        <v>58.97</v>
      </c>
      <c r="F26">
        <v>59.49</v>
      </c>
      <c r="G26">
        <v>60.38</v>
      </c>
      <c r="H26">
        <v>61.24</v>
      </c>
      <c r="I26">
        <v>59.32</v>
      </c>
      <c r="J26">
        <v>60.61</v>
      </c>
      <c r="K26">
        <v>59.61</v>
      </c>
      <c r="L26">
        <v>61.03</v>
      </c>
      <c r="M26">
        <v>60.74</v>
      </c>
      <c r="N26">
        <v>60.62</v>
      </c>
      <c r="O26">
        <v>60.66</v>
      </c>
    </row>
    <row r="27" spans="1:15" x14ac:dyDescent="0.25">
      <c r="A27" s="23">
        <v>45072.645138888889</v>
      </c>
      <c r="C27">
        <v>61.33</v>
      </c>
      <c r="D27">
        <v>60.97</v>
      </c>
      <c r="E27">
        <v>58.87</v>
      </c>
      <c r="F27">
        <v>59.36</v>
      </c>
      <c r="G27">
        <v>60.52</v>
      </c>
      <c r="H27">
        <v>61.53</v>
      </c>
      <c r="I27">
        <v>59.36</v>
      </c>
      <c r="J27">
        <v>60.73</v>
      </c>
      <c r="K27">
        <v>59.83</v>
      </c>
      <c r="L27">
        <v>61.18</v>
      </c>
      <c r="M27">
        <v>60.91</v>
      </c>
      <c r="N27">
        <v>60.76</v>
      </c>
      <c r="O27">
        <v>61.07</v>
      </c>
    </row>
    <row r="28" spans="1:15" x14ac:dyDescent="0.25">
      <c r="A28" s="23">
        <v>45072.645833333336</v>
      </c>
      <c r="C28">
        <v>61.63</v>
      </c>
      <c r="D28">
        <v>61.14</v>
      </c>
      <c r="E28">
        <v>59.35</v>
      </c>
      <c r="F28">
        <v>60.16</v>
      </c>
      <c r="G28">
        <v>60.57</v>
      </c>
      <c r="H28">
        <v>61.77</v>
      </c>
      <c r="I28">
        <v>59.81</v>
      </c>
      <c r="J28">
        <v>60.74</v>
      </c>
      <c r="K28">
        <v>59.97</v>
      </c>
      <c r="L28">
        <v>61.49</v>
      </c>
      <c r="M28">
        <v>60.98</v>
      </c>
      <c r="N28">
        <v>61.12</v>
      </c>
      <c r="O28">
        <v>61.21</v>
      </c>
    </row>
    <row r="29" spans="1:15" x14ac:dyDescent="0.25">
      <c r="A29" s="23">
        <v>45072.646527777775</v>
      </c>
      <c r="C29">
        <v>61.68</v>
      </c>
      <c r="D29">
        <v>61.54</v>
      </c>
      <c r="E29">
        <v>59.21</v>
      </c>
      <c r="F29">
        <v>58.77</v>
      </c>
      <c r="G29">
        <v>60.99</v>
      </c>
      <c r="H29">
        <v>61.92</v>
      </c>
      <c r="I29">
        <v>59.92</v>
      </c>
      <c r="J29">
        <v>61.11</v>
      </c>
      <c r="K29">
        <v>59.98</v>
      </c>
      <c r="L29">
        <v>61.66</v>
      </c>
      <c r="M29">
        <v>61.26</v>
      </c>
      <c r="N29">
        <v>61.48</v>
      </c>
      <c r="O29">
        <v>61.48</v>
      </c>
    </row>
    <row r="30" spans="1:15" x14ac:dyDescent="0.25">
      <c r="A30" s="23">
        <v>45072.647222222222</v>
      </c>
      <c r="C30">
        <v>61.99</v>
      </c>
      <c r="D30">
        <v>61.76</v>
      </c>
      <c r="E30">
        <v>59.86</v>
      </c>
      <c r="F30">
        <v>60.21</v>
      </c>
      <c r="G30">
        <v>61.31</v>
      </c>
      <c r="H30">
        <v>62.27</v>
      </c>
      <c r="I30">
        <v>59.94</v>
      </c>
      <c r="J30">
        <v>61.43</v>
      </c>
      <c r="K30">
        <v>60.12</v>
      </c>
      <c r="L30">
        <v>61.98</v>
      </c>
      <c r="M30">
        <v>61.64</v>
      </c>
      <c r="N30">
        <v>61.64</v>
      </c>
      <c r="O30">
        <v>61.76</v>
      </c>
    </row>
    <row r="31" spans="1:15" x14ac:dyDescent="0.25">
      <c r="A31" s="23">
        <v>45072.647916666669</v>
      </c>
      <c r="C31">
        <v>62.16</v>
      </c>
      <c r="D31">
        <v>62.01</v>
      </c>
      <c r="E31">
        <v>60.14</v>
      </c>
      <c r="F31">
        <v>60.07</v>
      </c>
      <c r="G31">
        <v>61.17</v>
      </c>
      <c r="H31">
        <v>62.44</v>
      </c>
      <c r="I31">
        <v>60.24</v>
      </c>
      <c r="J31">
        <v>61.69</v>
      </c>
      <c r="K31">
        <v>60.59</v>
      </c>
      <c r="L31">
        <v>62.28</v>
      </c>
      <c r="M31">
        <v>61.82</v>
      </c>
      <c r="N31">
        <v>61.96</v>
      </c>
      <c r="O31">
        <v>62.05</v>
      </c>
    </row>
    <row r="32" spans="1:15" x14ac:dyDescent="0.25">
      <c r="A32" s="23">
        <v>45072.648611111108</v>
      </c>
      <c r="C32">
        <v>62.48</v>
      </c>
      <c r="D32">
        <v>62.15</v>
      </c>
      <c r="E32">
        <v>59.95</v>
      </c>
      <c r="F32">
        <v>60.82</v>
      </c>
      <c r="G32">
        <v>61.74</v>
      </c>
      <c r="H32">
        <v>62.64</v>
      </c>
      <c r="I32">
        <v>60.72</v>
      </c>
      <c r="J32">
        <v>62.06</v>
      </c>
      <c r="K32">
        <v>60.58</v>
      </c>
      <c r="L32">
        <v>62.49</v>
      </c>
      <c r="M32">
        <v>61.84</v>
      </c>
      <c r="N32">
        <v>62.01</v>
      </c>
      <c r="O32">
        <v>62.13</v>
      </c>
    </row>
    <row r="33" spans="1:15" x14ac:dyDescent="0.25">
      <c r="A33" s="23">
        <v>45072.649305555555</v>
      </c>
      <c r="C33">
        <v>62.73</v>
      </c>
      <c r="D33">
        <v>62.39</v>
      </c>
      <c r="E33">
        <v>59.67</v>
      </c>
      <c r="F33">
        <v>61.33</v>
      </c>
      <c r="G33">
        <v>62.03</v>
      </c>
      <c r="H33">
        <v>62.88</v>
      </c>
      <c r="I33">
        <v>60.88</v>
      </c>
      <c r="J33">
        <v>62.32</v>
      </c>
      <c r="K33">
        <v>60.71</v>
      </c>
      <c r="L33">
        <v>62.73</v>
      </c>
      <c r="M33">
        <v>62.08</v>
      </c>
      <c r="N33">
        <v>62.45</v>
      </c>
      <c r="O33">
        <v>62.38</v>
      </c>
    </row>
    <row r="34" spans="1:15" x14ac:dyDescent="0.25">
      <c r="A34" s="23">
        <v>45072.65</v>
      </c>
      <c r="C34">
        <v>62.9</v>
      </c>
      <c r="D34">
        <v>62.67</v>
      </c>
      <c r="E34">
        <v>59.96</v>
      </c>
      <c r="F34">
        <v>61.53</v>
      </c>
      <c r="G34">
        <v>62.15</v>
      </c>
      <c r="H34">
        <v>63.16</v>
      </c>
      <c r="I34">
        <v>61.03</v>
      </c>
      <c r="J34">
        <v>62.51</v>
      </c>
      <c r="K34">
        <v>60.58</v>
      </c>
      <c r="L34">
        <v>62.9</v>
      </c>
      <c r="M34">
        <v>62.45</v>
      </c>
      <c r="N34">
        <v>62.61</v>
      </c>
      <c r="O34">
        <v>62.49</v>
      </c>
    </row>
    <row r="35" spans="1:15" x14ac:dyDescent="0.25">
      <c r="A35" s="23">
        <v>45072.650694444441</v>
      </c>
      <c r="C35">
        <v>63.14</v>
      </c>
      <c r="D35">
        <v>62.96</v>
      </c>
      <c r="E35">
        <v>60.89</v>
      </c>
      <c r="F35">
        <v>61.18</v>
      </c>
      <c r="G35">
        <v>62.16</v>
      </c>
      <c r="H35">
        <v>63.35</v>
      </c>
      <c r="I35">
        <v>61.41</v>
      </c>
      <c r="J35">
        <v>62.61</v>
      </c>
      <c r="K35">
        <v>61.17</v>
      </c>
      <c r="L35">
        <v>63.2</v>
      </c>
      <c r="M35">
        <v>62.86</v>
      </c>
      <c r="N35">
        <v>62.87</v>
      </c>
      <c r="O35">
        <v>62.84</v>
      </c>
    </row>
    <row r="36" spans="1:15" x14ac:dyDescent="0.25">
      <c r="A36" s="23">
        <v>45072.651388888888</v>
      </c>
      <c r="C36">
        <v>70.48</v>
      </c>
      <c r="D36">
        <v>68.19</v>
      </c>
      <c r="E36">
        <v>62.97</v>
      </c>
      <c r="F36">
        <v>63.25</v>
      </c>
      <c r="G36">
        <v>64.819999999999993</v>
      </c>
      <c r="H36">
        <v>73.33</v>
      </c>
      <c r="I36">
        <v>67.05</v>
      </c>
      <c r="J36">
        <v>67.7</v>
      </c>
      <c r="K36">
        <v>65.95</v>
      </c>
      <c r="L36">
        <v>68.739999999999995</v>
      </c>
      <c r="M36">
        <v>67.67</v>
      </c>
      <c r="N36">
        <v>71.8</v>
      </c>
      <c r="O36">
        <v>70.75</v>
      </c>
    </row>
    <row r="37" spans="1:15" x14ac:dyDescent="0.25">
      <c r="A37" s="23">
        <v>45072.652083333334</v>
      </c>
      <c r="C37">
        <v>87.62</v>
      </c>
      <c r="D37">
        <v>85.17</v>
      </c>
      <c r="E37">
        <v>78.94</v>
      </c>
      <c r="F37">
        <v>81.430000000000007</v>
      </c>
      <c r="G37">
        <v>81.84</v>
      </c>
      <c r="H37">
        <v>90.2</v>
      </c>
      <c r="I37">
        <v>83.02</v>
      </c>
      <c r="J37">
        <v>85.23</v>
      </c>
      <c r="K37">
        <v>84.86</v>
      </c>
      <c r="L37">
        <v>85.74</v>
      </c>
      <c r="M37">
        <v>84.24</v>
      </c>
      <c r="N37">
        <v>88.63</v>
      </c>
      <c r="O37">
        <v>87.5</v>
      </c>
    </row>
    <row r="38" spans="1:15" x14ac:dyDescent="0.25">
      <c r="A38" s="23">
        <v>45072.652777777781</v>
      </c>
      <c r="C38">
        <v>98.99</v>
      </c>
      <c r="D38">
        <v>95.98</v>
      </c>
      <c r="E38">
        <v>89.99</v>
      </c>
      <c r="F38">
        <v>92.73</v>
      </c>
      <c r="G38">
        <v>92.44</v>
      </c>
      <c r="H38">
        <v>101.01</v>
      </c>
      <c r="I38">
        <v>94.67</v>
      </c>
      <c r="J38">
        <v>97.17</v>
      </c>
      <c r="K38">
        <v>97.69</v>
      </c>
      <c r="L38">
        <v>97.47</v>
      </c>
      <c r="M38">
        <v>95.85</v>
      </c>
      <c r="N38">
        <v>99.7</v>
      </c>
      <c r="O38">
        <v>98.37</v>
      </c>
    </row>
    <row r="39" spans="1:15" x14ac:dyDescent="0.25">
      <c r="A39" s="23">
        <v>45072.65347222222</v>
      </c>
      <c r="C39">
        <v>108.72</v>
      </c>
      <c r="D39">
        <v>104.97</v>
      </c>
      <c r="E39">
        <v>98.35</v>
      </c>
      <c r="F39">
        <v>100.88</v>
      </c>
      <c r="G39">
        <v>98.94</v>
      </c>
      <c r="H39">
        <v>110.68</v>
      </c>
      <c r="I39">
        <v>104.46</v>
      </c>
      <c r="J39">
        <v>106.78</v>
      </c>
      <c r="K39">
        <v>106.9</v>
      </c>
      <c r="L39">
        <v>106.9</v>
      </c>
      <c r="M39">
        <v>104.83</v>
      </c>
      <c r="N39">
        <v>108.35</v>
      </c>
      <c r="O39">
        <v>107.3</v>
      </c>
    </row>
    <row r="40" spans="1:15" x14ac:dyDescent="0.25">
      <c r="A40" s="23">
        <v>45072.654166666667</v>
      </c>
      <c r="C40">
        <v>116.01</v>
      </c>
      <c r="D40">
        <v>112.66</v>
      </c>
      <c r="E40">
        <v>106.74</v>
      </c>
      <c r="F40">
        <v>109.29</v>
      </c>
      <c r="G40">
        <v>107.69</v>
      </c>
      <c r="H40">
        <v>118.17</v>
      </c>
      <c r="I40">
        <v>110.77</v>
      </c>
      <c r="J40">
        <v>114.87</v>
      </c>
      <c r="K40">
        <v>114.41</v>
      </c>
      <c r="L40">
        <v>114.96</v>
      </c>
      <c r="M40">
        <v>112.31</v>
      </c>
      <c r="N40">
        <v>115.9</v>
      </c>
      <c r="O40">
        <v>115.29</v>
      </c>
    </row>
    <row r="41" spans="1:15" x14ac:dyDescent="0.25">
      <c r="A41" s="23">
        <v>45072.654861111114</v>
      </c>
      <c r="C41">
        <v>123.53</v>
      </c>
      <c r="D41">
        <v>119.53</v>
      </c>
      <c r="E41">
        <v>114.07</v>
      </c>
      <c r="F41">
        <v>115.23</v>
      </c>
      <c r="G41">
        <v>112.99</v>
      </c>
      <c r="H41">
        <v>124.75</v>
      </c>
      <c r="I41">
        <v>119.06</v>
      </c>
      <c r="J41">
        <v>121.37</v>
      </c>
      <c r="K41">
        <v>120.07</v>
      </c>
      <c r="L41">
        <v>121.8</v>
      </c>
      <c r="M41">
        <v>118.27</v>
      </c>
      <c r="N41">
        <v>122.9</v>
      </c>
      <c r="O41">
        <v>121.7</v>
      </c>
    </row>
    <row r="42" spans="1:15" x14ac:dyDescent="0.25">
      <c r="A42" s="23">
        <v>45072.655555555553</v>
      </c>
      <c r="C42">
        <v>129.33000000000001</v>
      </c>
      <c r="D42">
        <v>125.07</v>
      </c>
      <c r="E42">
        <v>118.58</v>
      </c>
      <c r="F42">
        <v>121.8</v>
      </c>
      <c r="G42">
        <v>119.55</v>
      </c>
      <c r="H42">
        <v>130.78</v>
      </c>
      <c r="I42">
        <v>124.26</v>
      </c>
      <c r="J42">
        <v>127.27</v>
      </c>
      <c r="K42">
        <v>126.59</v>
      </c>
      <c r="L42">
        <v>127.8</v>
      </c>
      <c r="M42">
        <v>124.71</v>
      </c>
      <c r="N42">
        <v>128.13</v>
      </c>
      <c r="O42">
        <v>126.15</v>
      </c>
    </row>
    <row r="43" spans="1:15" x14ac:dyDescent="0.25">
      <c r="A43" s="23">
        <v>45072.65625</v>
      </c>
      <c r="C43">
        <v>135.26</v>
      </c>
      <c r="D43">
        <v>131.38999999999999</v>
      </c>
      <c r="E43">
        <v>124.72</v>
      </c>
      <c r="F43">
        <v>128.16</v>
      </c>
      <c r="G43">
        <v>123.28</v>
      </c>
      <c r="H43">
        <v>136.84</v>
      </c>
      <c r="I43">
        <v>129.66999999999999</v>
      </c>
      <c r="J43">
        <v>133.29</v>
      </c>
      <c r="K43">
        <v>133.16</v>
      </c>
      <c r="L43">
        <v>133.51</v>
      </c>
      <c r="M43">
        <v>130.99</v>
      </c>
      <c r="N43">
        <v>133.66999999999999</v>
      </c>
      <c r="O43">
        <v>130.35</v>
      </c>
    </row>
    <row r="44" spans="1:15" x14ac:dyDescent="0.25">
      <c r="A44" s="23">
        <v>45072.656944444447</v>
      </c>
      <c r="C44">
        <v>140.26</v>
      </c>
      <c r="D44">
        <v>136.76</v>
      </c>
      <c r="E44">
        <v>128.9</v>
      </c>
      <c r="F44">
        <v>132.57</v>
      </c>
      <c r="G44">
        <v>130.47999999999999</v>
      </c>
      <c r="H44">
        <v>142.26</v>
      </c>
      <c r="I44">
        <v>135.18</v>
      </c>
      <c r="J44">
        <v>138.85</v>
      </c>
      <c r="K44">
        <v>137.74</v>
      </c>
      <c r="L44">
        <v>138.54</v>
      </c>
      <c r="M44">
        <v>135.71</v>
      </c>
      <c r="N44">
        <v>138.80000000000001</v>
      </c>
      <c r="O44">
        <v>138.65</v>
      </c>
    </row>
    <row r="45" spans="1:15" x14ac:dyDescent="0.25">
      <c r="A45" s="23">
        <v>45072.657638888886</v>
      </c>
      <c r="C45">
        <v>145.15</v>
      </c>
      <c r="D45">
        <v>140.81</v>
      </c>
      <c r="E45">
        <v>134.74</v>
      </c>
      <c r="F45">
        <v>137.38</v>
      </c>
      <c r="G45">
        <v>132.46</v>
      </c>
      <c r="H45">
        <v>146.55000000000001</v>
      </c>
      <c r="I45">
        <v>140.08000000000001</v>
      </c>
      <c r="J45">
        <v>143.72</v>
      </c>
      <c r="K45">
        <v>142.37</v>
      </c>
      <c r="L45">
        <v>143.41</v>
      </c>
      <c r="M45">
        <v>139.6</v>
      </c>
      <c r="N45">
        <v>143.5</v>
      </c>
      <c r="O45">
        <v>139.97999999999999</v>
      </c>
    </row>
    <row r="46" spans="1:15" x14ac:dyDescent="0.25">
      <c r="A46" s="23">
        <v>45072.658333333333</v>
      </c>
      <c r="C46">
        <v>149.51</v>
      </c>
      <c r="D46">
        <v>144.83000000000001</v>
      </c>
      <c r="E46">
        <v>139.33000000000001</v>
      </c>
      <c r="F46">
        <v>142.71</v>
      </c>
      <c r="G46">
        <v>140.94</v>
      </c>
      <c r="H46">
        <v>150.93</v>
      </c>
      <c r="I46">
        <v>143.91999999999999</v>
      </c>
      <c r="J46">
        <v>148.44</v>
      </c>
      <c r="K46">
        <v>146.30000000000001</v>
      </c>
      <c r="L46">
        <v>148.36000000000001</v>
      </c>
      <c r="M46">
        <v>144.68</v>
      </c>
      <c r="N46">
        <v>148.46</v>
      </c>
      <c r="O46">
        <v>144.81</v>
      </c>
    </row>
    <row r="47" spans="1:15" x14ac:dyDescent="0.25">
      <c r="A47" s="23">
        <v>45072.65902777778</v>
      </c>
      <c r="C47">
        <v>153.65</v>
      </c>
      <c r="D47">
        <v>149.03</v>
      </c>
      <c r="E47">
        <v>142.5</v>
      </c>
      <c r="F47">
        <v>145.29</v>
      </c>
      <c r="G47">
        <v>142.61000000000001</v>
      </c>
      <c r="H47">
        <v>155.08000000000001</v>
      </c>
      <c r="I47">
        <v>147.87</v>
      </c>
      <c r="J47">
        <v>151.63</v>
      </c>
      <c r="K47">
        <v>150.85</v>
      </c>
      <c r="L47">
        <v>151.9</v>
      </c>
      <c r="M47">
        <v>149.12</v>
      </c>
      <c r="N47">
        <v>152.34</v>
      </c>
      <c r="O47">
        <v>149.97999999999999</v>
      </c>
    </row>
    <row r="48" spans="1:15" x14ac:dyDescent="0.25">
      <c r="A48" s="23">
        <v>45072.659722222219</v>
      </c>
      <c r="C48">
        <v>157.77000000000001</v>
      </c>
      <c r="D48">
        <v>153.34</v>
      </c>
      <c r="E48">
        <v>147.88</v>
      </c>
      <c r="F48">
        <v>149.12</v>
      </c>
      <c r="G48">
        <v>144.84</v>
      </c>
      <c r="H48">
        <v>158.82</v>
      </c>
      <c r="I48">
        <v>151.75</v>
      </c>
      <c r="J48">
        <v>155.79</v>
      </c>
      <c r="K48">
        <v>154.53</v>
      </c>
      <c r="L48">
        <v>155.68</v>
      </c>
      <c r="M48">
        <v>152.28</v>
      </c>
      <c r="N48">
        <v>156.41999999999999</v>
      </c>
      <c r="O48">
        <v>154.44999999999999</v>
      </c>
    </row>
    <row r="49" spans="1:15" x14ac:dyDescent="0.25">
      <c r="A49" s="23">
        <v>45072.660416666666</v>
      </c>
      <c r="C49">
        <v>159.96</v>
      </c>
      <c r="D49">
        <v>156.33000000000001</v>
      </c>
      <c r="E49">
        <v>148.94999999999999</v>
      </c>
      <c r="F49">
        <v>153.30000000000001</v>
      </c>
      <c r="G49">
        <v>148.06</v>
      </c>
      <c r="H49">
        <v>161.76</v>
      </c>
      <c r="I49">
        <v>155.01</v>
      </c>
      <c r="J49">
        <v>158.59</v>
      </c>
      <c r="K49">
        <v>157.4</v>
      </c>
      <c r="L49">
        <v>158.75</v>
      </c>
      <c r="M49">
        <v>154.99</v>
      </c>
      <c r="N49">
        <v>158.21</v>
      </c>
      <c r="O49">
        <v>154.35</v>
      </c>
    </row>
    <row r="50" spans="1:15" x14ac:dyDescent="0.25">
      <c r="A50" s="23">
        <v>45072.661111111112</v>
      </c>
      <c r="C50">
        <v>160.94999999999999</v>
      </c>
      <c r="D50">
        <v>157.83000000000001</v>
      </c>
      <c r="E50">
        <v>150.06</v>
      </c>
      <c r="F50">
        <v>155.58000000000001</v>
      </c>
      <c r="G50">
        <v>150.71</v>
      </c>
      <c r="H50">
        <v>161.96</v>
      </c>
      <c r="I50">
        <v>155.76</v>
      </c>
      <c r="J50">
        <v>159.57</v>
      </c>
      <c r="K50">
        <v>158.44</v>
      </c>
      <c r="L50">
        <v>159.94999999999999</v>
      </c>
      <c r="M50">
        <v>156.99</v>
      </c>
      <c r="N50">
        <v>160.13999999999999</v>
      </c>
      <c r="O50">
        <v>156.91999999999999</v>
      </c>
    </row>
    <row r="51" spans="1:15" x14ac:dyDescent="0.25">
      <c r="A51" s="23">
        <v>45072.661805555559</v>
      </c>
      <c r="C51">
        <v>158.75</v>
      </c>
      <c r="D51">
        <v>154.87</v>
      </c>
      <c r="E51">
        <v>147.81</v>
      </c>
      <c r="F51">
        <v>151.16</v>
      </c>
      <c r="G51">
        <v>147.57</v>
      </c>
      <c r="H51">
        <v>160.15</v>
      </c>
      <c r="I51">
        <v>153.63999999999999</v>
      </c>
      <c r="J51">
        <v>156.75</v>
      </c>
      <c r="K51">
        <v>155.12</v>
      </c>
      <c r="L51">
        <v>157.38999999999999</v>
      </c>
      <c r="M51">
        <v>154.08000000000001</v>
      </c>
      <c r="N51">
        <v>157.37</v>
      </c>
      <c r="O51">
        <v>153.72</v>
      </c>
    </row>
    <row r="52" spans="1:15" x14ac:dyDescent="0.25">
      <c r="A52" s="23">
        <v>45072.662499999999</v>
      </c>
      <c r="C52">
        <v>156.71</v>
      </c>
      <c r="D52">
        <v>153.76</v>
      </c>
      <c r="E52">
        <v>149.72999999999999</v>
      </c>
      <c r="F52">
        <v>151.24</v>
      </c>
      <c r="G52">
        <v>148.19999999999999</v>
      </c>
      <c r="H52">
        <v>156.4</v>
      </c>
      <c r="I52">
        <v>152.69999999999999</v>
      </c>
      <c r="J52">
        <v>156.19</v>
      </c>
      <c r="K52">
        <v>153.79</v>
      </c>
      <c r="L52">
        <v>156.76</v>
      </c>
      <c r="M52">
        <v>153.63</v>
      </c>
      <c r="N52">
        <v>155.29</v>
      </c>
      <c r="O52">
        <v>153.86000000000001</v>
      </c>
    </row>
    <row r="53" spans="1:15" x14ac:dyDescent="0.25">
      <c r="A53" s="23">
        <v>45072.663194444445</v>
      </c>
      <c r="C53">
        <v>153.29</v>
      </c>
      <c r="D53">
        <v>149.43</v>
      </c>
      <c r="E53">
        <v>145.27000000000001</v>
      </c>
      <c r="F53">
        <v>146.86000000000001</v>
      </c>
      <c r="G53">
        <v>144.88</v>
      </c>
      <c r="H53">
        <v>153.86000000000001</v>
      </c>
      <c r="I53">
        <v>148.47</v>
      </c>
      <c r="J53">
        <v>151.5</v>
      </c>
      <c r="K53">
        <v>150.72999999999999</v>
      </c>
      <c r="L53">
        <v>152.59</v>
      </c>
      <c r="M53">
        <v>149.68</v>
      </c>
      <c r="N53">
        <v>152.87</v>
      </c>
      <c r="O53">
        <v>152.21</v>
      </c>
    </row>
    <row r="54" spans="1:15" x14ac:dyDescent="0.25">
      <c r="A54" s="23">
        <v>45072.663888888892</v>
      </c>
      <c r="C54">
        <v>153.94999999999999</v>
      </c>
      <c r="D54">
        <v>151.41999999999999</v>
      </c>
      <c r="E54">
        <v>145.28</v>
      </c>
      <c r="F54">
        <v>148.26</v>
      </c>
      <c r="G54">
        <v>146.65</v>
      </c>
      <c r="H54">
        <v>154.44</v>
      </c>
      <c r="I54">
        <v>149.29</v>
      </c>
      <c r="J54">
        <v>152.43</v>
      </c>
      <c r="K54">
        <v>151.37</v>
      </c>
      <c r="L54">
        <v>153.08000000000001</v>
      </c>
      <c r="M54">
        <v>151.09</v>
      </c>
      <c r="N54">
        <v>153.63999999999999</v>
      </c>
      <c r="O54">
        <v>153.13999999999999</v>
      </c>
    </row>
    <row r="55" spans="1:15" x14ac:dyDescent="0.25">
      <c r="A55" s="23">
        <v>45072.664583333331</v>
      </c>
      <c r="C55">
        <v>153.83000000000001</v>
      </c>
      <c r="D55">
        <v>151.06</v>
      </c>
      <c r="E55">
        <v>146.35</v>
      </c>
      <c r="F55">
        <v>147.36000000000001</v>
      </c>
      <c r="G55">
        <v>145.62</v>
      </c>
      <c r="H55">
        <v>154.13999999999999</v>
      </c>
      <c r="I55">
        <v>149.63</v>
      </c>
      <c r="J55">
        <v>152.21</v>
      </c>
      <c r="K55">
        <v>151.15</v>
      </c>
      <c r="L55">
        <v>152.83000000000001</v>
      </c>
      <c r="M55">
        <v>151.24</v>
      </c>
      <c r="N55">
        <v>153.26</v>
      </c>
      <c r="O55">
        <v>151.91</v>
      </c>
    </row>
    <row r="56" spans="1:15" x14ac:dyDescent="0.25">
      <c r="A56" s="23">
        <v>45072.665277777778</v>
      </c>
      <c r="C56">
        <v>153.97999999999999</v>
      </c>
      <c r="D56">
        <v>150.63</v>
      </c>
      <c r="E56">
        <v>145.79</v>
      </c>
      <c r="F56">
        <v>148.63999999999999</v>
      </c>
      <c r="G56">
        <v>146.38999999999999</v>
      </c>
      <c r="H56">
        <v>154.24</v>
      </c>
      <c r="I56">
        <v>149.5</v>
      </c>
      <c r="J56">
        <v>152.38999999999999</v>
      </c>
      <c r="K56">
        <v>150.94</v>
      </c>
      <c r="L56">
        <v>152.91</v>
      </c>
      <c r="M56">
        <v>150.96</v>
      </c>
      <c r="N56">
        <v>153.25</v>
      </c>
      <c r="O56">
        <v>153.1</v>
      </c>
    </row>
    <row r="57" spans="1:15" x14ac:dyDescent="0.25">
      <c r="A57" s="23">
        <v>45072.665972222225</v>
      </c>
      <c r="C57">
        <v>152.44999999999999</v>
      </c>
      <c r="D57">
        <v>149.86000000000001</v>
      </c>
      <c r="E57">
        <v>144.91999999999999</v>
      </c>
      <c r="F57">
        <v>146.75</v>
      </c>
      <c r="G57">
        <v>145.84</v>
      </c>
      <c r="H57">
        <v>152.84</v>
      </c>
      <c r="I57">
        <v>148.91</v>
      </c>
      <c r="J57">
        <v>151.01</v>
      </c>
      <c r="K57">
        <v>149.93</v>
      </c>
      <c r="L57">
        <v>151.71</v>
      </c>
      <c r="M57">
        <v>149.59</v>
      </c>
      <c r="N57">
        <v>151.66999999999999</v>
      </c>
      <c r="O57">
        <v>151.87</v>
      </c>
    </row>
    <row r="58" spans="1:15" x14ac:dyDescent="0.25">
      <c r="A58" s="23">
        <v>45072.666666666664</v>
      </c>
      <c r="C58">
        <v>151.69999999999999</v>
      </c>
      <c r="D58">
        <v>148.87</v>
      </c>
      <c r="E58">
        <v>145.01</v>
      </c>
      <c r="F58">
        <v>145.93</v>
      </c>
      <c r="G58">
        <v>145.02000000000001</v>
      </c>
      <c r="H58">
        <v>152.56</v>
      </c>
      <c r="I58">
        <v>147.72</v>
      </c>
      <c r="J58">
        <v>149.97</v>
      </c>
      <c r="K58">
        <v>149.01</v>
      </c>
      <c r="L58">
        <v>150.84</v>
      </c>
      <c r="M58">
        <v>148.91</v>
      </c>
      <c r="N58">
        <v>151.30000000000001</v>
      </c>
      <c r="O58">
        <v>151.33000000000001</v>
      </c>
    </row>
    <row r="59" spans="1:15" x14ac:dyDescent="0.25">
      <c r="A59" s="23">
        <v>45072.667361111111</v>
      </c>
      <c r="C59">
        <v>153.61000000000001</v>
      </c>
      <c r="D59">
        <v>151.07</v>
      </c>
      <c r="E59">
        <v>145.16</v>
      </c>
      <c r="F59">
        <v>147.24</v>
      </c>
      <c r="G59">
        <v>146.59</v>
      </c>
      <c r="H59">
        <v>154</v>
      </c>
      <c r="I59">
        <v>150.04</v>
      </c>
      <c r="J59">
        <v>151.65</v>
      </c>
      <c r="K59">
        <v>151.1</v>
      </c>
      <c r="L59">
        <v>152.66999999999999</v>
      </c>
      <c r="M59">
        <v>151.06</v>
      </c>
      <c r="N59">
        <v>153.02000000000001</v>
      </c>
      <c r="O59">
        <v>153.08000000000001</v>
      </c>
    </row>
    <row r="60" spans="1:15" x14ac:dyDescent="0.25">
      <c r="A60" s="23">
        <v>45072.668055555558</v>
      </c>
      <c r="C60">
        <v>153.1</v>
      </c>
      <c r="D60">
        <v>150.87</v>
      </c>
      <c r="E60">
        <v>145.96</v>
      </c>
      <c r="F60">
        <v>147.15</v>
      </c>
      <c r="G60">
        <v>146.46</v>
      </c>
      <c r="H60">
        <v>153.49</v>
      </c>
      <c r="I60">
        <v>149.47999999999999</v>
      </c>
      <c r="J60">
        <v>150.76</v>
      </c>
      <c r="K60">
        <v>150.52000000000001</v>
      </c>
      <c r="L60">
        <v>152.02000000000001</v>
      </c>
      <c r="M60">
        <v>150.65</v>
      </c>
      <c r="N60">
        <v>152.31</v>
      </c>
      <c r="O60">
        <v>152.29</v>
      </c>
    </row>
    <row r="61" spans="1:15" x14ac:dyDescent="0.25">
      <c r="A61" s="23">
        <v>45072.668749999997</v>
      </c>
      <c r="C61">
        <v>153.08000000000001</v>
      </c>
      <c r="D61">
        <v>150.41</v>
      </c>
      <c r="E61">
        <v>145.46</v>
      </c>
      <c r="F61">
        <v>147.33000000000001</v>
      </c>
      <c r="G61">
        <v>147.33000000000001</v>
      </c>
      <c r="H61">
        <v>153.18</v>
      </c>
      <c r="I61">
        <v>149.5</v>
      </c>
      <c r="J61">
        <v>151.24</v>
      </c>
      <c r="K61">
        <v>150.66999999999999</v>
      </c>
      <c r="L61">
        <v>152.13</v>
      </c>
      <c r="M61">
        <v>150.35</v>
      </c>
      <c r="N61">
        <v>152.56</v>
      </c>
      <c r="O61">
        <v>152.53</v>
      </c>
    </row>
    <row r="62" spans="1:15" x14ac:dyDescent="0.25">
      <c r="A62" s="23">
        <v>45072.669444444444</v>
      </c>
      <c r="C62">
        <v>152.75</v>
      </c>
      <c r="D62">
        <v>150.55000000000001</v>
      </c>
      <c r="E62">
        <v>145.01</v>
      </c>
      <c r="F62">
        <v>146.76</v>
      </c>
      <c r="G62">
        <v>145.74</v>
      </c>
      <c r="H62">
        <v>152.71</v>
      </c>
      <c r="I62">
        <v>149.13</v>
      </c>
      <c r="J62">
        <v>151.13</v>
      </c>
      <c r="K62">
        <v>150.16</v>
      </c>
      <c r="L62">
        <v>151.83000000000001</v>
      </c>
      <c r="M62">
        <v>150.51</v>
      </c>
      <c r="N62">
        <v>152.1</v>
      </c>
      <c r="O62">
        <v>152.09</v>
      </c>
    </row>
    <row r="63" spans="1:15" x14ac:dyDescent="0.25">
      <c r="A63" s="23">
        <v>45072.670138888891</v>
      </c>
      <c r="C63">
        <v>151.97</v>
      </c>
      <c r="D63">
        <v>149.69999999999999</v>
      </c>
      <c r="E63">
        <v>145.13</v>
      </c>
      <c r="F63">
        <v>147.01</v>
      </c>
      <c r="G63">
        <v>145.6</v>
      </c>
      <c r="H63">
        <v>152.22</v>
      </c>
      <c r="I63">
        <v>148.52000000000001</v>
      </c>
      <c r="J63">
        <v>150.05000000000001</v>
      </c>
      <c r="K63">
        <v>149.49</v>
      </c>
      <c r="L63">
        <v>151.01</v>
      </c>
      <c r="M63">
        <v>149.56</v>
      </c>
      <c r="N63">
        <v>151.30000000000001</v>
      </c>
      <c r="O63">
        <v>151.43</v>
      </c>
    </row>
    <row r="64" spans="1:15" x14ac:dyDescent="0.25">
      <c r="A64" s="23">
        <v>45072.67083333333</v>
      </c>
      <c r="C64">
        <v>151.94999999999999</v>
      </c>
      <c r="D64">
        <v>149.66</v>
      </c>
      <c r="E64">
        <v>144.97</v>
      </c>
      <c r="F64">
        <v>146.93</v>
      </c>
      <c r="G64">
        <v>145.81</v>
      </c>
      <c r="H64">
        <v>152.22999999999999</v>
      </c>
      <c r="I64">
        <v>148.35</v>
      </c>
      <c r="J64">
        <v>150.11000000000001</v>
      </c>
      <c r="K64">
        <v>149.21</v>
      </c>
      <c r="L64">
        <v>151.16999999999999</v>
      </c>
      <c r="M64">
        <v>149.63999999999999</v>
      </c>
      <c r="N64">
        <v>151.47</v>
      </c>
      <c r="O64">
        <v>151.56</v>
      </c>
    </row>
    <row r="65" spans="1:15" x14ac:dyDescent="0.25">
      <c r="A65" s="23">
        <v>45072.671527777777</v>
      </c>
      <c r="C65">
        <v>152.91</v>
      </c>
      <c r="D65">
        <v>150.66999999999999</v>
      </c>
      <c r="E65">
        <v>145.47</v>
      </c>
      <c r="F65">
        <v>146.88</v>
      </c>
      <c r="G65">
        <v>145.66</v>
      </c>
      <c r="H65">
        <v>153.38999999999999</v>
      </c>
      <c r="I65">
        <v>149.25</v>
      </c>
      <c r="J65">
        <v>150.96</v>
      </c>
      <c r="K65">
        <v>150.99</v>
      </c>
      <c r="L65">
        <v>151.91</v>
      </c>
      <c r="M65">
        <v>150.6</v>
      </c>
      <c r="N65">
        <v>152.30000000000001</v>
      </c>
      <c r="O65">
        <v>152.77000000000001</v>
      </c>
    </row>
    <row r="66" spans="1:15" x14ac:dyDescent="0.25">
      <c r="A66" s="23">
        <v>45072.672222222223</v>
      </c>
      <c r="C66">
        <v>153.04</v>
      </c>
      <c r="D66">
        <v>151.13</v>
      </c>
      <c r="E66">
        <v>146.07</v>
      </c>
      <c r="F66">
        <v>147.03</v>
      </c>
      <c r="G66">
        <v>147.72</v>
      </c>
      <c r="H66">
        <v>153.41999999999999</v>
      </c>
      <c r="I66">
        <v>149.61000000000001</v>
      </c>
      <c r="J66">
        <v>151.30000000000001</v>
      </c>
      <c r="K66">
        <v>150.44999999999999</v>
      </c>
      <c r="L66">
        <v>152.35</v>
      </c>
      <c r="M66">
        <v>150.63</v>
      </c>
      <c r="N66">
        <v>152.94</v>
      </c>
      <c r="O66">
        <v>152.6</v>
      </c>
    </row>
    <row r="67" spans="1:15" x14ac:dyDescent="0.25">
      <c r="A67" s="23">
        <v>45072.67291666667</v>
      </c>
      <c r="C67">
        <v>152.69</v>
      </c>
      <c r="D67">
        <v>150.94</v>
      </c>
      <c r="E67">
        <v>146.22999999999999</v>
      </c>
      <c r="F67">
        <v>146.47999999999999</v>
      </c>
      <c r="G67">
        <v>147.68</v>
      </c>
      <c r="H67">
        <v>152.91</v>
      </c>
      <c r="I67">
        <v>149.24</v>
      </c>
      <c r="J67">
        <v>150.94</v>
      </c>
      <c r="K67">
        <v>151.03</v>
      </c>
      <c r="L67">
        <v>151.99</v>
      </c>
      <c r="M67">
        <v>150.59</v>
      </c>
      <c r="N67">
        <v>152.25</v>
      </c>
      <c r="O67">
        <v>152.19999999999999</v>
      </c>
    </row>
    <row r="68" spans="1:15" x14ac:dyDescent="0.25">
      <c r="A68" s="23">
        <v>45072.673611111109</v>
      </c>
      <c r="C68">
        <v>152.33000000000001</v>
      </c>
      <c r="D68">
        <v>150.37</v>
      </c>
      <c r="E68">
        <v>144.94999999999999</v>
      </c>
      <c r="F68">
        <v>146.97</v>
      </c>
      <c r="G68">
        <v>146.91</v>
      </c>
      <c r="H68">
        <v>152.65</v>
      </c>
      <c r="I68">
        <v>148.88999999999999</v>
      </c>
      <c r="J68">
        <v>150.81</v>
      </c>
      <c r="K68">
        <v>149.19999999999999</v>
      </c>
      <c r="L68">
        <v>151.65</v>
      </c>
      <c r="M68">
        <v>150.28</v>
      </c>
      <c r="N68">
        <v>152.12</v>
      </c>
      <c r="O68">
        <v>152.16</v>
      </c>
    </row>
    <row r="69" spans="1:15" x14ac:dyDescent="0.25">
      <c r="A69" s="23">
        <v>45072.674305555556</v>
      </c>
      <c r="C69">
        <v>152.30000000000001</v>
      </c>
      <c r="D69">
        <v>150.26</v>
      </c>
      <c r="E69">
        <v>145.4</v>
      </c>
      <c r="F69">
        <v>147.03</v>
      </c>
      <c r="G69">
        <v>147</v>
      </c>
      <c r="H69">
        <v>152.38999999999999</v>
      </c>
      <c r="I69">
        <v>148.86000000000001</v>
      </c>
      <c r="J69">
        <v>150.41999999999999</v>
      </c>
      <c r="K69">
        <v>150.41</v>
      </c>
      <c r="L69">
        <v>151.41999999999999</v>
      </c>
      <c r="M69">
        <v>149.9</v>
      </c>
      <c r="N69">
        <v>151.75</v>
      </c>
      <c r="O69">
        <v>151.76</v>
      </c>
    </row>
    <row r="70" spans="1:15" x14ac:dyDescent="0.25">
      <c r="A70" s="23">
        <v>45072.675000000003</v>
      </c>
      <c r="C70">
        <v>152.18</v>
      </c>
      <c r="D70">
        <v>150.66</v>
      </c>
      <c r="E70">
        <v>144.91999999999999</v>
      </c>
      <c r="F70">
        <v>146.86000000000001</v>
      </c>
      <c r="G70">
        <v>147.56</v>
      </c>
      <c r="H70">
        <v>152.37</v>
      </c>
      <c r="I70">
        <v>148.78</v>
      </c>
      <c r="J70">
        <v>150.71</v>
      </c>
      <c r="K70">
        <v>148.53</v>
      </c>
      <c r="L70">
        <v>151.53</v>
      </c>
      <c r="M70">
        <v>150.38999999999999</v>
      </c>
      <c r="N70">
        <v>151.69</v>
      </c>
      <c r="O70">
        <v>151.77000000000001</v>
      </c>
    </row>
    <row r="71" spans="1:15" x14ac:dyDescent="0.25">
      <c r="A71" s="23">
        <v>45072.675694444442</v>
      </c>
      <c r="C71">
        <v>152.25</v>
      </c>
      <c r="D71">
        <v>150.68</v>
      </c>
      <c r="E71">
        <v>145.81</v>
      </c>
      <c r="F71">
        <v>146.47999999999999</v>
      </c>
      <c r="G71">
        <v>147.16999999999999</v>
      </c>
      <c r="H71">
        <v>152.47999999999999</v>
      </c>
      <c r="I71">
        <v>149.04</v>
      </c>
      <c r="J71">
        <v>150.49</v>
      </c>
      <c r="K71">
        <v>149.16999999999999</v>
      </c>
      <c r="L71">
        <v>151.52000000000001</v>
      </c>
      <c r="M71">
        <v>150.43</v>
      </c>
      <c r="N71">
        <v>151.82</v>
      </c>
      <c r="O71">
        <v>151.56</v>
      </c>
    </row>
    <row r="72" spans="1:15" x14ac:dyDescent="0.25">
      <c r="A72" s="23">
        <v>45072.676388888889</v>
      </c>
      <c r="C72">
        <v>152.27000000000001</v>
      </c>
      <c r="D72">
        <v>150.43</v>
      </c>
      <c r="E72">
        <v>145.16</v>
      </c>
      <c r="F72">
        <v>146.88</v>
      </c>
      <c r="G72">
        <v>147.21</v>
      </c>
      <c r="H72">
        <v>152.52000000000001</v>
      </c>
      <c r="I72">
        <v>148.91</v>
      </c>
      <c r="J72">
        <v>150.53</v>
      </c>
      <c r="K72">
        <v>149.05000000000001</v>
      </c>
      <c r="L72">
        <v>151.58000000000001</v>
      </c>
      <c r="M72">
        <v>149.9</v>
      </c>
      <c r="N72">
        <v>151.78</v>
      </c>
      <c r="O72">
        <v>151.84</v>
      </c>
    </row>
    <row r="73" spans="1:15" x14ac:dyDescent="0.25">
      <c r="A73" s="23">
        <v>45072.677083333336</v>
      </c>
      <c r="C73">
        <v>152.69999999999999</v>
      </c>
      <c r="D73">
        <v>150.79</v>
      </c>
      <c r="E73">
        <v>146.43</v>
      </c>
      <c r="F73">
        <v>147.86000000000001</v>
      </c>
      <c r="G73">
        <v>146.6</v>
      </c>
      <c r="H73">
        <v>152.65</v>
      </c>
      <c r="I73">
        <v>148.97</v>
      </c>
      <c r="J73">
        <v>150.57</v>
      </c>
      <c r="K73">
        <v>149.26</v>
      </c>
      <c r="L73">
        <v>151.66999999999999</v>
      </c>
      <c r="M73">
        <v>150.28</v>
      </c>
      <c r="N73">
        <v>151.94</v>
      </c>
      <c r="O73">
        <v>152.35</v>
      </c>
    </row>
    <row r="74" spans="1:15" x14ac:dyDescent="0.25">
      <c r="A74" s="23">
        <v>45072.677777777775</v>
      </c>
      <c r="C74">
        <v>152.52000000000001</v>
      </c>
      <c r="D74">
        <v>151.01</v>
      </c>
      <c r="E74">
        <v>145.43</v>
      </c>
      <c r="F74">
        <v>146.9</v>
      </c>
      <c r="G74">
        <v>148.69999999999999</v>
      </c>
      <c r="H74">
        <v>152.47</v>
      </c>
      <c r="I74">
        <v>148.88</v>
      </c>
      <c r="J74">
        <v>150.75</v>
      </c>
      <c r="K74">
        <v>150.41</v>
      </c>
      <c r="L74">
        <v>151.63</v>
      </c>
      <c r="M74">
        <v>150.71</v>
      </c>
      <c r="N74">
        <v>152.25</v>
      </c>
      <c r="O74">
        <v>152</v>
      </c>
    </row>
    <row r="75" spans="1:15" x14ac:dyDescent="0.25">
      <c r="A75" s="23">
        <v>45072.678472222222</v>
      </c>
      <c r="C75">
        <v>152.58000000000001</v>
      </c>
      <c r="D75">
        <v>150.76</v>
      </c>
      <c r="E75">
        <v>145.24</v>
      </c>
      <c r="F75">
        <v>148.31</v>
      </c>
      <c r="G75">
        <v>147.46</v>
      </c>
      <c r="H75">
        <v>152.94999999999999</v>
      </c>
      <c r="I75">
        <v>149.97</v>
      </c>
      <c r="J75">
        <v>150.72</v>
      </c>
      <c r="K75">
        <v>149.88999999999999</v>
      </c>
      <c r="L75">
        <v>151.91999999999999</v>
      </c>
      <c r="M75">
        <v>150.61000000000001</v>
      </c>
      <c r="N75">
        <v>152.26</v>
      </c>
      <c r="O75">
        <v>152.41999999999999</v>
      </c>
    </row>
    <row r="76" spans="1:15" x14ac:dyDescent="0.25">
      <c r="A76" s="23">
        <v>45072.679166666669</v>
      </c>
      <c r="C76">
        <v>152.4</v>
      </c>
      <c r="D76">
        <v>150.63</v>
      </c>
      <c r="E76">
        <v>145.80000000000001</v>
      </c>
      <c r="F76">
        <v>147.81</v>
      </c>
      <c r="G76">
        <v>147.72999999999999</v>
      </c>
      <c r="H76">
        <v>152.69999999999999</v>
      </c>
      <c r="I76">
        <v>149.43</v>
      </c>
      <c r="J76">
        <v>150.9</v>
      </c>
      <c r="K76">
        <v>150.26</v>
      </c>
      <c r="L76">
        <v>151.77000000000001</v>
      </c>
      <c r="M76">
        <v>150.52000000000001</v>
      </c>
      <c r="N76">
        <v>151.91</v>
      </c>
      <c r="O76">
        <v>151.88</v>
      </c>
    </row>
    <row r="77" spans="1:15" x14ac:dyDescent="0.25">
      <c r="A77" s="23">
        <v>45072.679861111108</v>
      </c>
      <c r="C77">
        <v>152.02000000000001</v>
      </c>
      <c r="D77">
        <v>150.07</v>
      </c>
      <c r="E77">
        <v>145.46</v>
      </c>
      <c r="F77">
        <v>146.37</v>
      </c>
      <c r="G77">
        <v>147.15</v>
      </c>
      <c r="H77">
        <v>152.02000000000001</v>
      </c>
      <c r="I77">
        <v>149.16999999999999</v>
      </c>
      <c r="J77">
        <v>150.13</v>
      </c>
      <c r="K77">
        <v>149.31</v>
      </c>
      <c r="L77">
        <v>151.12</v>
      </c>
      <c r="M77">
        <v>149.80000000000001</v>
      </c>
      <c r="N77">
        <v>151.29</v>
      </c>
      <c r="O77">
        <v>151.54</v>
      </c>
    </row>
    <row r="78" spans="1:15" x14ac:dyDescent="0.25">
      <c r="A78" s="23">
        <v>45072.680555555555</v>
      </c>
      <c r="C78">
        <v>151.80000000000001</v>
      </c>
      <c r="D78">
        <v>150.06</v>
      </c>
      <c r="E78">
        <v>145.93</v>
      </c>
      <c r="F78">
        <v>146.01</v>
      </c>
      <c r="G78">
        <v>147.21</v>
      </c>
      <c r="H78">
        <v>151.79</v>
      </c>
      <c r="I78">
        <v>148.83000000000001</v>
      </c>
      <c r="J78">
        <v>149.77000000000001</v>
      </c>
      <c r="K78">
        <v>149.5</v>
      </c>
      <c r="L78">
        <v>150.88999999999999</v>
      </c>
      <c r="M78">
        <v>149.93</v>
      </c>
      <c r="N78">
        <v>151.33000000000001</v>
      </c>
      <c r="O78">
        <v>151.25</v>
      </c>
    </row>
    <row r="79" spans="1:15" x14ac:dyDescent="0.25">
      <c r="A79" s="23">
        <v>45072.681250000001</v>
      </c>
      <c r="C79">
        <v>152.22999999999999</v>
      </c>
      <c r="D79">
        <v>150.94999999999999</v>
      </c>
      <c r="E79">
        <v>145.63</v>
      </c>
      <c r="F79">
        <v>147.26</v>
      </c>
      <c r="G79">
        <v>147.47</v>
      </c>
      <c r="H79">
        <v>152.81</v>
      </c>
      <c r="I79">
        <v>149.37</v>
      </c>
      <c r="J79">
        <v>150.74</v>
      </c>
      <c r="K79">
        <v>149.81</v>
      </c>
      <c r="L79">
        <v>151.63999999999999</v>
      </c>
      <c r="M79">
        <v>150.74</v>
      </c>
      <c r="N79">
        <v>152.08000000000001</v>
      </c>
      <c r="O79">
        <v>152.04</v>
      </c>
    </row>
    <row r="80" spans="1:15" x14ac:dyDescent="0.25">
      <c r="A80" s="23">
        <v>45072.681944444441</v>
      </c>
      <c r="C80">
        <v>152.91</v>
      </c>
      <c r="D80">
        <v>151.38999999999999</v>
      </c>
      <c r="E80">
        <v>146.85</v>
      </c>
      <c r="F80">
        <v>148.04</v>
      </c>
      <c r="G80">
        <v>147.99</v>
      </c>
      <c r="H80">
        <v>152.88999999999999</v>
      </c>
      <c r="I80">
        <v>149.74</v>
      </c>
      <c r="J80">
        <v>151.38999999999999</v>
      </c>
      <c r="K80">
        <v>150.62</v>
      </c>
      <c r="L80">
        <v>152.04</v>
      </c>
      <c r="M80">
        <v>150.96</v>
      </c>
      <c r="N80">
        <v>152.55000000000001</v>
      </c>
      <c r="O80">
        <v>152.38</v>
      </c>
    </row>
    <row r="81" spans="1:15" x14ac:dyDescent="0.25">
      <c r="A81" s="23">
        <v>45072.682638888888</v>
      </c>
      <c r="C81">
        <v>152.35</v>
      </c>
      <c r="D81">
        <v>150.82</v>
      </c>
      <c r="E81">
        <v>146.18</v>
      </c>
      <c r="F81">
        <v>146.51</v>
      </c>
      <c r="G81">
        <v>147.29</v>
      </c>
      <c r="H81">
        <v>152.22999999999999</v>
      </c>
      <c r="I81">
        <v>149.41</v>
      </c>
      <c r="J81">
        <v>150.63999999999999</v>
      </c>
      <c r="K81">
        <v>150.04</v>
      </c>
      <c r="L81">
        <v>151.41999999999999</v>
      </c>
      <c r="M81">
        <v>150.47</v>
      </c>
      <c r="N81">
        <v>151.63</v>
      </c>
      <c r="O81">
        <v>151.94</v>
      </c>
    </row>
    <row r="82" spans="1:15" x14ac:dyDescent="0.25">
      <c r="A82" s="23">
        <v>45072.683333333334</v>
      </c>
      <c r="C82">
        <v>151.88999999999999</v>
      </c>
      <c r="D82">
        <v>150.21</v>
      </c>
      <c r="E82">
        <v>145.97</v>
      </c>
      <c r="F82">
        <v>147.49</v>
      </c>
      <c r="G82">
        <v>147.61000000000001</v>
      </c>
      <c r="H82">
        <v>151.99</v>
      </c>
      <c r="I82">
        <v>148.91</v>
      </c>
      <c r="J82">
        <v>150.22999999999999</v>
      </c>
      <c r="K82">
        <v>149.28</v>
      </c>
      <c r="L82">
        <v>151.05000000000001</v>
      </c>
      <c r="M82">
        <v>150.16999999999999</v>
      </c>
      <c r="N82">
        <v>151.44999999999999</v>
      </c>
      <c r="O82">
        <v>151.6</v>
      </c>
    </row>
    <row r="83" spans="1:15" x14ac:dyDescent="0.25">
      <c r="A83" s="23">
        <v>45072.684027777781</v>
      </c>
      <c r="C83">
        <v>151.99</v>
      </c>
      <c r="D83">
        <v>149.93</v>
      </c>
      <c r="E83">
        <v>146.96</v>
      </c>
      <c r="F83">
        <v>147.69999999999999</v>
      </c>
      <c r="G83">
        <v>147.22999999999999</v>
      </c>
      <c r="H83">
        <v>152.09</v>
      </c>
      <c r="I83">
        <v>148.97999999999999</v>
      </c>
      <c r="J83">
        <v>150.13</v>
      </c>
      <c r="K83">
        <v>149.81</v>
      </c>
      <c r="L83">
        <v>151.16999999999999</v>
      </c>
      <c r="M83">
        <v>150.06</v>
      </c>
      <c r="N83">
        <v>151.57</v>
      </c>
      <c r="O83">
        <v>151.63</v>
      </c>
    </row>
    <row r="84" spans="1:15" x14ac:dyDescent="0.25">
      <c r="A84" s="23">
        <v>45072.68472222222</v>
      </c>
      <c r="C84">
        <v>152.19</v>
      </c>
      <c r="D84">
        <v>150.72999999999999</v>
      </c>
      <c r="E84">
        <v>145.82</v>
      </c>
      <c r="F84">
        <v>146.38</v>
      </c>
      <c r="G84">
        <v>147.1</v>
      </c>
      <c r="H84">
        <v>152.41999999999999</v>
      </c>
      <c r="I84">
        <v>149.16999999999999</v>
      </c>
      <c r="J84">
        <v>150.29</v>
      </c>
      <c r="K84">
        <v>149.38999999999999</v>
      </c>
      <c r="L84">
        <v>151.38</v>
      </c>
      <c r="M84">
        <v>150.25</v>
      </c>
      <c r="N84">
        <v>151.57</v>
      </c>
      <c r="O84">
        <v>151.71</v>
      </c>
    </row>
    <row r="85" spans="1:15" x14ac:dyDescent="0.25">
      <c r="A85" s="23">
        <v>45072.685416666667</v>
      </c>
      <c r="C85">
        <v>152.87</v>
      </c>
      <c r="D85">
        <v>153.4</v>
      </c>
      <c r="E85">
        <v>146.81</v>
      </c>
      <c r="F85">
        <v>148.96</v>
      </c>
      <c r="G85">
        <v>148.44999999999999</v>
      </c>
      <c r="H85">
        <v>152.87</v>
      </c>
      <c r="I85">
        <v>151.71</v>
      </c>
      <c r="J85">
        <v>152.72</v>
      </c>
      <c r="K85">
        <v>151.57</v>
      </c>
      <c r="L85">
        <v>154.32</v>
      </c>
      <c r="M85">
        <v>152.18</v>
      </c>
      <c r="N85">
        <v>151.97</v>
      </c>
      <c r="O85">
        <v>151.77000000000001</v>
      </c>
    </row>
    <row r="86" spans="1:15" x14ac:dyDescent="0.25">
      <c r="A86" s="23">
        <v>45072.686111111114</v>
      </c>
      <c r="C86">
        <v>152.13999999999999</v>
      </c>
      <c r="D86">
        <v>150.81</v>
      </c>
      <c r="E86">
        <v>146.55000000000001</v>
      </c>
      <c r="F86">
        <v>147.01</v>
      </c>
      <c r="G86">
        <v>148.19999999999999</v>
      </c>
      <c r="H86">
        <v>152.38</v>
      </c>
      <c r="I86">
        <v>149.32</v>
      </c>
      <c r="J86">
        <v>150.36000000000001</v>
      </c>
      <c r="K86">
        <v>149.49</v>
      </c>
      <c r="L86">
        <v>151.49</v>
      </c>
      <c r="M86">
        <v>150.36000000000001</v>
      </c>
      <c r="N86">
        <v>151.94999999999999</v>
      </c>
      <c r="O86">
        <v>151.85</v>
      </c>
    </row>
    <row r="87" spans="1:15" x14ac:dyDescent="0.25">
      <c r="A87" s="23">
        <v>45072.686805555553</v>
      </c>
      <c r="C87">
        <v>167.66</v>
      </c>
      <c r="D87">
        <v>165.02</v>
      </c>
      <c r="E87">
        <v>155.38</v>
      </c>
      <c r="F87">
        <v>159.19</v>
      </c>
      <c r="G87">
        <v>160.86000000000001</v>
      </c>
      <c r="H87">
        <v>169.52</v>
      </c>
      <c r="I87">
        <v>162.19999999999999</v>
      </c>
      <c r="J87">
        <v>164.47</v>
      </c>
      <c r="K87">
        <v>165.91</v>
      </c>
      <c r="L87">
        <v>165.49</v>
      </c>
      <c r="M87">
        <v>163.87</v>
      </c>
      <c r="N87">
        <v>168.1</v>
      </c>
      <c r="O87">
        <v>167.25</v>
      </c>
    </row>
    <row r="88" spans="1:15" x14ac:dyDescent="0.25">
      <c r="A88" s="23">
        <v>45072.6875</v>
      </c>
      <c r="C88">
        <v>175.29</v>
      </c>
      <c r="D88">
        <v>171.28</v>
      </c>
      <c r="E88">
        <v>163.91</v>
      </c>
      <c r="F88">
        <v>166.42</v>
      </c>
      <c r="G88">
        <v>167.7</v>
      </c>
      <c r="H88">
        <v>176.42</v>
      </c>
      <c r="I88">
        <v>169.59</v>
      </c>
      <c r="J88">
        <v>173.11</v>
      </c>
      <c r="K88">
        <v>172.61</v>
      </c>
      <c r="L88">
        <v>173.56</v>
      </c>
      <c r="M88">
        <v>170.6</v>
      </c>
      <c r="N88">
        <v>175.59</v>
      </c>
      <c r="O88">
        <v>174.65</v>
      </c>
    </row>
    <row r="89" spans="1:15" x14ac:dyDescent="0.25">
      <c r="A89" s="23">
        <v>45072.688194444447</v>
      </c>
      <c r="C89">
        <v>181.39</v>
      </c>
      <c r="D89">
        <v>177.71</v>
      </c>
      <c r="E89">
        <v>168.74</v>
      </c>
      <c r="F89">
        <v>172.9</v>
      </c>
      <c r="G89">
        <v>170.98</v>
      </c>
      <c r="H89">
        <v>182.81</v>
      </c>
      <c r="I89">
        <v>175.84</v>
      </c>
      <c r="J89">
        <v>178.87</v>
      </c>
      <c r="K89">
        <v>178.81</v>
      </c>
      <c r="L89">
        <v>179.31</v>
      </c>
      <c r="M89">
        <v>177.4</v>
      </c>
      <c r="N89">
        <v>181.16</v>
      </c>
      <c r="O89">
        <v>180.19</v>
      </c>
    </row>
    <row r="90" spans="1:15" x14ac:dyDescent="0.25">
      <c r="A90" s="23">
        <v>45072.688888888886</v>
      </c>
      <c r="C90">
        <v>186.11</v>
      </c>
      <c r="D90">
        <v>182.03</v>
      </c>
      <c r="E90">
        <v>174.06</v>
      </c>
      <c r="F90">
        <v>177.82</v>
      </c>
      <c r="G90">
        <v>173.77</v>
      </c>
      <c r="H90">
        <v>186.94</v>
      </c>
      <c r="I90">
        <v>179.83</v>
      </c>
      <c r="J90">
        <v>183.98</v>
      </c>
      <c r="K90">
        <v>183.7</v>
      </c>
      <c r="L90">
        <v>184.51</v>
      </c>
      <c r="M90">
        <v>181.86</v>
      </c>
      <c r="N90">
        <v>185.24</v>
      </c>
      <c r="O90">
        <v>185.28</v>
      </c>
    </row>
    <row r="91" spans="1:15" x14ac:dyDescent="0.25">
      <c r="A91" s="23">
        <v>45072.689583333333</v>
      </c>
      <c r="C91">
        <v>190.16</v>
      </c>
      <c r="D91">
        <v>186.46</v>
      </c>
      <c r="E91">
        <v>177.35</v>
      </c>
      <c r="F91">
        <v>182.45</v>
      </c>
      <c r="G91">
        <v>179.03</v>
      </c>
      <c r="H91">
        <v>191.34</v>
      </c>
      <c r="I91">
        <v>184.52</v>
      </c>
      <c r="J91">
        <v>188.73</v>
      </c>
      <c r="K91">
        <v>187.87</v>
      </c>
      <c r="L91">
        <v>188.85</v>
      </c>
      <c r="M91">
        <v>185.46</v>
      </c>
      <c r="N91">
        <v>189.26</v>
      </c>
      <c r="O91">
        <v>189.46</v>
      </c>
    </row>
    <row r="92" spans="1:15" x14ac:dyDescent="0.25">
      <c r="A92" s="23">
        <v>45072.69027777778</v>
      </c>
      <c r="C92">
        <v>194.29</v>
      </c>
      <c r="D92">
        <v>190.17</v>
      </c>
      <c r="E92">
        <v>181.86</v>
      </c>
      <c r="F92">
        <v>186.13</v>
      </c>
      <c r="G92">
        <v>184.1</v>
      </c>
      <c r="H92">
        <v>195.65</v>
      </c>
      <c r="I92">
        <v>187.81</v>
      </c>
      <c r="J92">
        <v>192.16</v>
      </c>
      <c r="K92">
        <v>190.39</v>
      </c>
      <c r="L92">
        <v>192.47</v>
      </c>
      <c r="M92">
        <v>189.58</v>
      </c>
      <c r="N92">
        <v>191.47</v>
      </c>
      <c r="O92">
        <v>193.33</v>
      </c>
    </row>
    <row r="93" spans="1:15" x14ac:dyDescent="0.25">
      <c r="A93" s="23">
        <v>45072.690972222219</v>
      </c>
      <c r="C93">
        <v>196.44</v>
      </c>
      <c r="D93">
        <v>192.65</v>
      </c>
      <c r="E93">
        <v>184.38</v>
      </c>
      <c r="F93">
        <v>188.06</v>
      </c>
      <c r="G93">
        <v>183.85</v>
      </c>
      <c r="H93">
        <v>197.71</v>
      </c>
      <c r="I93">
        <v>190.79</v>
      </c>
      <c r="J93">
        <v>194.11</v>
      </c>
      <c r="K93">
        <v>193.67</v>
      </c>
      <c r="L93">
        <v>195.02</v>
      </c>
      <c r="M93">
        <v>192.26</v>
      </c>
      <c r="N93">
        <v>195.18</v>
      </c>
      <c r="O93">
        <v>195.32</v>
      </c>
    </row>
    <row r="94" spans="1:15" x14ac:dyDescent="0.25">
      <c r="A94" s="23">
        <v>45072.691666666666</v>
      </c>
      <c r="C94">
        <v>199.99</v>
      </c>
      <c r="D94">
        <v>196.26</v>
      </c>
      <c r="E94">
        <v>187.75</v>
      </c>
      <c r="F94">
        <v>191.79</v>
      </c>
      <c r="G94">
        <v>187.02</v>
      </c>
      <c r="H94">
        <v>200.98</v>
      </c>
      <c r="I94">
        <v>194.71</v>
      </c>
      <c r="J94">
        <v>197.17</v>
      </c>
      <c r="K94">
        <v>197</v>
      </c>
      <c r="L94">
        <v>198.07</v>
      </c>
      <c r="M94">
        <v>195.33</v>
      </c>
      <c r="N94">
        <v>198.57</v>
      </c>
      <c r="O94">
        <v>197.01</v>
      </c>
    </row>
    <row r="95" spans="1:15" x14ac:dyDescent="0.25">
      <c r="A95" s="23">
        <v>45072.692361111112</v>
      </c>
      <c r="C95">
        <v>197.11</v>
      </c>
      <c r="D95">
        <v>193.13</v>
      </c>
      <c r="E95">
        <v>185.54</v>
      </c>
      <c r="F95">
        <v>189.18</v>
      </c>
      <c r="G95">
        <v>185.49</v>
      </c>
      <c r="H95">
        <v>198.09</v>
      </c>
      <c r="I95">
        <v>191.32</v>
      </c>
      <c r="J95">
        <v>194.76</v>
      </c>
      <c r="K95">
        <v>193.5</v>
      </c>
      <c r="L95">
        <v>195.59</v>
      </c>
      <c r="M95">
        <v>193.16</v>
      </c>
      <c r="N95">
        <v>195.79</v>
      </c>
      <c r="O95">
        <v>195.85</v>
      </c>
    </row>
    <row r="96" spans="1:15" x14ac:dyDescent="0.25">
      <c r="A96" s="23">
        <v>45072.693055555559</v>
      </c>
      <c r="C96">
        <v>198.01</v>
      </c>
      <c r="D96">
        <v>194.36</v>
      </c>
      <c r="E96">
        <v>187.01</v>
      </c>
      <c r="F96">
        <v>189.46</v>
      </c>
      <c r="G96">
        <v>186.63</v>
      </c>
      <c r="H96">
        <v>199.04</v>
      </c>
      <c r="I96">
        <v>192.78</v>
      </c>
      <c r="J96">
        <v>195.76</v>
      </c>
      <c r="K96">
        <v>195.79</v>
      </c>
      <c r="L96">
        <v>196.63</v>
      </c>
      <c r="M96">
        <v>193.86</v>
      </c>
      <c r="N96">
        <v>197.39</v>
      </c>
      <c r="O96">
        <v>197.09</v>
      </c>
    </row>
    <row r="97" spans="1:15" x14ac:dyDescent="0.25">
      <c r="A97" s="23">
        <v>45072.693749999999</v>
      </c>
      <c r="C97">
        <v>196.01</v>
      </c>
      <c r="D97">
        <v>192.19</v>
      </c>
      <c r="E97">
        <v>185.39</v>
      </c>
      <c r="F97">
        <v>188.83</v>
      </c>
      <c r="G97">
        <v>187.21</v>
      </c>
      <c r="H97">
        <v>196.67</v>
      </c>
      <c r="I97">
        <v>191.1</v>
      </c>
      <c r="J97">
        <v>193.95</v>
      </c>
      <c r="K97">
        <v>192.82</v>
      </c>
      <c r="L97">
        <v>195.03</v>
      </c>
      <c r="M97">
        <v>191.12</v>
      </c>
      <c r="N97">
        <v>195.38</v>
      </c>
      <c r="O97">
        <v>193.95</v>
      </c>
    </row>
    <row r="98" spans="1:15" x14ac:dyDescent="0.25">
      <c r="A98" s="23">
        <v>45072.694444444445</v>
      </c>
      <c r="C98">
        <v>194.04</v>
      </c>
      <c r="D98">
        <v>191.69</v>
      </c>
      <c r="E98">
        <v>184.66</v>
      </c>
      <c r="F98">
        <v>187.09</v>
      </c>
      <c r="G98">
        <v>184.34</v>
      </c>
      <c r="H98">
        <v>194.35</v>
      </c>
      <c r="I98">
        <v>189.92</v>
      </c>
      <c r="J98">
        <v>192.44</v>
      </c>
      <c r="K98">
        <v>191.97</v>
      </c>
      <c r="L98">
        <v>193.34</v>
      </c>
      <c r="M98">
        <v>190.56</v>
      </c>
      <c r="N98">
        <v>193.41</v>
      </c>
      <c r="O98">
        <v>192.14</v>
      </c>
    </row>
    <row r="99" spans="1:15" x14ac:dyDescent="0.25">
      <c r="A99" s="23">
        <v>45072.695138888892</v>
      </c>
      <c r="C99">
        <v>196.94</v>
      </c>
      <c r="D99">
        <v>193.46</v>
      </c>
      <c r="E99">
        <v>186.34</v>
      </c>
      <c r="F99">
        <v>188.72</v>
      </c>
      <c r="G99">
        <v>186.83</v>
      </c>
      <c r="H99">
        <v>197.07</v>
      </c>
      <c r="I99">
        <v>191.83</v>
      </c>
      <c r="J99">
        <v>194.94</v>
      </c>
      <c r="K99">
        <v>194.31</v>
      </c>
      <c r="L99">
        <v>195.64</v>
      </c>
      <c r="M99">
        <v>193.15</v>
      </c>
      <c r="N99">
        <v>196</v>
      </c>
      <c r="O99">
        <v>196.15</v>
      </c>
    </row>
    <row r="100" spans="1:15" x14ac:dyDescent="0.25">
      <c r="A100" s="23">
        <v>45072.695833333331</v>
      </c>
      <c r="C100">
        <v>194.18</v>
      </c>
      <c r="D100">
        <v>191.07</v>
      </c>
      <c r="E100">
        <v>183.21</v>
      </c>
      <c r="F100">
        <v>186.18</v>
      </c>
      <c r="G100">
        <v>183.18</v>
      </c>
      <c r="H100">
        <v>195.53</v>
      </c>
      <c r="I100">
        <v>189.73</v>
      </c>
      <c r="J100">
        <v>191.42</v>
      </c>
      <c r="K100">
        <v>190.49</v>
      </c>
      <c r="L100">
        <v>192.95</v>
      </c>
      <c r="M100">
        <v>190.19</v>
      </c>
      <c r="N100">
        <v>193.46</v>
      </c>
      <c r="O100">
        <v>193.93</v>
      </c>
    </row>
    <row r="101" spans="1:15" x14ac:dyDescent="0.25">
      <c r="A101" s="23">
        <v>45072.696527777778</v>
      </c>
      <c r="C101">
        <v>192.96</v>
      </c>
      <c r="D101">
        <v>190.21</v>
      </c>
      <c r="E101">
        <v>185.28</v>
      </c>
      <c r="F101">
        <v>186.64</v>
      </c>
      <c r="G101">
        <v>182.87</v>
      </c>
      <c r="H101">
        <v>193.27</v>
      </c>
      <c r="I101">
        <v>188.59</v>
      </c>
      <c r="J101">
        <v>190.87</v>
      </c>
      <c r="K101">
        <v>189.7</v>
      </c>
      <c r="L101">
        <v>191.94</v>
      </c>
      <c r="M101">
        <v>190.05</v>
      </c>
      <c r="N101">
        <v>192.26</v>
      </c>
      <c r="O101">
        <v>192.02</v>
      </c>
    </row>
    <row r="102" spans="1:15" x14ac:dyDescent="0.25">
      <c r="A102" s="23">
        <v>45072.697222222225</v>
      </c>
      <c r="C102">
        <v>193.12</v>
      </c>
      <c r="D102">
        <v>190.28</v>
      </c>
      <c r="E102">
        <v>183.27</v>
      </c>
      <c r="F102">
        <v>187.14</v>
      </c>
      <c r="G102">
        <v>186.18</v>
      </c>
      <c r="H102">
        <v>193.66</v>
      </c>
      <c r="I102">
        <v>188.87</v>
      </c>
      <c r="J102">
        <v>190.69</v>
      </c>
      <c r="K102">
        <v>190.44</v>
      </c>
      <c r="L102">
        <v>191.89</v>
      </c>
      <c r="M102">
        <v>190.57</v>
      </c>
      <c r="N102">
        <v>192.85</v>
      </c>
      <c r="O102">
        <v>192.73</v>
      </c>
    </row>
    <row r="103" spans="1:15" x14ac:dyDescent="0.25">
      <c r="A103" s="23">
        <v>45072.697916666664</v>
      </c>
      <c r="C103">
        <v>193.44</v>
      </c>
      <c r="D103">
        <v>190.79</v>
      </c>
      <c r="E103">
        <v>184.88</v>
      </c>
      <c r="F103">
        <v>186.42</v>
      </c>
      <c r="G103">
        <v>185.06</v>
      </c>
      <c r="H103">
        <v>194.16</v>
      </c>
      <c r="I103">
        <v>188.92</v>
      </c>
      <c r="J103">
        <v>191.35</v>
      </c>
      <c r="K103">
        <v>191.3</v>
      </c>
      <c r="L103">
        <v>192.12</v>
      </c>
      <c r="M103">
        <v>190.4</v>
      </c>
      <c r="N103">
        <v>192.95</v>
      </c>
      <c r="O103">
        <v>193.09</v>
      </c>
    </row>
    <row r="104" spans="1:15" x14ac:dyDescent="0.25">
      <c r="A104" s="23">
        <v>45072.698611111111</v>
      </c>
      <c r="C104">
        <v>193.7</v>
      </c>
      <c r="D104">
        <v>191.41</v>
      </c>
      <c r="E104">
        <v>184.89</v>
      </c>
      <c r="F104">
        <v>186.62</v>
      </c>
      <c r="G104">
        <v>186.36</v>
      </c>
      <c r="H104">
        <v>193.91</v>
      </c>
      <c r="I104">
        <v>189.12</v>
      </c>
      <c r="J104">
        <v>191.51</v>
      </c>
      <c r="K104">
        <v>191.42</v>
      </c>
      <c r="L104">
        <v>192.68</v>
      </c>
      <c r="M104">
        <v>190.94</v>
      </c>
      <c r="N104">
        <v>193.57</v>
      </c>
      <c r="O104">
        <v>193.43</v>
      </c>
    </row>
    <row r="105" spans="1:15" x14ac:dyDescent="0.25">
      <c r="A105" s="23">
        <v>45072.699305555558</v>
      </c>
      <c r="C105">
        <v>193.05</v>
      </c>
      <c r="D105">
        <v>189.98</v>
      </c>
      <c r="E105">
        <v>185.36</v>
      </c>
      <c r="F105">
        <v>186.63</v>
      </c>
      <c r="G105">
        <v>185.61</v>
      </c>
      <c r="H105">
        <v>193.26</v>
      </c>
      <c r="I105">
        <v>188.65</v>
      </c>
      <c r="J105">
        <v>190.85</v>
      </c>
      <c r="K105">
        <v>190.15</v>
      </c>
      <c r="L105">
        <v>192.03</v>
      </c>
      <c r="M105">
        <v>189.83</v>
      </c>
      <c r="N105">
        <v>192.6</v>
      </c>
      <c r="O105">
        <v>192.59</v>
      </c>
    </row>
    <row r="106" spans="1:15" x14ac:dyDescent="0.25">
      <c r="A106" s="23">
        <v>45072.7</v>
      </c>
      <c r="C106">
        <v>194.04</v>
      </c>
      <c r="D106">
        <v>191.31</v>
      </c>
      <c r="E106">
        <v>185.06</v>
      </c>
      <c r="F106">
        <v>186.63</v>
      </c>
      <c r="G106">
        <v>186.31</v>
      </c>
      <c r="H106">
        <v>194.86</v>
      </c>
      <c r="I106">
        <v>189.58</v>
      </c>
      <c r="J106">
        <v>191.44</v>
      </c>
      <c r="K106">
        <v>191.15</v>
      </c>
      <c r="L106">
        <v>192.44</v>
      </c>
      <c r="M106">
        <v>190.9</v>
      </c>
      <c r="N106">
        <v>193.3</v>
      </c>
      <c r="O106">
        <v>193.91</v>
      </c>
    </row>
    <row r="107" spans="1:15" x14ac:dyDescent="0.25">
      <c r="A107" s="23">
        <v>45072.700694444444</v>
      </c>
      <c r="C107">
        <v>193.42</v>
      </c>
      <c r="D107">
        <v>190.81</v>
      </c>
      <c r="E107">
        <v>185.5</v>
      </c>
      <c r="F107">
        <v>187.12</v>
      </c>
      <c r="G107">
        <v>185.7</v>
      </c>
      <c r="H107">
        <v>193.52</v>
      </c>
      <c r="I107">
        <v>189.37</v>
      </c>
      <c r="J107">
        <v>190.88</v>
      </c>
      <c r="K107">
        <v>190.92</v>
      </c>
      <c r="L107">
        <v>192.01</v>
      </c>
      <c r="M107">
        <v>190.44</v>
      </c>
      <c r="N107">
        <v>192.47</v>
      </c>
      <c r="O107">
        <v>192.56</v>
      </c>
    </row>
    <row r="108" spans="1:15" x14ac:dyDescent="0.25">
      <c r="A108" s="23">
        <v>45072.701388888891</v>
      </c>
      <c r="C108">
        <v>192.85</v>
      </c>
      <c r="D108">
        <v>190.38</v>
      </c>
      <c r="E108">
        <v>186.15</v>
      </c>
      <c r="F108">
        <v>186.39</v>
      </c>
      <c r="G108">
        <v>185.68</v>
      </c>
      <c r="H108">
        <v>193.26</v>
      </c>
      <c r="I108">
        <v>188.8</v>
      </c>
      <c r="J108">
        <v>190.65</v>
      </c>
      <c r="K108">
        <v>189.98</v>
      </c>
      <c r="L108">
        <v>191.39</v>
      </c>
      <c r="M108">
        <v>190</v>
      </c>
      <c r="N108">
        <v>192.31</v>
      </c>
      <c r="O108">
        <v>192.45</v>
      </c>
    </row>
    <row r="109" spans="1:15" x14ac:dyDescent="0.25">
      <c r="A109" s="23">
        <v>45072.70208333333</v>
      </c>
      <c r="C109">
        <v>192.85</v>
      </c>
      <c r="D109">
        <v>190.37</v>
      </c>
      <c r="E109">
        <v>185.13</v>
      </c>
      <c r="F109">
        <v>186.09</v>
      </c>
      <c r="G109">
        <v>186.09</v>
      </c>
      <c r="H109">
        <v>193.33</v>
      </c>
      <c r="I109">
        <v>189.1</v>
      </c>
      <c r="J109">
        <v>190.85</v>
      </c>
      <c r="K109">
        <v>189.88</v>
      </c>
      <c r="L109">
        <v>191.53</v>
      </c>
      <c r="M109">
        <v>189.85</v>
      </c>
      <c r="N109">
        <v>192.36</v>
      </c>
      <c r="O109">
        <v>192.38</v>
      </c>
    </row>
    <row r="110" spans="1:15" x14ac:dyDescent="0.25">
      <c r="A110" s="23">
        <v>45072.702777777777</v>
      </c>
      <c r="C110">
        <v>194.23</v>
      </c>
      <c r="D110">
        <v>191.75</v>
      </c>
      <c r="E110">
        <v>184.83</v>
      </c>
      <c r="F110">
        <v>186.9</v>
      </c>
      <c r="G110">
        <v>186.46</v>
      </c>
      <c r="H110">
        <v>194.77</v>
      </c>
      <c r="I110">
        <v>190.35</v>
      </c>
      <c r="J110">
        <v>191.48</v>
      </c>
      <c r="K110">
        <v>190.85</v>
      </c>
      <c r="L110">
        <v>192.27</v>
      </c>
      <c r="M110">
        <v>191.28</v>
      </c>
      <c r="N110">
        <v>193.27</v>
      </c>
      <c r="O110">
        <v>193.64</v>
      </c>
    </row>
    <row r="111" spans="1:15" x14ac:dyDescent="0.25">
      <c r="A111" s="23">
        <v>45072.703472222223</v>
      </c>
      <c r="C111">
        <v>193.7</v>
      </c>
      <c r="D111">
        <v>191.28</v>
      </c>
      <c r="E111">
        <v>185.28</v>
      </c>
      <c r="F111">
        <v>187.39</v>
      </c>
      <c r="G111">
        <v>186.45</v>
      </c>
      <c r="H111">
        <v>193.95</v>
      </c>
      <c r="I111">
        <v>190.26</v>
      </c>
      <c r="J111">
        <v>191.72</v>
      </c>
      <c r="K111">
        <v>191.4</v>
      </c>
      <c r="L111">
        <v>192.37</v>
      </c>
      <c r="M111">
        <v>190.83</v>
      </c>
      <c r="N111">
        <v>193.08</v>
      </c>
      <c r="O111">
        <v>192.96</v>
      </c>
    </row>
    <row r="112" spans="1:15" x14ac:dyDescent="0.25">
      <c r="A112" s="23">
        <v>45072.70416666667</v>
      </c>
      <c r="C112">
        <v>192.99</v>
      </c>
      <c r="D112">
        <v>190.89</v>
      </c>
      <c r="E112">
        <v>185.3</v>
      </c>
      <c r="F112">
        <v>186.19</v>
      </c>
      <c r="G112">
        <v>186.05</v>
      </c>
      <c r="H112">
        <v>193.41</v>
      </c>
      <c r="I112">
        <v>189.51</v>
      </c>
      <c r="J112">
        <v>190.84</v>
      </c>
      <c r="K112">
        <v>190.37</v>
      </c>
      <c r="L112">
        <v>191.75</v>
      </c>
      <c r="M112">
        <v>190.32</v>
      </c>
      <c r="N112">
        <v>192.51</v>
      </c>
      <c r="O112">
        <v>192.54</v>
      </c>
    </row>
    <row r="113" spans="1:15" x14ac:dyDescent="0.25">
      <c r="A113" s="23">
        <v>45072.704861111109</v>
      </c>
      <c r="C113">
        <v>193.04</v>
      </c>
      <c r="D113">
        <v>190.43</v>
      </c>
      <c r="E113">
        <v>184.91</v>
      </c>
      <c r="F113">
        <v>186.88</v>
      </c>
      <c r="G113">
        <v>185.3</v>
      </c>
      <c r="H113">
        <v>193.41</v>
      </c>
      <c r="I113">
        <v>189.52</v>
      </c>
      <c r="J113">
        <v>190.43</v>
      </c>
      <c r="K113">
        <v>188.95</v>
      </c>
      <c r="L113">
        <v>191.43</v>
      </c>
      <c r="M113">
        <v>190.24</v>
      </c>
      <c r="N113">
        <v>192.05</v>
      </c>
      <c r="O113">
        <v>192.68</v>
      </c>
    </row>
    <row r="114" spans="1:15" x14ac:dyDescent="0.25">
      <c r="A114" s="23">
        <v>45072.705555555556</v>
      </c>
      <c r="C114">
        <v>192.85</v>
      </c>
      <c r="D114">
        <v>190.58</v>
      </c>
      <c r="E114">
        <v>185.31</v>
      </c>
      <c r="F114">
        <v>186.38</v>
      </c>
      <c r="G114">
        <v>185.95</v>
      </c>
      <c r="H114">
        <v>193.11</v>
      </c>
      <c r="I114">
        <v>189.04</v>
      </c>
      <c r="J114">
        <v>190.71</v>
      </c>
      <c r="K114">
        <v>190.51</v>
      </c>
      <c r="L114">
        <v>191.53</v>
      </c>
      <c r="M114">
        <v>190.23</v>
      </c>
      <c r="N114">
        <v>191.92</v>
      </c>
      <c r="O114">
        <v>192.29</v>
      </c>
    </row>
    <row r="115" spans="1:15" x14ac:dyDescent="0.25">
      <c r="A115" s="23">
        <v>45072.706250000003</v>
      </c>
      <c r="C115">
        <v>193.16</v>
      </c>
      <c r="D115">
        <v>190.38</v>
      </c>
      <c r="E115">
        <v>185.28</v>
      </c>
      <c r="F115">
        <v>186.13</v>
      </c>
      <c r="G115">
        <v>186.74</v>
      </c>
      <c r="H115">
        <v>193.58</v>
      </c>
      <c r="I115">
        <v>189.49</v>
      </c>
      <c r="J115">
        <v>190.52</v>
      </c>
      <c r="K115">
        <v>190.54</v>
      </c>
      <c r="L115">
        <v>191.74</v>
      </c>
      <c r="M115">
        <v>190.56</v>
      </c>
      <c r="N115">
        <v>192.09</v>
      </c>
      <c r="O115">
        <v>192.86</v>
      </c>
    </row>
    <row r="116" spans="1:15" x14ac:dyDescent="0.25">
      <c r="A116" s="23">
        <v>45072.706944444442</v>
      </c>
      <c r="C116">
        <v>193.35</v>
      </c>
      <c r="D116">
        <v>191.14</v>
      </c>
      <c r="E116">
        <v>184.88</v>
      </c>
      <c r="F116">
        <v>186.28</v>
      </c>
      <c r="G116">
        <v>186.55</v>
      </c>
      <c r="H116">
        <v>193.86</v>
      </c>
      <c r="I116">
        <v>189.48</v>
      </c>
      <c r="J116">
        <v>190.98</v>
      </c>
      <c r="K116">
        <v>191.49</v>
      </c>
      <c r="L116">
        <v>192.01</v>
      </c>
      <c r="M116">
        <v>190.72</v>
      </c>
      <c r="N116">
        <v>192.32</v>
      </c>
      <c r="O116">
        <v>193.1</v>
      </c>
    </row>
    <row r="117" spans="1:15" x14ac:dyDescent="0.25">
      <c r="A117" s="23">
        <v>45072.707638888889</v>
      </c>
      <c r="C117">
        <v>193.52</v>
      </c>
      <c r="D117">
        <v>191.03</v>
      </c>
      <c r="E117">
        <v>184.87</v>
      </c>
      <c r="F117">
        <v>186.59</v>
      </c>
      <c r="G117">
        <v>186.69</v>
      </c>
      <c r="H117">
        <v>194.04</v>
      </c>
      <c r="I117">
        <v>189.74</v>
      </c>
      <c r="J117">
        <v>191.4</v>
      </c>
      <c r="K117">
        <v>191.24</v>
      </c>
      <c r="L117">
        <v>192.31</v>
      </c>
      <c r="M117">
        <v>190.97</v>
      </c>
      <c r="N117">
        <v>192.54</v>
      </c>
      <c r="O117">
        <v>193.07</v>
      </c>
    </row>
    <row r="118" spans="1:15" x14ac:dyDescent="0.25">
      <c r="A118" s="23">
        <v>45072.708333333336</v>
      </c>
      <c r="C118">
        <v>193.8</v>
      </c>
      <c r="D118">
        <v>191.72</v>
      </c>
      <c r="E118">
        <v>185.54</v>
      </c>
      <c r="F118">
        <v>187.82</v>
      </c>
      <c r="G118">
        <v>187.16</v>
      </c>
      <c r="H118">
        <v>194.15</v>
      </c>
      <c r="I118">
        <v>190.22</v>
      </c>
      <c r="J118">
        <v>191.44</v>
      </c>
      <c r="K118">
        <v>190.04</v>
      </c>
      <c r="L118">
        <v>192.3</v>
      </c>
      <c r="M118">
        <v>191.2</v>
      </c>
      <c r="N118">
        <v>192.54</v>
      </c>
      <c r="O118">
        <v>193.41</v>
      </c>
    </row>
    <row r="119" spans="1:15" x14ac:dyDescent="0.25">
      <c r="A119" s="23">
        <v>45072.709027777775</v>
      </c>
      <c r="C119">
        <v>193.6</v>
      </c>
      <c r="D119">
        <v>191.36</v>
      </c>
      <c r="E119">
        <v>184.89</v>
      </c>
      <c r="F119">
        <v>187.26</v>
      </c>
      <c r="G119">
        <v>186.3</v>
      </c>
      <c r="H119">
        <v>193.84</v>
      </c>
      <c r="I119">
        <v>189.87</v>
      </c>
      <c r="J119">
        <v>191.29</v>
      </c>
      <c r="K119">
        <v>190.64</v>
      </c>
      <c r="L119">
        <v>192.23</v>
      </c>
      <c r="M119">
        <v>190.8</v>
      </c>
      <c r="N119">
        <v>192.41</v>
      </c>
      <c r="O119">
        <v>193.02</v>
      </c>
    </row>
    <row r="120" spans="1:15" x14ac:dyDescent="0.25">
      <c r="A120" s="23">
        <v>45072.709722222222</v>
      </c>
      <c r="C120">
        <v>193.09</v>
      </c>
      <c r="D120">
        <v>191.44</v>
      </c>
      <c r="E120">
        <v>184.85</v>
      </c>
      <c r="F120">
        <v>187.01</v>
      </c>
      <c r="G120">
        <v>186.84</v>
      </c>
      <c r="H120">
        <v>193.57</v>
      </c>
      <c r="I120">
        <v>189.83</v>
      </c>
      <c r="J120">
        <v>191.35</v>
      </c>
      <c r="K120">
        <v>190.15</v>
      </c>
      <c r="L120">
        <v>191.98</v>
      </c>
      <c r="M120">
        <v>190.59</v>
      </c>
      <c r="N120">
        <v>192.3</v>
      </c>
      <c r="O120">
        <v>192.68</v>
      </c>
    </row>
    <row r="121" spans="1:15" x14ac:dyDescent="0.25">
      <c r="A121" s="23">
        <v>45072.710416666669</v>
      </c>
      <c r="C121">
        <v>193.05</v>
      </c>
      <c r="D121">
        <v>191.23</v>
      </c>
      <c r="E121">
        <v>184.91</v>
      </c>
      <c r="F121">
        <v>186.74</v>
      </c>
      <c r="G121">
        <v>187.83</v>
      </c>
      <c r="H121">
        <v>193.39</v>
      </c>
      <c r="I121">
        <v>189.45</v>
      </c>
      <c r="J121">
        <v>191.01</v>
      </c>
      <c r="K121">
        <v>189</v>
      </c>
      <c r="L121">
        <v>191.73</v>
      </c>
      <c r="M121">
        <v>190.61</v>
      </c>
      <c r="N121">
        <v>192.18</v>
      </c>
      <c r="O121">
        <v>192.77</v>
      </c>
    </row>
    <row r="122" spans="1:15" x14ac:dyDescent="0.25">
      <c r="A122" s="23">
        <v>45072.711111111108</v>
      </c>
      <c r="C122">
        <v>193.22</v>
      </c>
      <c r="D122">
        <v>190.93</v>
      </c>
      <c r="E122">
        <v>185.09</v>
      </c>
      <c r="F122">
        <v>186.05</v>
      </c>
      <c r="G122">
        <v>186.63</v>
      </c>
      <c r="H122">
        <v>193.41</v>
      </c>
      <c r="I122">
        <v>189.49</v>
      </c>
      <c r="J122">
        <v>190.56</v>
      </c>
      <c r="K122">
        <v>189.96</v>
      </c>
      <c r="L122">
        <v>191.69</v>
      </c>
      <c r="M122">
        <v>190.63</v>
      </c>
      <c r="N122">
        <v>192.05</v>
      </c>
      <c r="O122">
        <v>192.69</v>
      </c>
    </row>
    <row r="123" spans="1:15" x14ac:dyDescent="0.25">
      <c r="A123" s="23">
        <v>45072.711805555555</v>
      </c>
      <c r="C123">
        <v>193.04</v>
      </c>
      <c r="D123">
        <v>191</v>
      </c>
      <c r="E123">
        <v>184.96</v>
      </c>
      <c r="F123">
        <v>185.95</v>
      </c>
      <c r="G123">
        <v>187.04</v>
      </c>
      <c r="H123">
        <v>193.51</v>
      </c>
      <c r="I123">
        <v>189.55</v>
      </c>
      <c r="J123">
        <v>190.9</v>
      </c>
      <c r="K123">
        <v>190.14</v>
      </c>
      <c r="L123">
        <v>191.58</v>
      </c>
      <c r="M123">
        <v>190.37</v>
      </c>
      <c r="N123">
        <v>191.85</v>
      </c>
      <c r="O123">
        <v>192.59</v>
      </c>
    </row>
    <row r="124" spans="1:15" x14ac:dyDescent="0.25">
      <c r="A124" s="23">
        <v>45072.712500000001</v>
      </c>
      <c r="C124">
        <v>192.99</v>
      </c>
      <c r="D124">
        <v>190.71</v>
      </c>
      <c r="E124">
        <v>185.44</v>
      </c>
      <c r="F124">
        <v>187.35</v>
      </c>
      <c r="G124">
        <v>186.22</v>
      </c>
      <c r="H124">
        <v>193.46</v>
      </c>
      <c r="I124">
        <v>189.37</v>
      </c>
      <c r="J124">
        <v>191.07</v>
      </c>
      <c r="K124">
        <v>188.55</v>
      </c>
      <c r="L124">
        <v>191.6</v>
      </c>
      <c r="M124">
        <v>189.98</v>
      </c>
      <c r="N124">
        <v>191.65</v>
      </c>
      <c r="O124">
        <v>192.73</v>
      </c>
    </row>
    <row r="125" spans="1:15" x14ac:dyDescent="0.25">
      <c r="A125" s="23">
        <v>45072.713194444441</v>
      </c>
      <c r="C125">
        <v>193.01</v>
      </c>
      <c r="D125">
        <v>191.04</v>
      </c>
      <c r="E125">
        <v>184.97</v>
      </c>
      <c r="F125">
        <v>187.13</v>
      </c>
      <c r="G125">
        <v>186.61</v>
      </c>
      <c r="H125">
        <v>193.3</v>
      </c>
      <c r="I125">
        <v>189.76</v>
      </c>
      <c r="J125">
        <v>190.84</v>
      </c>
      <c r="K125">
        <v>190.79</v>
      </c>
      <c r="L125">
        <v>191.52</v>
      </c>
      <c r="M125">
        <v>190.29</v>
      </c>
      <c r="N125">
        <v>191.83</v>
      </c>
      <c r="O125">
        <v>192.88</v>
      </c>
    </row>
    <row r="126" spans="1:15" x14ac:dyDescent="0.25">
      <c r="A126" s="23">
        <v>45072.713888888888</v>
      </c>
      <c r="C126">
        <v>193.19</v>
      </c>
      <c r="D126">
        <v>191.4</v>
      </c>
      <c r="E126">
        <v>185.04</v>
      </c>
      <c r="F126">
        <v>186.81</v>
      </c>
      <c r="G126">
        <v>187.09</v>
      </c>
      <c r="H126">
        <v>193.24</v>
      </c>
      <c r="I126">
        <v>189.83</v>
      </c>
      <c r="J126">
        <v>190.69</v>
      </c>
      <c r="K126">
        <v>190.5</v>
      </c>
      <c r="L126">
        <v>191.85</v>
      </c>
      <c r="M126">
        <v>190.43</v>
      </c>
      <c r="N126">
        <v>191.56</v>
      </c>
      <c r="O126">
        <v>192.89</v>
      </c>
    </row>
    <row r="127" spans="1:15" x14ac:dyDescent="0.25">
      <c r="A127" s="23">
        <v>45072.714583333334</v>
      </c>
      <c r="C127">
        <v>193.3</v>
      </c>
      <c r="D127">
        <v>191.21</v>
      </c>
      <c r="E127">
        <v>184.83</v>
      </c>
      <c r="F127">
        <v>187.09</v>
      </c>
      <c r="G127">
        <v>186.9</v>
      </c>
      <c r="H127">
        <v>193.55</v>
      </c>
      <c r="I127">
        <v>189.61</v>
      </c>
      <c r="J127">
        <v>191.07</v>
      </c>
      <c r="K127">
        <v>188.77</v>
      </c>
      <c r="L127">
        <v>191.94</v>
      </c>
      <c r="M127">
        <v>190.52</v>
      </c>
      <c r="N127">
        <v>192.01</v>
      </c>
      <c r="O127">
        <v>193.02</v>
      </c>
    </row>
    <row r="128" spans="1:15" x14ac:dyDescent="0.25">
      <c r="A128" s="23">
        <v>45072.715277777781</v>
      </c>
      <c r="C128">
        <v>193.18</v>
      </c>
      <c r="D128">
        <v>191.11</v>
      </c>
      <c r="E128">
        <v>185.47</v>
      </c>
      <c r="F128">
        <v>187.55</v>
      </c>
      <c r="G128">
        <v>186.79</v>
      </c>
      <c r="H128">
        <v>193.62</v>
      </c>
      <c r="I128">
        <v>189.76</v>
      </c>
      <c r="J128">
        <v>190.8</v>
      </c>
      <c r="K128">
        <v>189.98</v>
      </c>
      <c r="L128">
        <v>191.88</v>
      </c>
      <c r="M128">
        <v>190.51</v>
      </c>
      <c r="N128">
        <v>192.09</v>
      </c>
      <c r="O128">
        <v>192.99</v>
      </c>
    </row>
    <row r="129" spans="1:15" x14ac:dyDescent="0.25">
      <c r="A129" s="23">
        <v>45072.71597222222</v>
      </c>
      <c r="C129">
        <v>193.06</v>
      </c>
      <c r="D129">
        <v>191.23</v>
      </c>
      <c r="E129">
        <v>185.7</v>
      </c>
      <c r="F129">
        <v>186.94</v>
      </c>
      <c r="G129">
        <v>187.6</v>
      </c>
      <c r="H129">
        <v>193.63</v>
      </c>
      <c r="I129">
        <v>189.79</v>
      </c>
      <c r="J129">
        <v>191.25</v>
      </c>
      <c r="K129">
        <v>189.77</v>
      </c>
      <c r="L129">
        <v>191.97</v>
      </c>
      <c r="M129">
        <v>190.49</v>
      </c>
      <c r="N129">
        <v>192.25</v>
      </c>
      <c r="O129">
        <v>192.96</v>
      </c>
    </row>
    <row r="130" spans="1:15" x14ac:dyDescent="0.25">
      <c r="A130" s="23">
        <v>45072.716666666667</v>
      </c>
      <c r="C130">
        <v>192.45</v>
      </c>
      <c r="D130">
        <v>190.37</v>
      </c>
      <c r="E130">
        <v>184.86</v>
      </c>
      <c r="F130">
        <v>186.61</v>
      </c>
      <c r="G130">
        <v>187.13</v>
      </c>
      <c r="H130">
        <v>192.8</v>
      </c>
      <c r="I130">
        <v>189.34</v>
      </c>
      <c r="J130">
        <v>190.14</v>
      </c>
      <c r="K130">
        <v>188.9</v>
      </c>
      <c r="L130">
        <v>191.12</v>
      </c>
      <c r="M130">
        <v>189.8</v>
      </c>
      <c r="N130">
        <v>191.23</v>
      </c>
      <c r="O130">
        <v>192</v>
      </c>
    </row>
    <row r="131" spans="1:15" x14ac:dyDescent="0.25">
      <c r="A131" s="23">
        <v>45072.717361111114</v>
      </c>
      <c r="C131">
        <v>192.75</v>
      </c>
      <c r="D131">
        <v>190.78</v>
      </c>
      <c r="E131">
        <v>184.93</v>
      </c>
      <c r="F131">
        <v>186.86</v>
      </c>
      <c r="G131">
        <v>187.08</v>
      </c>
      <c r="H131">
        <v>193.2</v>
      </c>
      <c r="I131">
        <v>189.55</v>
      </c>
      <c r="J131">
        <v>190.33</v>
      </c>
      <c r="K131">
        <v>190.22</v>
      </c>
      <c r="L131">
        <v>191.06</v>
      </c>
      <c r="M131">
        <v>190.47</v>
      </c>
      <c r="N131">
        <v>191.55</v>
      </c>
      <c r="O131">
        <v>192.4</v>
      </c>
    </row>
    <row r="132" spans="1:15" x14ac:dyDescent="0.25">
      <c r="A132" s="23">
        <v>45072.718055555553</v>
      </c>
      <c r="C132">
        <v>193.41</v>
      </c>
      <c r="D132">
        <v>191.43</v>
      </c>
      <c r="E132">
        <v>184.99</v>
      </c>
      <c r="F132">
        <v>187.65</v>
      </c>
      <c r="G132">
        <v>187.7</v>
      </c>
      <c r="H132">
        <v>193.95</v>
      </c>
      <c r="I132">
        <v>190.07</v>
      </c>
      <c r="J132">
        <v>190.81</v>
      </c>
      <c r="K132">
        <v>190.7</v>
      </c>
      <c r="L132">
        <v>191.88</v>
      </c>
      <c r="M132">
        <v>190.94</v>
      </c>
      <c r="N132">
        <v>191.92</v>
      </c>
      <c r="O132">
        <v>193.52</v>
      </c>
    </row>
    <row r="133" spans="1:15" x14ac:dyDescent="0.25">
      <c r="A133" s="23">
        <v>45072.71875</v>
      </c>
      <c r="C133">
        <v>185.85</v>
      </c>
      <c r="D133">
        <v>183.55</v>
      </c>
      <c r="E133">
        <v>181.04</v>
      </c>
      <c r="F133">
        <v>182.45</v>
      </c>
      <c r="G133">
        <v>182.45</v>
      </c>
      <c r="H133">
        <v>185.05</v>
      </c>
      <c r="I133">
        <v>183.24</v>
      </c>
      <c r="J133">
        <v>185.01</v>
      </c>
      <c r="K133">
        <v>182.66</v>
      </c>
      <c r="L133">
        <v>185.71</v>
      </c>
      <c r="M133">
        <v>183.37</v>
      </c>
      <c r="N133">
        <v>184</v>
      </c>
      <c r="O133">
        <v>185.09</v>
      </c>
    </row>
    <row r="134" spans="1:15" x14ac:dyDescent="0.25">
      <c r="A134" s="23">
        <v>45238.679166666669</v>
      </c>
      <c r="C134">
        <v>146</v>
      </c>
      <c r="D134">
        <v>148.84</v>
      </c>
      <c r="E134">
        <v>144.33000000000001</v>
      </c>
      <c r="F134">
        <v>147.41999999999999</v>
      </c>
      <c r="G134">
        <v>147.63999999999999</v>
      </c>
      <c r="H134">
        <v>141.19999999999999</v>
      </c>
      <c r="I134">
        <v>143.62</v>
      </c>
      <c r="J134">
        <v>141.46</v>
      </c>
      <c r="K134">
        <v>148.16</v>
      </c>
    </row>
    <row r="135" spans="1:15" x14ac:dyDescent="0.25">
      <c r="A135" s="23">
        <v>45238.679861111108</v>
      </c>
      <c r="C135">
        <v>145.88</v>
      </c>
      <c r="D135">
        <v>148.85</v>
      </c>
      <c r="E135">
        <v>144.32</v>
      </c>
      <c r="F135">
        <v>147.28</v>
      </c>
      <c r="G135">
        <v>147.28</v>
      </c>
      <c r="H135">
        <v>141.41999999999999</v>
      </c>
      <c r="I135">
        <v>143.29</v>
      </c>
      <c r="J135">
        <v>141.30000000000001</v>
      </c>
      <c r="K135">
        <v>148.07</v>
      </c>
    </row>
    <row r="136" spans="1:15" x14ac:dyDescent="0.25">
      <c r="A136" s="23">
        <v>45238.680555555555</v>
      </c>
      <c r="C136">
        <v>146.16999999999999</v>
      </c>
      <c r="D136">
        <v>148.82</v>
      </c>
      <c r="E136">
        <v>144.35</v>
      </c>
      <c r="F136">
        <v>147.21</v>
      </c>
      <c r="G136">
        <v>147.36000000000001</v>
      </c>
      <c r="H136">
        <v>141.33000000000001</v>
      </c>
      <c r="I136">
        <v>143.38999999999999</v>
      </c>
      <c r="J136">
        <v>141.43</v>
      </c>
      <c r="K136">
        <v>148.08000000000001</v>
      </c>
    </row>
    <row r="137" spans="1:15" x14ac:dyDescent="0.25">
      <c r="A137" s="23">
        <v>45238.681250000001</v>
      </c>
      <c r="C137">
        <v>145.80000000000001</v>
      </c>
      <c r="D137">
        <v>148.66999999999999</v>
      </c>
      <c r="E137">
        <v>144.41</v>
      </c>
      <c r="F137">
        <v>147</v>
      </c>
      <c r="G137">
        <v>147.41999999999999</v>
      </c>
      <c r="H137">
        <v>140.94</v>
      </c>
      <c r="I137">
        <v>143.65</v>
      </c>
      <c r="J137">
        <v>141.53</v>
      </c>
      <c r="K137">
        <v>147.85</v>
      </c>
    </row>
    <row r="138" spans="1:15" x14ac:dyDescent="0.25">
      <c r="A138" s="23">
        <v>45238.681944444441</v>
      </c>
      <c r="C138">
        <v>146.09</v>
      </c>
      <c r="D138">
        <v>148.76</v>
      </c>
      <c r="E138">
        <v>144.68</v>
      </c>
      <c r="F138">
        <v>147.11000000000001</v>
      </c>
      <c r="G138">
        <v>147.47999999999999</v>
      </c>
      <c r="H138">
        <v>141.54</v>
      </c>
      <c r="I138">
        <v>143.55000000000001</v>
      </c>
      <c r="J138">
        <v>141.31</v>
      </c>
      <c r="K138">
        <v>147.97999999999999</v>
      </c>
    </row>
    <row r="139" spans="1:15" x14ac:dyDescent="0.25">
      <c r="A139" s="23">
        <v>45238.682638888888</v>
      </c>
      <c r="C139">
        <v>146.09</v>
      </c>
      <c r="D139">
        <v>148.79</v>
      </c>
      <c r="E139">
        <v>144.29</v>
      </c>
      <c r="F139">
        <v>147.13</v>
      </c>
      <c r="G139">
        <v>147.37</v>
      </c>
      <c r="H139">
        <v>141.37</v>
      </c>
      <c r="I139">
        <v>143.44999999999999</v>
      </c>
      <c r="J139">
        <v>141.56</v>
      </c>
      <c r="K139">
        <v>147.97</v>
      </c>
    </row>
    <row r="140" spans="1:15" x14ac:dyDescent="0.25">
      <c r="A140" s="23">
        <v>45238.683333333334</v>
      </c>
      <c r="C140">
        <v>146</v>
      </c>
      <c r="D140">
        <v>148.66999999999999</v>
      </c>
      <c r="E140">
        <v>144.43</v>
      </c>
      <c r="F140">
        <v>147</v>
      </c>
      <c r="G140">
        <v>147.4</v>
      </c>
      <c r="H140">
        <v>141.43</v>
      </c>
      <c r="I140">
        <v>143.47</v>
      </c>
      <c r="J140">
        <v>141.38</v>
      </c>
      <c r="K140">
        <v>147.80000000000001</v>
      </c>
    </row>
    <row r="141" spans="1:15" x14ac:dyDescent="0.25">
      <c r="A141" s="23">
        <v>45238.684027777781</v>
      </c>
      <c r="C141">
        <v>146.38999999999999</v>
      </c>
      <c r="D141">
        <v>148.96</v>
      </c>
      <c r="E141">
        <v>144.46</v>
      </c>
      <c r="F141">
        <v>147.18</v>
      </c>
      <c r="G141">
        <v>147.53</v>
      </c>
      <c r="H141">
        <v>140.93</v>
      </c>
      <c r="I141">
        <v>143.72</v>
      </c>
      <c r="J141">
        <v>141.4</v>
      </c>
      <c r="K141">
        <v>148.04</v>
      </c>
    </row>
    <row r="142" spans="1:15" x14ac:dyDescent="0.25">
      <c r="A142" s="23">
        <v>45238.68472222222</v>
      </c>
      <c r="C142">
        <v>146.35</v>
      </c>
      <c r="D142">
        <v>148.91</v>
      </c>
      <c r="E142">
        <v>144.66</v>
      </c>
      <c r="F142">
        <v>147.16</v>
      </c>
      <c r="G142">
        <v>147.5</v>
      </c>
      <c r="H142">
        <v>141.32</v>
      </c>
      <c r="I142">
        <v>144</v>
      </c>
      <c r="J142">
        <v>141.36000000000001</v>
      </c>
      <c r="K142">
        <v>148</v>
      </c>
    </row>
    <row r="143" spans="1:15" x14ac:dyDescent="0.25">
      <c r="A143" s="23">
        <v>45238.685416666667</v>
      </c>
      <c r="C143">
        <v>146.15</v>
      </c>
      <c r="D143">
        <v>148.78</v>
      </c>
      <c r="E143">
        <v>144.69</v>
      </c>
      <c r="F143">
        <v>147.13999999999999</v>
      </c>
      <c r="G143">
        <v>147.30000000000001</v>
      </c>
      <c r="H143">
        <v>141.51</v>
      </c>
      <c r="I143">
        <v>143.81</v>
      </c>
      <c r="J143">
        <v>141.66</v>
      </c>
      <c r="K143">
        <v>147.99</v>
      </c>
    </row>
    <row r="144" spans="1:15" x14ac:dyDescent="0.25">
      <c r="A144" s="23">
        <v>45238.686111111114</v>
      </c>
      <c r="C144">
        <v>146.24</v>
      </c>
      <c r="D144">
        <v>148.79</v>
      </c>
      <c r="E144">
        <v>144.62</v>
      </c>
      <c r="F144">
        <v>147.03</v>
      </c>
      <c r="G144">
        <v>147.25</v>
      </c>
      <c r="H144">
        <v>141.21</v>
      </c>
      <c r="I144">
        <v>143.58000000000001</v>
      </c>
      <c r="J144">
        <v>141.72</v>
      </c>
      <c r="K144">
        <v>147.96</v>
      </c>
    </row>
    <row r="145" spans="1:11" x14ac:dyDescent="0.25">
      <c r="A145" s="23">
        <v>45238.686805555553</v>
      </c>
      <c r="C145">
        <v>146.30000000000001</v>
      </c>
      <c r="D145">
        <v>148.65</v>
      </c>
      <c r="E145">
        <v>144.65</v>
      </c>
      <c r="F145">
        <v>147.04</v>
      </c>
      <c r="G145">
        <v>147.32</v>
      </c>
      <c r="H145">
        <v>141.69</v>
      </c>
      <c r="I145">
        <v>143.83000000000001</v>
      </c>
      <c r="J145">
        <v>141.62</v>
      </c>
      <c r="K145">
        <v>147.88</v>
      </c>
    </row>
    <row r="146" spans="1:11" x14ac:dyDescent="0.25">
      <c r="A146" s="23">
        <v>45238.6875</v>
      </c>
      <c r="C146">
        <v>146.47999999999999</v>
      </c>
      <c r="D146">
        <v>148.81</v>
      </c>
      <c r="E146">
        <v>144.49</v>
      </c>
      <c r="F146">
        <v>147.04</v>
      </c>
      <c r="G146">
        <v>147.58000000000001</v>
      </c>
      <c r="H146">
        <v>141.72</v>
      </c>
      <c r="I146">
        <v>143.76</v>
      </c>
      <c r="J146">
        <v>141.58000000000001</v>
      </c>
      <c r="K146">
        <v>147.97999999999999</v>
      </c>
    </row>
    <row r="147" spans="1:11" x14ac:dyDescent="0.25">
      <c r="A147" s="23">
        <v>45238.688194444447</v>
      </c>
      <c r="C147">
        <v>146.55000000000001</v>
      </c>
      <c r="D147">
        <v>148.63999999999999</v>
      </c>
      <c r="E147">
        <v>144.51</v>
      </c>
      <c r="F147">
        <v>147.13</v>
      </c>
      <c r="G147">
        <v>147.29</v>
      </c>
      <c r="H147">
        <v>141.38999999999999</v>
      </c>
      <c r="I147">
        <v>143.79</v>
      </c>
      <c r="J147">
        <v>141.76</v>
      </c>
      <c r="K147">
        <v>147.84</v>
      </c>
    </row>
    <row r="148" spans="1:11" x14ac:dyDescent="0.25">
      <c r="A148" s="23">
        <v>45238.688888888886</v>
      </c>
      <c r="C148">
        <v>146.44999999999999</v>
      </c>
      <c r="D148">
        <v>148.71</v>
      </c>
      <c r="E148">
        <v>144.84</v>
      </c>
      <c r="F148">
        <v>147</v>
      </c>
      <c r="G148">
        <v>147.44999999999999</v>
      </c>
      <c r="H148">
        <v>141.91</v>
      </c>
      <c r="I148">
        <v>143.9</v>
      </c>
      <c r="J148">
        <v>141.69999999999999</v>
      </c>
      <c r="K148">
        <v>148</v>
      </c>
    </row>
    <row r="149" spans="1:11" x14ac:dyDescent="0.25">
      <c r="A149" s="23">
        <v>45238.689583333333</v>
      </c>
      <c r="C149">
        <v>146.84</v>
      </c>
      <c r="D149">
        <v>148.62</v>
      </c>
      <c r="E149">
        <v>144.51</v>
      </c>
      <c r="F149">
        <v>147.13</v>
      </c>
      <c r="G149">
        <v>147.11000000000001</v>
      </c>
      <c r="H149">
        <v>141.63999999999999</v>
      </c>
      <c r="I149">
        <v>143.61000000000001</v>
      </c>
      <c r="J149">
        <v>141.59</v>
      </c>
      <c r="K149">
        <v>147.91</v>
      </c>
    </row>
    <row r="150" spans="1:11" x14ac:dyDescent="0.25">
      <c r="A150" s="23">
        <v>45238.69027777778</v>
      </c>
      <c r="C150">
        <v>147.04</v>
      </c>
      <c r="D150">
        <v>148.63</v>
      </c>
      <c r="E150">
        <v>144.37</v>
      </c>
      <c r="F150">
        <v>147.16999999999999</v>
      </c>
      <c r="G150">
        <v>147.41999999999999</v>
      </c>
      <c r="H150">
        <v>141.25</v>
      </c>
      <c r="I150">
        <v>143.61000000000001</v>
      </c>
      <c r="J150">
        <v>141.88</v>
      </c>
      <c r="K150">
        <v>147.91999999999999</v>
      </c>
    </row>
    <row r="151" spans="1:11" x14ac:dyDescent="0.25">
      <c r="A151" s="23">
        <v>45238.690972222219</v>
      </c>
      <c r="C151">
        <v>149.27000000000001</v>
      </c>
      <c r="D151">
        <v>148.5</v>
      </c>
      <c r="E151">
        <v>144.68</v>
      </c>
      <c r="F151">
        <v>147.03</v>
      </c>
      <c r="G151">
        <v>147.22999999999999</v>
      </c>
      <c r="H151">
        <v>141.93</v>
      </c>
      <c r="I151">
        <v>143.91999999999999</v>
      </c>
      <c r="J151">
        <v>141.88</v>
      </c>
      <c r="K151">
        <v>147.91</v>
      </c>
    </row>
    <row r="152" spans="1:11" x14ac:dyDescent="0.25">
      <c r="A152" s="23">
        <v>45238.691666666666</v>
      </c>
      <c r="C152">
        <v>149.6</v>
      </c>
      <c r="D152">
        <v>148.57</v>
      </c>
      <c r="E152">
        <v>144.44</v>
      </c>
      <c r="F152">
        <v>147.09</v>
      </c>
      <c r="G152">
        <v>147.24</v>
      </c>
      <c r="H152">
        <v>142.22</v>
      </c>
      <c r="I152">
        <v>143.71</v>
      </c>
      <c r="J152">
        <v>141.59</v>
      </c>
      <c r="K152">
        <v>147.83000000000001</v>
      </c>
    </row>
    <row r="153" spans="1:11" x14ac:dyDescent="0.25">
      <c r="A153" s="23">
        <v>45238.692361111112</v>
      </c>
      <c r="C153">
        <v>149.91999999999999</v>
      </c>
      <c r="D153">
        <v>148.83000000000001</v>
      </c>
      <c r="E153">
        <v>144.66999999999999</v>
      </c>
      <c r="F153">
        <v>147.21</v>
      </c>
      <c r="G153">
        <v>147.63999999999999</v>
      </c>
      <c r="H153">
        <v>141.77000000000001</v>
      </c>
      <c r="I153">
        <v>144.01</v>
      </c>
      <c r="J153">
        <v>142</v>
      </c>
      <c r="K153">
        <v>148.05000000000001</v>
      </c>
    </row>
    <row r="154" spans="1:11" x14ac:dyDescent="0.25">
      <c r="A154" s="23">
        <v>45238.693055555559</v>
      </c>
      <c r="C154">
        <v>149.96</v>
      </c>
      <c r="D154">
        <v>148.76</v>
      </c>
      <c r="E154">
        <v>144.75</v>
      </c>
      <c r="F154">
        <v>147.19999999999999</v>
      </c>
      <c r="G154">
        <v>147.54</v>
      </c>
      <c r="H154">
        <v>141.80000000000001</v>
      </c>
      <c r="I154">
        <v>143.83000000000001</v>
      </c>
      <c r="J154">
        <v>141.96</v>
      </c>
      <c r="K154">
        <v>147.97999999999999</v>
      </c>
    </row>
    <row r="155" spans="1:11" x14ac:dyDescent="0.25">
      <c r="A155" s="23">
        <v>45238.693749999999</v>
      </c>
      <c r="C155">
        <v>149.76</v>
      </c>
      <c r="D155">
        <v>148.63999999999999</v>
      </c>
      <c r="E155">
        <v>144.80000000000001</v>
      </c>
      <c r="F155">
        <v>146.88999999999999</v>
      </c>
      <c r="G155">
        <v>147.15</v>
      </c>
      <c r="H155">
        <v>141.87</v>
      </c>
      <c r="I155">
        <v>143.9</v>
      </c>
      <c r="J155">
        <v>141.72</v>
      </c>
      <c r="K155">
        <v>147.82</v>
      </c>
    </row>
    <row r="156" spans="1:11" x14ac:dyDescent="0.25">
      <c r="A156" s="23">
        <v>45238.694444444445</v>
      </c>
      <c r="C156">
        <v>149.72</v>
      </c>
      <c r="D156">
        <v>148.55000000000001</v>
      </c>
      <c r="E156">
        <v>144.63</v>
      </c>
      <c r="F156">
        <v>147.24</v>
      </c>
      <c r="G156">
        <v>147.38999999999999</v>
      </c>
      <c r="H156">
        <v>141.81</v>
      </c>
      <c r="I156">
        <v>143.78</v>
      </c>
      <c r="J156">
        <v>141.82</v>
      </c>
      <c r="K156">
        <v>147.96</v>
      </c>
    </row>
    <row r="157" spans="1:11" x14ac:dyDescent="0.25">
      <c r="A157" s="23">
        <v>45238.695138888892</v>
      </c>
      <c r="C157">
        <v>149.97999999999999</v>
      </c>
      <c r="D157">
        <v>148.83000000000001</v>
      </c>
      <c r="E157">
        <v>144.84</v>
      </c>
      <c r="F157">
        <v>147.1</v>
      </c>
      <c r="G157">
        <v>147.47999999999999</v>
      </c>
      <c r="H157">
        <v>142.02000000000001</v>
      </c>
      <c r="I157">
        <v>143.96</v>
      </c>
      <c r="J157">
        <v>141.6</v>
      </c>
      <c r="K157">
        <v>148.04</v>
      </c>
    </row>
    <row r="158" spans="1:11" x14ac:dyDescent="0.25">
      <c r="A158" s="23">
        <v>45238.695833333331</v>
      </c>
      <c r="C158">
        <v>149.69</v>
      </c>
      <c r="D158">
        <v>148.59</v>
      </c>
      <c r="E158">
        <v>144.56</v>
      </c>
      <c r="F158">
        <v>147.07</v>
      </c>
      <c r="G158">
        <v>147.5</v>
      </c>
      <c r="H158">
        <v>141.77000000000001</v>
      </c>
      <c r="I158">
        <v>143.61000000000001</v>
      </c>
      <c r="J158">
        <v>141.74</v>
      </c>
      <c r="K158">
        <v>147.88999999999999</v>
      </c>
    </row>
    <row r="159" spans="1:11" x14ac:dyDescent="0.25">
      <c r="A159" s="23">
        <v>45238.696527777778</v>
      </c>
      <c r="C159">
        <v>149.82</v>
      </c>
      <c r="D159">
        <v>148.6</v>
      </c>
      <c r="E159">
        <v>144.71</v>
      </c>
      <c r="F159">
        <v>147.04</v>
      </c>
      <c r="G159">
        <v>147.32</v>
      </c>
      <c r="H159">
        <v>142.43</v>
      </c>
      <c r="I159">
        <v>143.93</v>
      </c>
      <c r="J159">
        <v>141.57</v>
      </c>
      <c r="K159">
        <v>147.93</v>
      </c>
    </row>
    <row r="160" spans="1:11" x14ac:dyDescent="0.25">
      <c r="A160" s="23">
        <v>45238.697222222225</v>
      </c>
      <c r="C160">
        <v>149.80000000000001</v>
      </c>
      <c r="D160">
        <v>148.62</v>
      </c>
      <c r="E160">
        <v>144.54</v>
      </c>
      <c r="F160">
        <v>147.04</v>
      </c>
      <c r="G160">
        <v>147.35</v>
      </c>
      <c r="H160">
        <v>141.88999999999999</v>
      </c>
      <c r="I160">
        <v>144.05000000000001</v>
      </c>
      <c r="J160">
        <v>141.97999999999999</v>
      </c>
      <c r="K160">
        <v>147.9</v>
      </c>
    </row>
    <row r="161" spans="1:11" x14ac:dyDescent="0.25">
      <c r="A161" s="23">
        <v>45238.697916666664</v>
      </c>
      <c r="C161">
        <v>164.74</v>
      </c>
      <c r="D161">
        <v>159.61000000000001</v>
      </c>
      <c r="E161">
        <v>151.65</v>
      </c>
      <c r="F161">
        <v>156.69999999999999</v>
      </c>
      <c r="G161">
        <v>156.30000000000001</v>
      </c>
      <c r="H161">
        <v>146.24</v>
      </c>
      <c r="I161">
        <v>150.31</v>
      </c>
      <c r="J161">
        <v>146.05000000000001</v>
      </c>
      <c r="K161">
        <v>158.44</v>
      </c>
    </row>
    <row r="162" spans="1:11" x14ac:dyDescent="0.25">
      <c r="A162" s="23">
        <v>45238.698611111111</v>
      </c>
      <c r="C162">
        <v>182.83</v>
      </c>
      <c r="D162">
        <v>175.47</v>
      </c>
      <c r="E162">
        <v>166.11</v>
      </c>
      <c r="F162">
        <v>169.66</v>
      </c>
      <c r="G162">
        <v>172.54</v>
      </c>
      <c r="H162">
        <v>158.86000000000001</v>
      </c>
      <c r="I162">
        <v>160.68</v>
      </c>
      <c r="J162">
        <v>154.55000000000001</v>
      </c>
      <c r="K162">
        <v>175.05</v>
      </c>
    </row>
    <row r="163" spans="1:11" x14ac:dyDescent="0.25">
      <c r="A163" s="23">
        <v>45238.699305555558</v>
      </c>
      <c r="C163">
        <v>198.15</v>
      </c>
      <c r="D163">
        <v>188.24</v>
      </c>
      <c r="E163">
        <v>181.27</v>
      </c>
      <c r="F163">
        <v>182.97</v>
      </c>
      <c r="G163">
        <v>184.77</v>
      </c>
      <c r="H163">
        <v>170.19</v>
      </c>
      <c r="I163">
        <v>175.42</v>
      </c>
      <c r="J163">
        <v>158.06</v>
      </c>
      <c r="K163">
        <v>187.06</v>
      </c>
    </row>
    <row r="164" spans="1:11" x14ac:dyDescent="0.25">
      <c r="A164" s="23">
        <v>45238.7</v>
      </c>
      <c r="C164">
        <v>201.17</v>
      </c>
      <c r="D164">
        <v>194.56</v>
      </c>
      <c r="E164">
        <v>188.93</v>
      </c>
      <c r="F164">
        <v>190.72</v>
      </c>
      <c r="G164">
        <v>190.96</v>
      </c>
      <c r="H164">
        <v>177.3</v>
      </c>
      <c r="I164">
        <v>183.46</v>
      </c>
      <c r="J164">
        <v>162.88999999999999</v>
      </c>
      <c r="K164">
        <v>193.12</v>
      </c>
    </row>
    <row r="165" spans="1:11" x14ac:dyDescent="0.25">
      <c r="A165" s="23">
        <v>45238.700694444444</v>
      </c>
      <c r="C165">
        <v>203.07</v>
      </c>
      <c r="D165">
        <v>197</v>
      </c>
      <c r="E165">
        <v>189.79</v>
      </c>
      <c r="F165">
        <v>192.83</v>
      </c>
      <c r="G165">
        <v>194.19</v>
      </c>
      <c r="H165">
        <v>180.39</v>
      </c>
      <c r="I165">
        <v>182.8</v>
      </c>
      <c r="J165">
        <v>170.26</v>
      </c>
      <c r="K165">
        <v>196.87</v>
      </c>
    </row>
    <row r="166" spans="1:11" x14ac:dyDescent="0.25">
      <c r="A166" s="23">
        <v>45238.701388888891</v>
      </c>
      <c r="C166">
        <v>202.78</v>
      </c>
      <c r="D166">
        <v>198.22</v>
      </c>
      <c r="E166">
        <v>189.31</v>
      </c>
      <c r="F166">
        <v>192.56</v>
      </c>
      <c r="G166">
        <v>195.34</v>
      </c>
      <c r="H166">
        <v>181.7</v>
      </c>
      <c r="I166">
        <v>182.75</v>
      </c>
      <c r="J166">
        <v>174.78</v>
      </c>
      <c r="K166">
        <v>197.1</v>
      </c>
    </row>
    <row r="167" spans="1:11" x14ac:dyDescent="0.25">
      <c r="A167" s="23">
        <v>45238.70208333333</v>
      </c>
      <c r="C167">
        <v>203.4</v>
      </c>
      <c r="D167">
        <v>199.76</v>
      </c>
      <c r="E167">
        <v>191.14</v>
      </c>
      <c r="F167">
        <v>193.88</v>
      </c>
      <c r="G167">
        <v>196.95</v>
      </c>
      <c r="H167">
        <v>183.2</v>
      </c>
      <c r="I167">
        <v>184.38</v>
      </c>
      <c r="J167">
        <v>181.2</v>
      </c>
      <c r="K167">
        <v>198.72</v>
      </c>
    </row>
    <row r="168" spans="1:11" x14ac:dyDescent="0.25">
      <c r="A168" s="23">
        <v>45238.702777777777</v>
      </c>
      <c r="C168">
        <v>203.14</v>
      </c>
      <c r="D168">
        <v>199.72</v>
      </c>
      <c r="E168">
        <v>191.41</v>
      </c>
      <c r="F168">
        <v>194.33</v>
      </c>
      <c r="G168">
        <v>197.15</v>
      </c>
      <c r="H168">
        <v>184.31</v>
      </c>
      <c r="I168">
        <v>185.52</v>
      </c>
      <c r="J168">
        <v>180.2</v>
      </c>
      <c r="K168">
        <v>198.96</v>
      </c>
    </row>
    <row r="169" spans="1:11" x14ac:dyDescent="0.25">
      <c r="A169" s="23">
        <v>45238.703472222223</v>
      </c>
      <c r="C169">
        <v>203.24</v>
      </c>
      <c r="D169">
        <v>200.42</v>
      </c>
      <c r="E169">
        <v>192.1</v>
      </c>
      <c r="F169">
        <v>194.71</v>
      </c>
      <c r="G169">
        <v>197.68</v>
      </c>
      <c r="H169">
        <v>184.25</v>
      </c>
      <c r="I169">
        <v>186.13</v>
      </c>
      <c r="J169">
        <v>180.9</v>
      </c>
      <c r="K169">
        <v>199</v>
      </c>
    </row>
    <row r="170" spans="1:11" x14ac:dyDescent="0.25">
      <c r="A170" s="23">
        <v>45238.70416666667</v>
      </c>
      <c r="C170">
        <v>203.12</v>
      </c>
      <c r="D170">
        <v>200.51</v>
      </c>
      <c r="E170">
        <v>192.7</v>
      </c>
      <c r="F170">
        <v>193.94</v>
      </c>
      <c r="G170">
        <v>197.88</v>
      </c>
      <c r="H170">
        <v>184.85</v>
      </c>
      <c r="I170">
        <v>186.33</v>
      </c>
      <c r="J170">
        <v>182.73</v>
      </c>
      <c r="K170">
        <v>199.23</v>
      </c>
    </row>
    <row r="171" spans="1:11" x14ac:dyDescent="0.25">
      <c r="A171" s="23">
        <v>45238.704861111109</v>
      </c>
      <c r="C171">
        <v>203.02</v>
      </c>
      <c r="D171">
        <v>200.92</v>
      </c>
      <c r="E171">
        <v>193.65</v>
      </c>
      <c r="F171">
        <v>195.61</v>
      </c>
      <c r="G171">
        <v>197.97</v>
      </c>
      <c r="H171">
        <v>185.2</v>
      </c>
      <c r="I171">
        <v>187.78</v>
      </c>
      <c r="J171">
        <v>183.69</v>
      </c>
      <c r="K171">
        <v>198.73</v>
      </c>
    </row>
    <row r="172" spans="1:11" x14ac:dyDescent="0.25">
      <c r="A172" s="23">
        <v>45238.705555555556</v>
      </c>
      <c r="C172">
        <v>202.94</v>
      </c>
      <c r="D172">
        <v>200.87</v>
      </c>
      <c r="E172">
        <v>193.78</v>
      </c>
      <c r="F172">
        <v>196.08</v>
      </c>
      <c r="G172">
        <v>198.03</v>
      </c>
      <c r="H172">
        <v>185.7</v>
      </c>
      <c r="I172">
        <v>188.57</v>
      </c>
      <c r="J172">
        <v>185.11</v>
      </c>
      <c r="K172">
        <v>198.78</v>
      </c>
    </row>
    <row r="173" spans="1:11" x14ac:dyDescent="0.25">
      <c r="A173" s="23">
        <v>45238.706250000003</v>
      </c>
      <c r="C173">
        <v>202.56</v>
      </c>
      <c r="D173">
        <v>200.41</v>
      </c>
      <c r="E173">
        <v>194.08</v>
      </c>
      <c r="F173">
        <v>194.67</v>
      </c>
      <c r="G173">
        <v>197.81</v>
      </c>
      <c r="H173">
        <v>185.78</v>
      </c>
      <c r="I173">
        <v>188.21</v>
      </c>
      <c r="J173">
        <v>184.46</v>
      </c>
      <c r="K173">
        <v>198.86</v>
      </c>
    </row>
    <row r="174" spans="1:11" x14ac:dyDescent="0.25">
      <c r="A174" s="23">
        <v>45238.706944444442</v>
      </c>
      <c r="C174">
        <v>202</v>
      </c>
      <c r="D174">
        <v>199.9</v>
      </c>
      <c r="E174">
        <v>193.49</v>
      </c>
      <c r="F174">
        <v>194.32</v>
      </c>
      <c r="G174">
        <v>197.67</v>
      </c>
      <c r="H174">
        <v>186.5</v>
      </c>
      <c r="I174">
        <v>188.83</v>
      </c>
      <c r="J174">
        <v>185.77</v>
      </c>
      <c r="K174">
        <v>198.71</v>
      </c>
    </row>
    <row r="175" spans="1:11" x14ac:dyDescent="0.25">
      <c r="A175" s="23">
        <v>45238.707638888889</v>
      </c>
      <c r="C175">
        <v>202.28</v>
      </c>
      <c r="D175">
        <v>200.58</v>
      </c>
      <c r="E175">
        <v>193.84</v>
      </c>
      <c r="F175">
        <v>196.4</v>
      </c>
      <c r="G175">
        <v>197.73</v>
      </c>
      <c r="H175">
        <v>186.4</v>
      </c>
      <c r="I175">
        <v>189.45</v>
      </c>
      <c r="J175">
        <v>186.58</v>
      </c>
      <c r="K175">
        <v>198.43</v>
      </c>
    </row>
    <row r="176" spans="1:11" x14ac:dyDescent="0.25">
      <c r="A176" s="23">
        <v>45238.708333333336</v>
      </c>
      <c r="C176">
        <v>202.18</v>
      </c>
      <c r="D176">
        <v>199.99</v>
      </c>
      <c r="E176">
        <v>193.39</v>
      </c>
      <c r="F176">
        <v>195.16</v>
      </c>
      <c r="G176">
        <v>197.7</v>
      </c>
      <c r="H176">
        <v>187.3</v>
      </c>
      <c r="I176">
        <v>189.3</v>
      </c>
      <c r="J176">
        <v>186.6</v>
      </c>
      <c r="K176">
        <v>198.39</v>
      </c>
    </row>
    <row r="177" spans="1:11" x14ac:dyDescent="0.25">
      <c r="A177" s="23">
        <v>45238.709027777775</v>
      </c>
      <c r="C177">
        <v>201.78</v>
      </c>
      <c r="D177">
        <v>200.34</v>
      </c>
      <c r="E177">
        <v>193.45</v>
      </c>
      <c r="F177">
        <v>196.31</v>
      </c>
      <c r="G177">
        <v>197.53</v>
      </c>
      <c r="H177">
        <v>187.01</v>
      </c>
      <c r="I177">
        <v>189.42</v>
      </c>
      <c r="J177">
        <v>186.65</v>
      </c>
      <c r="K177">
        <v>198.21</v>
      </c>
    </row>
    <row r="178" spans="1:11" x14ac:dyDescent="0.25">
      <c r="A178" s="23">
        <v>45238.709722222222</v>
      </c>
      <c r="C178">
        <v>201.75</v>
      </c>
      <c r="D178">
        <v>200.08</v>
      </c>
      <c r="E178">
        <v>193.52</v>
      </c>
      <c r="F178">
        <v>195.63</v>
      </c>
      <c r="G178">
        <v>197.73</v>
      </c>
      <c r="H178">
        <v>187.04</v>
      </c>
      <c r="I178">
        <v>189.96</v>
      </c>
      <c r="J178">
        <v>186.94</v>
      </c>
      <c r="K178">
        <v>198.16</v>
      </c>
    </row>
    <row r="179" spans="1:11" x14ac:dyDescent="0.25">
      <c r="A179" s="23">
        <v>45238.710416666669</v>
      </c>
      <c r="C179">
        <v>201.51</v>
      </c>
      <c r="D179">
        <v>199.5</v>
      </c>
      <c r="E179">
        <v>193.58</v>
      </c>
      <c r="F179">
        <v>195.71</v>
      </c>
      <c r="G179">
        <v>197.46</v>
      </c>
      <c r="H179">
        <v>187.33</v>
      </c>
      <c r="I179">
        <v>189.92</v>
      </c>
      <c r="J179">
        <v>187.66</v>
      </c>
      <c r="K179">
        <v>198.03</v>
      </c>
    </row>
    <row r="180" spans="1:11" x14ac:dyDescent="0.25">
      <c r="A180" s="23">
        <v>45238.711111111108</v>
      </c>
      <c r="C180">
        <v>201.6</v>
      </c>
      <c r="D180">
        <v>199.63</v>
      </c>
      <c r="E180">
        <v>193.85</v>
      </c>
      <c r="F180">
        <v>195.92</v>
      </c>
      <c r="G180">
        <v>197.46</v>
      </c>
      <c r="H180">
        <v>187.34</v>
      </c>
      <c r="I180">
        <v>190.54</v>
      </c>
      <c r="J180">
        <v>187.53</v>
      </c>
      <c r="K180">
        <v>198.2</v>
      </c>
    </row>
    <row r="181" spans="1:11" x14ac:dyDescent="0.25">
      <c r="A181" s="23">
        <v>45238.711805555555</v>
      </c>
      <c r="C181">
        <v>201.28</v>
      </c>
      <c r="D181">
        <v>199.36</v>
      </c>
      <c r="E181">
        <v>193.56</v>
      </c>
      <c r="F181">
        <v>195.78</v>
      </c>
      <c r="G181">
        <v>197.13</v>
      </c>
      <c r="H181">
        <v>187.28</v>
      </c>
      <c r="I181">
        <v>190</v>
      </c>
      <c r="J181">
        <v>187.64</v>
      </c>
      <c r="K181">
        <v>197.96</v>
      </c>
    </row>
    <row r="182" spans="1:11" x14ac:dyDescent="0.25">
      <c r="A182" s="23">
        <v>45238.712500000001</v>
      </c>
      <c r="C182">
        <v>201.43</v>
      </c>
      <c r="D182">
        <v>199.55</v>
      </c>
      <c r="E182">
        <v>193</v>
      </c>
      <c r="F182">
        <v>196.35</v>
      </c>
      <c r="G182">
        <v>197.37</v>
      </c>
      <c r="H182">
        <v>187.23</v>
      </c>
      <c r="I182">
        <v>190.41</v>
      </c>
      <c r="J182">
        <v>187.93</v>
      </c>
      <c r="K182">
        <v>197.93</v>
      </c>
    </row>
    <row r="183" spans="1:11" x14ac:dyDescent="0.25">
      <c r="A183" s="23">
        <v>45238.713194444441</v>
      </c>
      <c r="C183">
        <v>201.36</v>
      </c>
      <c r="D183">
        <v>199.67</v>
      </c>
      <c r="E183">
        <v>193.08</v>
      </c>
      <c r="F183">
        <v>196.17</v>
      </c>
      <c r="G183">
        <v>197.2</v>
      </c>
      <c r="H183">
        <v>187.64</v>
      </c>
      <c r="I183">
        <v>190.8</v>
      </c>
      <c r="J183">
        <v>188.33</v>
      </c>
      <c r="K183">
        <v>197.82</v>
      </c>
    </row>
    <row r="184" spans="1:11" x14ac:dyDescent="0.25">
      <c r="A184" s="23">
        <v>45238.713888888888</v>
      </c>
      <c r="C184">
        <v>201.08</v>
      </c>
      <c r="D184">
        <v>199.28</v>
      </c>
      <c r="E184">
        <v>193.88</v>
      </c>
      <c r="F184">
        <v>195.01</v>
      </c>
      <c r="G184">
        <v>197.29</v>
      </c>
      <c r="H184">
        <v>187.15</v>
      </c>
      <c r="I184">
        <v>190.13</v>
      </c>
      <c r="J184">
        <v>187.21</v>
      </c>
      <c r="K184">
        <v>197.88</v>
      </c>
    </row>
    <row r="185" spans="1:11" x14ac:dyDescent="0.25">
      <c r="A185" s="23">
        <v>45238.714583333334</v>
      </c>
      <c r="C185">
        <v>200.98</v>
      </c>
      <c r="D185">
        <v>199.17</v>
      </c>
      <c r="E185">
        <v>193.16</v>
      </c>
      <c r="F185">
        <v>196.4</v>
      </c>
      <c r="G185">
        <v>196.96</v>
      </c>
      <c r="H185">
        <v>187.98</v>
      </c>
      <c r="I185">
        <v>190.09</v>
      </c>
      <c r="J185">
        <v>188.16</v>
      </c>
      <c r="K185">
        <v>197.65</v>
      </c>
    </row>
    <row r="186" spans="1:11" x14ac:dyDescent="0.25">
      <c r="A186" s="23">
        <v>45238.715277777781</v>
      </c>
      <c r="C186">
        <v>201.29</v>
      </c>
      <c r="D186">
        <v>199.53</v>
      </c>
      <c r="E186">
        <v>193.29</v>
      </c>
      <c r="F186">
        <v>196.28</v>
      </c>
      <c r="G186">
        <v>197.17</v>
      </c>
      <c r="H186">
        <v>187.85</v>
      </c>
      <c r="I186">
        <v>190.85</v>
      </c>
      <c r="J186">
        <v>188.44</v>
      </c>
      <c r="K186">
        <v>197.86</v>
      </c>
    </row>
    <row r="187" spans="1:11" x14ac:dyDescent="0.25">
      <c r="A187" s="23">
        <v>45238.71597222222</v>
      </c>
      <c r="C187">
        <v>200.83</v>
      </c>
      <c r="D187">
        <v>199.06</v>
      </c>
      <c r="E187">
        <v>192.9</v>
      </c>
      <c r="F187">
        <v>196.15</v>
      </c>
      <c r="G187">
        <v>197.06</v>
      </c>
      <c r="H187">
        <v>188.19</v>
      </c>
      <c r="I187">
        <v>190.73</v>
      </c>
      <c r="J187">
        <v>188.63</v>
      </c>
      <c r="K187">
        <v>197.64</v>
      </c>
    </row>
    <row r="188" spans="1:11" x14ac:dyDescent="0.25">
      <c r="A188" s="23">
        <v>45238.716666666667</v>
      </c>
      <c r="C188">
        <v>201.04</v>
      </c>
      <c r="D188">
        <v>199.19</v>
      </c>
      <c r="E188">
        <v>193.45</v>
      </c>
      <c r="F188">
        <v>195.83</v>
      </c>
      <c r="G188">
        <v>197.28</v>
      </c>
      <c r="H188">
        <v>188.96</v>
      </c>
      <c r="I188">
        <v>190.87</v>
      </c>
      <c r="J188">
        <v>188.51</v>
      </c>
      <c r="K188">
        <v>197.82</v>
      </c>
    </row>
    <row r="189" spans="1:11" x14ac:dyDescent="0.25">
      <c r="A189" s="23">
        <v>45238.717361111114</v>
      </c>
      <c r="C189">
        <v>200.77</v>
      </c>
      <c r="D189">
        <v>199.14</v>
      </c>
      <c r="E189">
        <v>193.08</v>
      </c>
      <c r="F189">
        <v>196.21</v>
      </c>
      <c r="G189">
        <v>196.94</v>
      </c>
      <c r="H189">
        <v>188.22</v>
      </c>
      <c r="I189">
        <v>190.97</v>
      </c>
      <c r="J189">
        <v>188.26</v>
      </c>
      <c r="K189">
        <v>197.59</v>
      </c>
    </row>
    <row r="190" spans="1:11" x14ac:dyDescent="0.25">
      <c r="A190" s="23">
        <v>45238.718055555553</v>
      </c>
      <c r="C190">
        <v>201.01</v>
      </c>
      <c r="D190">
        <v>199.3</v>
      </c>
      <c r="E190">
        <v>193.21</v>
      </c>
      <c r="F190">
        <v>196.31</v>
      </c>
      <c r="G190">
        <v>197.14</v>
      </c>
      <c r="H190">
        <v>188.33</v>
      </c>
      <c r="I190">
        <v>191.14</v>
      </c>
      <c r="J190">
        <v>188.49</v>
      </c>
      <c r="K190">
        <v>197.73</v>
      </c>
    </row>
    <row r="191" spans="1:11" x14ac:dyDescent="0.25">
      <c r="A191" s="23">
        <v>45238.71875</v>
      </c>
      <c r="C191">
        <v>200.86</v>
      </c>
      <c r="D191">
        <v>199.09</v>
      </c>
      <c r="E191">
        <v>192.74</v>
      </c>
      <c r="F191">
        <v>196.41</v>
      </c>
      <c r="G191">
        <v>197</v>
      </c>
      <c r="H191">
        <v>188.05</v>
      </c>
      <c r="I191">
        <v>190.58</v>
      </c>
      <c r="J191">
        <v>188.9</v>
      </c>
      <c r="K191">
        <v>197.7</v>
      </c>
    </row>
    <row r="192" spans="1:11" x14ac:dyDescent="0.25">
      <c r="A192" s="23">
        <v>45238.719444444447</v>
      </c>
      <c r="C192">
        <v>200.89</v>
      </c>
      <c r="D192">
        <v>199.11</v>
      </c>
      <c r="E192">
        <v>192.91</v>
      </c>
      <c r="F192">
        <v>196.43</v>
      </c>
      <c r="G192">
        <v>196.98</v>
      </c>
      <c r="H192">
        <v>188.42</v>
      </c>
      <c r="I192">
        <v>191.05</v>
      </c>
      <c r="J192">
        <v>188.47</v>
      </c>
      <c r="K192">
        <v>197.66</v>
      </c>
    </row>
    <row r="193" spans="1:11" x14ac:dyDescent="0.25">
      <c r="A193" s="23">
        <v>45238.720138888886</v>
      </c>
      <c r="C193">
        <v>200.93</v>
      </c>
      <c r="D193">
        <v>198.95</v>
      </c>
      <c r="E193">
        <v>193.26</v>
      </c>
      <c r="F193">
        <v>196.04</v>
      </c>
      <c r="G193">
        <v>197.03</v>
      </c>
      <c r="H193">
        <v>188.31</v>
      </c>
      <c r="I193">
        <v>190.83</v>
      </c>
      <c r="J193">
        <v>188.31</v>
      </c>
      <c r="K193">
        <v>197.66</v>
      </c>
    </row>
    <row r="194" spans="1:11" x14ac:dyDescent="0.25">
      <c r="A194" s="23">
        <v>45238.720833333333</v>
      </c>
      <c r="C194">
        <v>200.84</v>
      </c>
      <c r="D194">
        <v>198.89</v>
      </c>
      <c r="E194">
        <v>193.51</v>
      </c>
      <c r="F194">
        <v>195.37</v>
      </c>
      <c r="G194">
        <v>197.09</v>
      </c>
      <c r="H194">
        <v>188.44</v>
      </c>
      <c r="I194">
        <v>190.72</v>
      </c>
      <c r="J194">
        <v>188.05</v>
      </c>
      <c r="K194">
        <v>197.53</v>
      </c>
    </row>
    <row r="195" spans="1:11" x14ac:dyDescent="0.25">
      <c r="A195" s="23">
        <v>45238.72152777778</v>
      </c>
      <c r="C195">
        <v>200.9</v>
      </c>
      <c r="D195">
        <v>199.21</v>
      </c>
      <c r="E195">
        <v>193.23</v>
      </c>
      <c r="F195">
        <v>196.28</v>
      </c>
      <c r="G195">
        <v>197.29</v>
      </c>
      <c r="H195">
        <v>187.9</v>
      </c>
      <c r="I195">
        <v>191.18</v>
      </c>
      <c r="J195">
        <v>188.07</v>
      </c>
      <c r="K195">
        <v>197.71</v>
      </c>
    </row>
  </sheetData>
  <sheetProtection algorithmName="SHA-512" hashValue="E6a6/tBquH1WZaPWyzRdP4Pck8Avi7h8Mlw9rm55ueebooc2kWGdvLeBYO9trzaeTD2tqz8+iek0NT5bk4txKQ==" saltValue="eDYh/85p2pl58jo95PKAcg=="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Q130"/>
  <sheetViews>
    <sheetView topLeftCell="A106" workbookViewId="0">
      <selection activeCell="A121" sqref="A121:L130"/>
    </sheetView>
  </sheetViews>
  <sheetFormatPr baseColWidth="10" defaultRowHeight="15" x14ac:dyDescent="0.25"/>
  <sheetData>
    <row r="1" spans="1:14" x14ac:dyDescent="0.25">
      <c r="A1" s="334" t="s">
        <v>85</v>
      </c>
      <c r="B1" s="334"/>
      <c r="C1" s="334"/>
      <c r="D1" s="334"/>
      <c r="E1" s="334"/>
      <c r="F1" s="334"/>
      <c r="G1" s="334"/>
      <c r="H1" s="334"/>
      <c r="I1" s="334"/>
      <c r="J1" s="334"/>
      <c r="K1" s="334"/>
      <c r="L1" s="334"/>
      <c r="M1" s="334"/>
      <c r="N1" s="334"/>
    </row>
    <row r="2" spans="1:14" x14ac:dyDescent="0.25">
      <c r="A2" s="28" t="s">
        <v>50</v>
      </c>
      <c r="B2" t="s">
        <v>51</v>
      </c>
      <c r="C2" t="s">
        <v>52</v>
      </c>
      <c r="E2" t="s">
        <v>53</v>
      </c>
      <c r="F2">
        <v>8480381</v>
      </c>
      <c r="H2" t="s">
        <v>54</v>
      </c>
      <c r="I2" t="s">
        <v>55</v>
      </c>
      <c r="N2" s="29"/>
    </row>
    <row r="3" spans="1:14" x14ac:dyDescent="0.25">
      <c r="A3" s="28"/>
      <c r="B3" t="s">
        <v>56</v>
      </c>
      <c r="C3" t="s">
        <v>57</v>
      </c>
      <c r="E3" t="s">
        <v>58</v>
      </c>
      <c r="F3" t="s">
        <v>59</v>
      </c>
      <c r="H3" t="s">
        <v>60</v>
      </c>
      <c r="I3" t="s">
        <v>61</v>
      </c>
      <c r="K3" t="s">
        <v>62</v>
      </c>
      <c r="L3" t="s">
        <v>63</v>
      </c>
      <c r="N3" s="29"/>
    </row>
    <row r="4" spans="1:14" x14ac:dyDescent="0.25">
      <c r="A4" s="28" t="s">
        <v>64</v>
      </c>
      <c r="B4" t="s">
        <v>65</v>
      </c>
      <c r="N4" s="29"/>
    </row>
    <row r="5" spans="1:14" x14ac:dyDescent="0.25">
      <c r="A5" s="28" t="s">
        <v>66</v>
      </c>
      <c r="B5" t="s">
        <v>67</v>
      </c>
      <c r="C5">
        <v>20</v>
      </c>
      <c r="D5" t="s">
        <v>68</v>
      </c>
      <c r="E5">
        <v>550</v>
      </c>
      <c r="F5" t="s">
        <v>69</v>
      </c>
      <c r="G5" t="s">
        <v>70</v>
      </c>
      <c r="N5" s="29"/>
    </row>
    <row r="6" spans="1:14" x14ac:dyDescent="0.25">
      <c r="A6" s="28" t="s">
        <v>71</v>
      </c>
      <c r="B6" t="s">
        <v>67</v>
      </c>
      <c r="C6">
        <v>20</v>
      </c>
      <c r="D6" t="s">
        <v>68</v>
      </c>
      <c r="E6">
        <v>550</v>
      </c>
      <c r="F6" t="s">
        <v>69</v>
      </c>
      <c r="G6" t="s">
        <v>70</v>
      </c>
      <c r="N6" s="29"/>
    </row>
    <row r="7" spans="1:14" x14ac:dyDescent="0.25">
      <c r="A7" s="28" t="s">
        <v>72</v>
      </c>
      <c r="B7" t="s">
        <v>67</v>
      </c>
      <c r="C7">
        <v>20</v>
      </c>
      <c r="D7" t="s">
        <v>68</v>
      </c>
      <c r="E7">
        <v>550</v>
      </c>
      <c r="F7" t="s">
        <v>69</v>
      </c>
      <c r="G7" t="s">
        <v>70</v>
      </c>
      <c r="N7" s="29"/>
    </row>
    <row r="8" spans="1:14" x14ac:dyDescent="0.25">
      <c r="A8" s="28" t="s">
        <v>73</v>
      </c>
      <c r="B8" t="s">
        <v>67</v>
      </c>
      <c r="C8">
        <v>20</v>
      </c>
      <c r="D8" t="s">
        <v>68</v>
      </c>
      <c r="E8">
        <v>550</v>
      </c>
      <c r="F8" t="s">
        <v>69</v>
      </c>
      <c r="G8" t="s">
        <v>70</v>
      </c>
      <c r="N8" s="29"/>
    </row>
    <row r="9" spans="1:14" x14ac:dyDescent="0.25">
      <c r="A9" s="28" t="s">
        <v>74</v>
      </c>
      <c r="B9" t="s">
        <v>67</v>
      </c>
      <c r="C9">
        <v>20</v>
      </c>
      <c r="D9" t="s">
        <v>68</v>
      </c>
      <c r="E9">
        <v>550</v>
      </c>
      <c r="F9" t="s">
        <v>69</v>
      </c>
      <c r="G9" t="s">
        <v>70</v>
      </c>
      <c r="N9" s="29"/>
    </row>
    <row r="10" spans="1:14" x14ac:dyDescent="0.25">
      <c r="A10" s="28" t="s">
        <v>75</v>
      </c>
      <c r="B10" t="s">
        <v>67</v>
      </c>
      <c r="C10">
        <v>20</v>
      </c>
      <c r="D10" t="s">
        <v>68</v>
      </c>
      <c r="E10">
        <v>550</v>
      </c>
      <c r="F10" t="s">
        <v>69</v>
      </c>
      <c r="G10" t="s">
        <v>70</v>
      </c>
      <c r="N10" s="29"/>
    </row>
    <row r="11" spans="1:14" x14ac:dyDescent="0.25">
      <c r="A11" s="28" t="s">
        <v>76</v>
      </c>
      <c r="B11" t="s">
        <v>67</v>
      </c>
      <c r="C11">
        <v>20</v>
      </c>
      <c r="D11" t="s">
        <v>68</v>
      </c>
      <c r="E11">
        <v>550</v>
      </c>
      <c r="F11" t="s">
        <v>69</v>
      </c>
      <c r="G11" t="s">
        <v>70</v>
      </c>
      <c r="N11" s="29"/>
    </row>
    <row r="12" spans="1:14" x14ac:dyDescent="0.25">
      <c r="A12" s="28" t="s">
        <v>77</v>
      </c>
      <c r="B12" t="s">
        <v>67</v>
      </c>
      <c r="C12">
        <v>20</v>
      </c>
      <c r="D12" t="s">
        <v>68</v>
      </c>
      <c r="E12">
        <v>550</v>
      </c>
      <c r="F12" t="s">
        <v>69</v>
      </c>
      <c r="G12" t="s">
        <v>70</v>
      </c>
      <c r="N12" s="29"/>
    </row>
    <row r="13" spans="1:14" x14ac:dyDescent="0.25">
      <c r="A13" s="28" t="s">
        <v>78</v>
      </c>
      <c r="B13" t="s">
        <v>67</v>
      </c>
      <c r="C13">
        <v>20</v>
      </c>
      <c r="D13" t="s">
        <v>68</v>
      </c>
      <c r="E13">
        <v>550</v>
      </c>
      <c r="F13" t="s">
        <v>69</v>
      </c>
      <c r="G13" t="s">
        <v>70</v>
      </c>
      <c r="N13" s="29"/>
    </row>
    <row r="14" spans="1:14" x14ac:dyDescent="0.25">
      <c r="A14" s="28" t="s">
        <v>79</v>
      </c>
      <c r="B14" t="s">
        <v>67</v>
      </c>
      <c r="C14">
        <v>0</v>
      </c>
      <c r="D14" t="s">
        <v>68</v>
      </c>
      <c r="E14">
        <v>550</v>
      </c>
      <c r="F14" t="s">
        <v>69</v>
      </c>
      <c r="G14" t="s">
        <v>70</v>
      </c>
      <c r="N14" s="29"/>
    </row>
    <row r="15" spans="1:14" x14ac:dyDescent="0.25">
      <c r="A15" s="28" t="s">
        <v>80</v>
      </c>
      <c r="B15" t="s">
        <v>67</v>
      </c>
      <c r="C15">
        <v>-30</v>
      </c>
      <c r="D15" t="s">
        <v>68</v>
      </c>
      <c r="E15">
        <v>535</v>
      </c>
      <c r="F15" t="s">
        <v>69</v>
      </c>
      <c r="G15" t="s">
        <v>70</v>
      </c>
      <c r="N15" s="29"/>
    </row>
    <row r="16" spans="1:14" x14ac:dyDescent="0.25">
      <c r="A16" s="28" t="s">
        <v>81</v>
      </c>
      <c r="B16" t="s">
        <v>67</v>
      </c>
      <c r="C16">
        <v>-30</v>
      </c>
      <c r="D16" t="s">
        <v>68</v>
      </c>
      <c r="E16">
        <v>535</v>
      </c>
      <c r="F16" t="s">
        <v>69</v>
      </c>
      <c r="G16" t="s">
        <v>70</v>
      </c>
      <c r="N16" s="29"/>
    </row>
    <row r="17" spans="1:15" x14ac:dyDescent="0.25">
      <c r="A17" s="28" t="s">
        <v>82</v>
      </c>
      <c r="B17" t="s">
        <v>67</v>
      </c>
      <c r="C17">
        <v>-30</v>
      </c>
      <c r="D17" t="s">
        <v>68</v>
      </c>
      <c r="E17">
        <v>535</v>
      </c>
      <c r="F17" t="s">
        <v>69</v>
      </c>
      <c r="G17" t="s">
        <v>70</v>
      </c>
      <c r="N17" s="29"/>
    </row>
    <row r="18" spans="1:15" x14ac:dyDescent="0.25">
      <c r="A18" s="28" t="s">
        <v>83</v>
      </c>
      <c r="B18" t="s">
        <v>67</v>
      </c>
      <c r="C18">
        <v>-35</v>
      </c>
      <c r="D18" t="s">
        <v>68</v>
      </c>
      <c r="E18">
        <v>550</v>
      </c>
      <c r="F18" t="s">
        <v>69</v>
      </c>
      <c r="G18" t="s">
        <v>70</v>
      </c>
      <c r="N18" s="29"/>
    </row>
    <row r="19" spans="1:15" x14ac:dyDescent="0.25">
      <c r="A19" s="28" t="s">
        <v>84</v>
      </c>
      <c r="B19" t="s">
        <v>67</v>
      </c>
      <c r="C19">
        <v>-35</v>
      </c>
      <c r="D19" t="s">
        <v>68</v>
      </c>
      <c r="E19">
        <v>550</v>
      </c>
      <c r="F19" t="s">
        <v>69</v>
      </c>
      <c r="G19" t="s">
        <v>70</v>
      </c>
      <c r="N19" s="29"/>
    </row>
    <row r="20" spans="1:15" x14ac:dyDescent="0.25">
      <c r="A20" s="28" t="s">
        <v>36</v>
      </c>
      <c r="C20" t="s">
        <v>66</v>
      </c>
      <c r="D20" t="s">
        <v>71</v>
      </c>
      <c r="E20" t="s">
        <v>72</v>
      </c>
      <c r="F20" t="s">
        <v>73</v>
      </c>
      <c r="G20" t="s">
        <v>74</v>
      </c>
      <c r="H20" t="s">
        <v>75</v>
      </c>
      <c r="I20" t="s">
        <v>76</v>
      </c>
      <c r="J20" t="s">
        <v>77</v>
      </c>
      <c r="K20" t="s">
        <v>78</v>
      </c>
      <c r="L20" t="s">
        <v>79</v>
      </c>
      <c r="M20" t="s">
        <v>81</v>
      </c>
      <c r="N20" s="29" t="s">
        <v>82</v>
      </c>
    </row>
    <row r="21" spans="1:15" x14ac:dyDescent="0.25">
      <c r="A21" s="30"/>
      <c r="B21" s="31"/>
      <c r="C21" s="31" t="s">
        <v>70</v>
      </c>
      <c r="D21" s="31" t="s">
        <v>70</v>
      </c>
      <c r="E21" s="31" t="s">
        <v>70</v>
      </c>
      <c r="F21" s="31" t="s">
        <v>70</v>
      </c>
      <c r="G21" s="31" t="s">
        <v>70</v>
      </c>
      <c r="H21" s="31" t="s">
        <v>70</v>
      </c>
      <c r="I21" s="31" t="s">
        <v>70</v>
      </c>
      <c r="J21" s="31" t="s">
        <v>70</v>
      </c>
      <c r="K21" s="31" t="s">
        <v>70</v>
      </c>
      <c r="L21" s="31" t="s">
        <v>70</v>
      </c>
      <c r="M21" s="31" t="s">
        <v>70</v>
      </c>
      <c r="N21" s="32" t="s">
        <v>70</v>
      </c>
    </row>
    <row r="24" spans="1:15" x14ac:dyDescent="0.25">
      <c r="A24" s="334" t="s">
        <v>86</v>
      </c>
      <c r="B24" s="334"/>
      <c r="C24" s="334"/>
      <c r="D24" s="334"/>
      <c r="E24" s="334"/>
      <c r="F24" s="334"/>
      <c r="G24" s="334"/>
      <c r="H24" s="334"/>
      <c r="I24" s="334"/>
      <c r="J24" s="334"/>
      <c r="K24" s="334"/>
      <c r="L24" s="334"/>
      <c r="M24" s="334"/>
      <c r="N24" s="334"/>
      <c r="O24" s="334"/>
    </row>
    <row r="25" spans="1:15" x14ac:dyDescent="0.25">
      <c r="A25" s="28" t="s">
        <v>50</v>
      </c>
      <c r="B25" t="s">
        <v>51</v>
      </c>
      <c r="C25" t="s">
        <v>52</v>
      </c>
      <c r="E25" t="s">
        <v>53</v>
      </c>
      <c r="F25">
        <v>8480381</v>
      </c>
      <c r="H25" t="s">
        <v>54</v>
      </c>
      <c r="I25" t="s">
        <v>55</v>
      </c>
      <c r="O25" s="29"/>
    </row>
    <row r="26" spans="1:15" x14ac:dyDescent="0.25">
      <c r="A26" s="28"/>
      <c r="B26" t="s">
        <v>56</v>
      </c>
      <c r="C26" t="s">
        <v>57</v>
      </c>
      <c r="E26" t="s">
        <v>58</v>
      </c>
      <c r="F26" t="s">
        <v>59</v>
      </c>
      <c r="H26" t="s">
        <v>60</v>
      </c>
      <c r="I26" t="s">
        <v>61</v>
      </c>
      <c r="K26" t="s">
        <v>62</v>
      </c>
      <c r="L26" t="s">
        <v>63</v>
      </c>
      <c r="O26" s="29"/>
    </row>
    <row r="27" spans="1:15" x14ac:dyDescent="0.25">
      <c r="A27" s="28" t="s">
        <v>64</v>
      </c>
      <c r="B27" t="s">
        <v>65</v>
      </c>
      <c r="O27" s="29"/>
    </row>
    <row r="28" spans="1:15" x14ac:dyDescent="0.25">
      <c r="A28" s="28" t="s">
        <v>66</v>
      </c>
      <c r="B28" t="s">
        <v>67</v>
      </c>
      <c r="C28">
        <v>20</v>
      </c>
      <c r="D28" t="s">
        <v>68</v>
      </c>
      <c r="E28">
        <v>250</v>
      </c>
      <c r="F28" t="s">
        <v>69</v>
      </c>
      <c r="G28" t="s">
        <v>70</v>
      </c>
      <c r="O28" s="29"/>
    </row>
    <row r="29" spans="1:15" x14ac:dyDescent="0.25">
      <c r="A29" s="28" t="s">
        <v>71</v>
      </c>
      <c r="B29" t="s">
        <v>67</v>
      </c>
      <c r="C29">
        <v>20</v>
      </c>
      <c r="D29" t="s">
        <v>68</v>
      </c>
      <c r="E29">
        <v>250</v>
      </c>
      <c r="F29" t="s">
        <v>69</v>
      </c>
      <c r="G29" t="s">
        <v>70</v>
      </c>
      <c r="O29" s="29"/>
    </row>
    <row r="30" spans="1:15" x14ac:dyDescent="0.25">
      <c r="A30" s="28" t="s">
        <v>72</v>
      </c>
      <c r="B30" t="s">
        <v>67</v>
      </c>
      <c r="C30">
        <v>20</v>
      </c>
      <c r="D30" t="s">
        <v>68</v>
      </c>
      <c r="E30">
        <v>250</v>
      </c>
      <c r="F30" t="s">
        <v>69</v>
      </c>
      <c r="G30" t="s">
        <v>70</v>
      </c>
      <c r="O30" s="29"/>
    </row>
    <row r="31" spans="1:15" x14ac:dyDescent="0.25">
      <c r="A31" s="28" t="s">
        <v>73</v>
      </c>
      <c r="B31" t="s">
        <v>67</v>
      </c>
      <c r="C31">
        <v>20</v>
      </c>
      <c r="D31" t="s">
        <v>68</v>
      </c>
      <c r="E31">
        <v>250</v>
      </c>
      <c r="F31" t="s">
        <v>69</v>
      </c>
      <c r="G31" t="s">
        <v>70</v>
      </c>
      <c r="O31" s="29"/>
    </row>
    <row r="32" spans="1:15" x14ac:dyDescent="0.25">
      <c r="A32" s="28" t="s">
        <v>74</v>
      </c>
      <c r="B32" t="s">
        <v>67</v>
      </c>
      <c r="C32">
        <v>20</v>
      </c>
      <c r="D32" t="s">
        <v>68</v>
      </c>
      <c r="E32">
        <v>250</v>
      </c>
      <c r="F32" t="s">
        <v>69</v>
      </c>
      <c r="G32" t="s">
        <v>70</v>
      </c>
      <c r="O32" s="29"/>
    </row>
    <row r="33" spans="1:15" x14ac:dyDescent="0.25">
      <c r="A33" s="28" t="s">
        <v>75</v>
      </c>
      <c r="B33" t="s">
        <v>67</v>
      </c>
      <c r="C33">
        <v>20</v>
      </c>
      <c r="D33" t="s">
        <v>68</v>
      </c>
      <c r="E33">
        <v>250</v>
      </c>
      <c r="F33" t="s">
        <v>69</v>
      </c>
      <c r="G33" t="s">
        <v>70</v>
      </c>
      <c r="O33" s="29"/>
    </row>
    <row r="34" spans="1:15" x14ac:dyDescent="0.25">
      <c r="A34" s="28" t="s">
        <v>76</v>
      </c>
      <c r="B34" t="s">
        <v>67</v>
      </c>
      <c r="C34">
        <v>20</v>
      </c>
      <c r="D34" t="s">
        <v>68</v>
      </c>
      <c r="E34">
        <v>250</v>
      </c>
      <c r="F34" t="s">
        <v>69</v>
      </c>
      <c r="G34" t="s">
        <v>70</v>
      </c>
      <c r="O34" s="29"/>
    </row>
    <row r="35" spans="1:15" x14ac:dyDescent="0.25">
      <c r="A35" s="28" t="s">
        <v>77</v>
      </c>
      <c r="B35" t="s">
        <v>67</v>
      </c>
      <c r="C35">
        <v>20</v>
      </c>
      <c r="D35" t="s">
        <v>68</v>
      </c>
      <c r="E35">
        <v>250</v>
      </c>
      <c r="F35" t="s">
        <v>69</v>
      </c>
      <c r="G35" t="s">
        <v>70</v>
      </c>
      <c r="O35" s="29"/>
    </row>
    <row r="36" spans="1:15" x14ac:dyDescent="0.25">
      <c r="A36" s="28" t="s">
        <v>78</v>
      </c>
      <c r="B36" t="s">
        <v>67</v>
      </c>
      <c r="C36">
        <v>20</v>
      </c>
      <c r="D36" t="s">
        <v>68</v>
      </c>
      <c r="E36">
        <v>250</v>
      </c>
      <c r="F36" t="s">
        <v>69</v>
      </c>
      <c r="G36" t="s">
        <v>70</v>
      </c>
      <c r="O36" s="29"/>
    </row>
    <row r="37" spans="1:15" x14ac:dyDescent="0.25">
      <c r="A37" s="28" t="s">
        <v>79</v>
      </c>
      <c r="B37" t="s">
        <v>67</v>
      </c>
      <c r="C37">
        <v>0</v>
      </c>
      <c r="D37" t="s">
        <v>68</v>
      </c>
      <c r="E37">
        <v>250</v>
      </c>
      <c r="F37" t="s">
        <v>69</v>
      </c>
      <c r="G37" t="s">
        <v>70</v>
      </c>
      <c r="O37" s="29"/>
    </row>
    <row r="38" spans="1:15" x14ac:dyDescent="0.25">
      <c r="A38" s="28" t="s">
        <v>80</v>
      </c>
      <c r="B38" t="s">
        <v>67</v>
      </c>
      <c r="C38">
        <v>0</v>
      </c>
      <c r="D38" t="s">
        <v>68</v>
      </c>
      <c r="E38">
        <v>250</v>
      </c>
      <c r="F38" t="s">
        <v>69</v>
      </c>
      <c r="G38" t="s">
        <v>70</v>
      </c>
      <c r="O38" s="29"/>
    </row>
    <row r="39" spans="1:15" x14ac:dyDescent="0.25">
      <c r="A39" s="28" t="s">
        <v>81</v>
      </c>
      <c r="B39" t="s">
        <v>67</v>
      </c>
      <c r="C39">
        <v>0</v>
      </c>
      <c r="D39" t="s">
        <v>68</v>
      </c>
      <c r="E39">
        <v>250</v>
      </c>
      <c r="F39" t="s">
        <v>69</v>
      </c>
      <c r="G39" t="s">
        <v>70</v>
      </c>
      <c r="O39" s="29"/>
    </row>
    <row r="40" spans="1:15" x14ac:dyDescent="0.25">
      <c r="A40" s="28" t="s">
        <v>82</v>
      </c>
      <c r="B40" t="s">
        <v>67</v>
      </c>
      <c r="C40">
        <v>0</v>
      </c>
      <c r="D40" t="s">
        <v>68</v>
      </c>
      <c r="E40">
        <v>250</v>
      </c>
      <c r="F40" t="s">
        <v>69</v>
      </c>
      <c r="G40" t="s">
        <v>70</v>
      </c>
      <c r="O40" s="29"/>
    </row>
    <row r="41" spans="1:15" x14ac:dyDescent="0.25">
      <c r="A41" s="28" t="s">
        <v>36</v>
      </c>
      <c r="C41" t="s">
        <v>66</v>
      </c>
      <c r="D41" t="s">
        <v>71</v>
      </c>
      <c r="E41" t="s">
        <v>72</v>
      </c>
      <c r="F41" t="s">
        <v>73</v>
      </c>
      <c r="G41" t="s">
        <v>74</v>
      </c>
      <c r="H41" t="s">
        <v>75</v>
      </c>
      <c r="I41" t="s">
        <v>76</v>
      </c>
      <c r="J41" t="s">
        <v>77</v>
      </c>
      <c r="K41" t="s">
        <v>78</v>
      </c>
      <c r="L41" t="s">
        <v>79</v>
      </c>
      <c r="M41" t="s">
        <v>80</v>
      </c>
      <c r="N41" t="s">
        <v>81</v>
      </c>
      <c r="O41" s="29" t="s">
        <v>82</v>
      </c>
    </row>
    <row r="42" spans="1:15" x14ac:dyDescent="0.25">
      <c r="A42" s="30"/>
      <c r="B42" s="31"/>
      <c r="C42" s="31" t="s">
        <v>70</v>
      </c>
      <c r="D42" s="31" t="s">
        <v>70</v>
      </c>
      <c r="E42" s="31" t="s">
        <v>70</v>
      </c>
      <c r="F42" s="31" t="s">
        <v>70</v>
      </c>
      <c r="G42" s="31" t="s">
        <v>70</v>
      </c>
      <c r="H42" s="31" t="s">
        <v>70</v>
      </c>
      <c r="I42" s="31" t="s">
        <v>70</v>
      </c>
      <c r="J42" s="31" t="s">
        <v>70</v>
      </c>
      <c r="K42" s="31" t="s">
        <v>70</v>
      </c>
      <c r="L42" s="31" t="s">
        <v>70</v>
      </c>
      <c r="M42" s="31" t="s">
        <v>70</v>
      </c>
      <c r="N42" s="31" t="s">
        <v>70</v>
      </c>
      <c r="O42" s="32" t="s">
        <v>70</v>
      </c>
    </row>
    <row r="45" spans="1:15" x14ac:dyDescent="0.25">
      <c r="A45" s="335" t="s">
        <v>249</v>
      </c>
      <c r="B45" s="335"/>
      <c r="C45" s="335"/>
      <c r="D45" s="335"/>
      <c r="E45" s="335"/>
      <c r="F45" s="335"/>
      <c r="G45" s="335"/>
      <c r="H45" s="335"/>
      <c r="I45" s="335"/>
      <c r="J45" s="335"/>
      <c r="K45" s="335"/>
    </row>
    <row r="46" spans="1:15" x14ac:dyDescent="0.25">
      <c r="A46" s="28" t="s">
        <v>50</v>
      </c>
      <c r="B46" t="s">
        <v>51</v>
      </c>
      <c r="C46" t="s">
        <v>52</v>
      </c>
      <c r="E46" t="s">
        <v>53</v>
      </c>
      <c r="F46">
        <v>8480381</v>
      </c>
      <c r="H46" t="s">
        <v>54</v>
      </c>
      <c r="I46" t="s">
        <v>55</v>
      </c>
      <c r="K46" s="29"/>
    </row>
    <row r="47" spans="1:15" x14ac:dyDescent="0.25">
      <c r="A47" s="28"/>
      <c r="B47" t="s">
        <v>56</v>
      </c>
      <c r="C47" t="s">
        <v>57</v>
      </c>
      <c r="E47" t="s">
        <v>58</v>
      </c>
      <c r="F47" t="s">
        <v>59</v>
      </c>
      <c r="H47" t="s">
        <v>60</v>
      </c>
      <c r="I47" t="s">
        <v>61</v>
      </c>
      <c r="J47" t="s">
        <v>62</v>
      </c>
      <c r="K47" s="29" t="s">
        <v>63</v>
      </c>
    </row>
    <row r="48" spans="1:15" x14ac:dyDescent="0.25">
      <c r="A48" s="28" t="s">
        <v>64</v>
      </c>
      <c r="B48" t="s">
        <v>65</v>
      </c>
      <c r="K48" s="29"/>
    </row>
    <row r="49" spans="1:11" x14ac:dyDescent="0.25">
      <c r="A49" s="28" t="s">
        <v>66</v>
      </c>
      <c r="B49" t="s">
        <v>67</v>
      </c>
      <c r="C49">
        <v>20</v>
      </c>
      <c r="D49" t="s">
        <v>68</v>
      </c>
      <c r="E49">
        <v>550</v>
      </c>
      <c r="F49" t="s">
        <v>69</v>
      </c>
      <c r="G49" t="s">
        <v>70</v>
      </c>
      <c r="K49" s="29"/>
    </row>
    <row r="50" spans="1:11" x14ac:dyDescent="0.25">
      <c r="A50" s="28" t="s">
        <v>71</v>
      </c>
      <c r="B50" t="s">
        <v>67</v>
      </c>
      <c r="C50">
        <v>20</v>
      </c>
      <c r="D50" t="s">
        <v>68</v>
      </c>
      <c r="E50">
        <v>550</v>
      </c>
      <c r="F50" t="s">
        <v>69</v>
      </c>
      <c r="G50" t="s">
        <v>70</v>
      </c>
      <c r="K50" s="29"/>
    </row>
    <row r="51" spans="1:11" x14ac:dyDescent="0.25">
      <c r="A51" s="28" t="s">
        <v>72</v>
      </c>
      <c r="B51" t="s">
        <v>67</v>
      </c>
      <c r="C51">
        <v>20</v>
      </c>
      <c r="D51" t="s">
        <v>68</v>
      </c>
      <c r="E51">
        <v>550</v>
      </c>
      <c r="F51" t="s">
        <v>69</v>
      </c>
      <c r="G51" t="s">
        <v>70</v>
      </c>
      <c r="K51" s="29"/>
    </row>
    <row r="52" spans="1:11" x14ac:dyDescent="0.25">
      <c r="A52" s="28" t="s">
        <v>73</v>
      </c>
      <c r="B52" t="s">
        <v>67</v>
      </c>
      <c r="C52">
        <v>20</v>
      </c>
      <c r="D52" t="s">
        <v>68</v>
      </c>
      <c r="E52">
        <v>550</v>
      </c>
      <c r="F52" t="s">
        <v>69</v>
      </c>
      <c r="G52" t="s">
        <v>70</v>
      </c>
      <c r="K52" s="29"/>
    </row>
    <row r="53" spans="1:11" x14ac:dyDescent="0.25">
      <c r="A53" s="28" t="s">
        <v>74</v>
      </c>
      <c r="B53" t="s">
        <v>67</v>
      </c>
      <c r="C53">
        <v>20</v>
      </c>
      <c r="D53" t="s">
        <v>68</v>
      </c>
      <c r="E53">
        <v>550</v>
      </c>
      <c r="F53" t="s">
        <v>69</v>
      </c>
      <c r="G53" t="s">
        <v>70</v>
      </c>
      <c r="K53" s="29"/>
    </row>
    <row r="54" spans="1:11" x14ac:dyDescent="0.25">
      <c r="A54" s="28" t="s">
        <v>75</v>
      </c>
      <c r="B54" t="s">
        <v>67</v>
      </c>
      <c r="C54">
        <v>20</v>
      </c>
      <c r="D54" t="s">
        <v>68</v>
      </c>
      <c r="E54">
        <v>550</v>
      </c>
      <c r="F54" t="s">
        <v>69</v>
      </c>
      <c r="G54" t="s">
        <v>70</v>
      </c>
      <c r="K54" s="29"/>
    </row>
    <row r="55" spans="1:11" x14ac:dyDescent="0.25">
      <c r="A55" s="28" t="s">
        <v>76</v>
      </c>
      <c r="B55" t="s">
        <v>67</v>
      </c>
      <c r="C55">
        <v>20</v>
      </c>
      <c r="D55" t="s">
        <v>68</v>
      </c>
      <c r="E55">
        <v>550</v>
      </c>
      <c r="F55" t="s">
        <v>69</v>
      </c>
      <c r="G55" t="s">
        <v>70</v>
      </c>
      <c r="K55" s="29"/>
    </row>
    <row r="56" spans="1:11" x14ac:dyDescent="0.25">
      <c r="A56" s="28" t="s">
        <v>77</v>
      </c>
      <c r="B56" t="s">
        <v>67</v>
      </c>
      <c r="C56">
        <v>20</v>
      </c>
      <c r="D56" t="s">
        <v>68</v>
      </c>
      <c r="E56">
        <v>550</v>
      </c>
      <c r="F56" t="s">
        <v>69</v>
      </c>
      <c r="G56" t="s">
        <v>70</v>
      </c>
      <c r="K56" s="29"/>
    </row>
    <row r="57" spans="1:11" x14ac:dyDescent="0.25">
      <c r="A57" s="28" t="s">
        <v>78</v>
      </c>
      <c r="B57" t="s">
        <v>67</v>
      </c>
      <c r="C57">
        <v>20</v>
      </c>
      <c r="D57" t="s">
        <v>68</v>
      </c>
      <c r="E57">
        <v>550</v>
      </c>
      <c r="F57" t="s">
        <v>69</v>
      </c>
      <c r="G57" t="s">
        <v>70</v>
      </c>
      <c r="K57" s="29"/>
    </row>
    <row r="58" spans="1:11" x14ac:dyDescent="0.25">
      <c r="A58" s="28" t="s">
        <v>36</v>
      </c>
      <c r="C58" t="s">
        <v>66</v>
      </c>
      <c r="D58" t="s">
        <v>71</v>
      </c>
      <c r="E58" t="s">
        <v>72</v>
      </c>
      <c r="F58" t="s">
        <v>73</v>
      </c>
      <c r="G58" t="s">
        <v>74</v>
      </c>
      <c r="H58" t="s">
        <v>75</v>
      </c>
      <c r="I58" t="s">
        <v>76</v>
      </c>
      <c r="J58" t="s">
        <v>77</v>
      </c>
      <c r="K58" s="29" t="s">
        <v>78</v>
      </c>
    </row>
    <row r="59" spans="1:11" x14ac:dyDescent="0.25">
      <c r="A59" s="30"/>
      <c r="B59" s="31"/>
      <c r="C59" s="31" t="s">
        <v>70</v>
      </c>
      <c r="D59" s="31" t="s">
        <v>70</v>
      </c>
      <c r="E59" s="31" t="s">
        <v>70</v>
      </c>
      <c r="F59" s="31" t="s">
        <v>70</v>
      </c>
      <c r="G59" s="31" t="s">
        <v>70</v>
      </c>
      <c r="H59" s="31" t="s">
        <v>70</v>
      </c>
      <c r="I59" s="31" t="s">
        <v>70</v>
      </c>
      <c r="J59" s="31" t="s">
        <v>70</v>
      </c>
      <c r="K59" s="32" t="s">
        <v>70</v>
      </c>
    </row>
    <row r="63" spans="1:11" x14ac:dyDescent="0.25">
      <c r="A63" s="336" t="s">
        <v>281</v>
      </c>
      <c r="B63" s="337"/>
      <c r="C63" s="337"/>
      <c r="D63" s="337"/>
      <c r="E63" s="337"/>
      <c r="F63" s="337"/>
      <c r="G63" s="337"/>
      <c r="H63" s="337"/>
      <c r="I63" s="337"/>
      <c r="J63" s="338"/>
    </row>
    <row r="64" spans="1:11" x14ac:dyDescent="0.25">
      <c r="A64" s="28" t="s">
        <v>50</v>
      </c>
      <c r="B64" t="s">
        <v>51</v>
      </c>
      <c r="C64" t="s">
        <v>52</v>
      </c>
      <c r="E64" t="s">
        <v>53</v>
      </c>
      <c r="F64">
        <v>8480381</v>
      </c>
      <c r="H64" t="s">
        <v>54</v>
      </c>
      <c r="J64" s="29"/>
    </row>
    <row r="65" spans="1:17" x14ac:dyDescent="0.25">
      <c r="A65" s="28"/>
      <c r="B65" t="s">
        <v>56</v>
      </c>
      <c r="C65" t="s">
        <v>57</v>
      </c>
      <c r="E65" t="s">
        <v>58</v>
      </c>
      <c r="F65" t="s">
        <v>59</v>
      </c>
      <c r="H65" t="s">
        <v>60</v>
      </c>
      <c r="J65" s="29"/>
    </row>
    <row r="66" spans="1:17" x14ac:dyDescent="0.25">
      <c r="A66" s="28" t="s">
        <v>64</v>
      </c>
      <c r="B66" t="s">
        <v>65</v>
      </c>
      <c r="J66" s="29"/>
    </row>
    <row r="67" spans="1:17" x14ac:dyDescent="0.25">
      <c r="A67" s="28" t="s">
        <v>66</v>
      </c>
      <c r="B67" t="s">
        <v>67</v>
      </c>
      <c r="C67">
        <v>20</v>
      </c>
      <c r="D67" t="s">
        <v>68</v>
      </c>
      <c r="E67">
        <v>550</v>
      </c>
      <c r="F67" t="s">
        <v>69</v>
      </c>
      <c r="G67" t="s">
        <v>70</v>
      </c>
      <c r="J67" s="29"/>
    </row>
    <row r="68" spans="1:17" x14ac:dyDescent="0.25">
      <c r="A68" s="28" t="s">
        <v>71</v>
      </c>
      <c r="B68" t="s">
        <v>67</v>
      </c>
      <c r="C68">
        <v>20</v>
      </c>
      <c r="D68" t="s">
        <v>68</v>
      </c>
      <c r="E68">
        <v>550</v>
      </c>
      <c r="F68" t="s">
        <v>69</v>
      </c>
      <c r="G68" t="s">
        <v>70</v>
      </c>
      <c r="J68" s="29"/>
    </row>
    <row r="69" spans="1:17" x14ac:dyDescent="0.25">
      <c r="A69" s="28" t="s">
        <v>72</v>
      </c>
      <c r="B69" t="s">
        <v>67</v>
      </c>
      <c r="C69">
        <v>20</v>
      </c>
      <c r="D69" t="s">
        <v>68</v>
      </c>
      <c r="E69">
        <v>550</v>
      </c>
      <c r="F69" t="s">
        <v>69</v>
      </c>
      <c r="G69" t="s">
        <v>70</v>
      </c>
      <c r="J69" s="29"/>
    </row>
    <row r="70" spans="1:17" x14ac:dyDescent="0.25">
      <c r="A70" s="28" t="s">
        <v>73</v>
      </c>
      <c r="B70" t="s">
        <v>67</v>
      </c>
      <c r="C70">
        <v>20</v>
      </c>
      <c r="D70" t="s">
        <v>68</v>
      </c>
      <c r="E70">
        <v>550</v>
      </c>
      <c r="F70" t="s">
        <v>69</v>
      </c>
      <c r="G70" t="s">
        <v>70</v>
      </c>
      <c r="J70" s="29"/>
    </row>
    <row r="71" spans="1:17" x14ac:dyDescent="0.25">
      <c r="A71" s="28" t="s">
        <v>74</v>
      </c>
      <c r="B71" t="s">
        <v>67</v>
      </c>
      <c r="C71">
        <v>20</v>
      </c>
      <c r="D71" t="s">
        <v>68</v>
      </c>
      <c r="E71">
        <v>550</v>
      </c>
      <c r="F71" t="s">
        <v>69</v>
      </c>
      <c r="G71" t="s">
        <v>70</v>
      </c>
      <c r="J71" s="29"/>
    </row>
    <row r="72" spans="1:17" x14ac:dyDescent="0.25">
      <c r="A72" s="28" t="s">
        <v>75</v>
      </c>
      <c r="B72" t="s">
        <v>67</v>
      </c>
      <c r="C72">
        <v>20</v>
      </c>
      <c r="D72" t="s">
        <v>68</v>
      </c>
      <c r="E72">
        <v>550</v>
      </c>
      <c r="F72" t="s">
        <v>69</v>
      </c>
      <c r="G72" t="s">
        <v>70</v>
      </c>
      <c r="J72" s="29"/>
    </row>
    <row r="73" spans="1:17" x14ac:dyDescent="0.25">
      <c r="A73" s="28" t="s">
        <v>76</v>
      </c>
      <c r="B73" t="s">
        <v>67</v>
      </c>
      <c r="C73">
        <v>20</v>
      </c>
      <c r="D73" t="s">
        <v>68</v>
      </c>
      <c r="E73">
        <v>550</v>
      </c>
      <c r="F73" t="s">
        <v>69</v>
      </c>
      <c r="G73" t="s">
        <v>70</v>
      </c>
      <c r="J73" s="29"/>
    </row>
    <row r="74" spans="1:17" x14ac:dyDescent="0.25">
      <c r="A74" s="28" t="s">
        <v>77</v>
      </c>
      <c r="B74" t="s">
        <v>67</v>
      </c>
      <c r="C74">
        <v>20</v>
      </c>
      <c r="D74" t="s">
        <v>68</v>
      </c>
      <c r="E74">
        <v>550</v>
      </c>
      <c r="F74" t="s">
        <v>69</v>
      </c>
      <c r="G74" t="s">
        <v>70</v>
      </c>
      <c r="J74" s="29"/>
    </row>
    <row r="75" spans="1:17" x14ac:dyDescent="0.25">
      <c r="A75" s="30" t="s">
        <v>78</v>
      </c>
      <c r="B75" s="31" t="s">
        <v>67</v>
      </c>
      <c r="C75" s="31">
        <v>20</v>
      </c>
      <c r="D75" s="31" t="s">
        <v>68</v>
      </c>
      <c r="E75" s="31">
        <v>550</v>
      </c>
      <c r="F75" s="31" t="s">
        <v>69</v>
      </c>
      <c r="G75" s="31" t="s">
        <v>70</v>
      </c>
      <c r="H75" s="31"/>
      <c r="I75" s="31"/>
      <c r="J75" s="32"/>
    </row>
    <row r="79" spans="1:17" x14ac:dyDescent="0.25">
      <c r="A79" s="336" t="s">
        <v>545</v>
      </c>
      <c r="B79" s="337"/>
      <c r="C79" s="337"/>
      <c r="D79" s="337"/>
      <c r="E79" s="337"/>
      <c r="F79" s="337"/>
      <c r="G79" s="337"/>
      <c r="H79" s="337"/>
      <c r="I79" s="337"/>
      <c r="J79" s="337"/>
      <c r="K79" s="337"/>
      <c r="L79" s="337"/>
      <c r="M79" s="337"/>
      <c r="N79" s="337"/>
      <c r="O79" s="337"/>
      <c r="P79" s="337"/>
      <c r="Q79" s="338"/>
    </row>
    <row r="80" spans="1:17" x14ac:dyDescent="0.25">
      <c r="A80" s="28" t="s">
        <v>50</v>
      </c>
      <c r="B80" t="s">
        <v>51</v>
      </c>
      <c r="C80" t="s">
        <v>52</v>
      </c>
      <c r="E80" t="s">
        <v>53</v>
      </c>
      <c r="F80">
        <v>8480381</v>
      </c>
      <c r="H80" t="s">
        <v>54</v>
      </c>
      <c r="I80" t="s">
        <v>55</v>
      </c>
      <c r="Q80" s="29"/>
    </row>
    <row r="81" spans="1:17" x14ac:dyDescent="0.25">
      <c r="A81" s="28"/>
      <c r="B81" t="s">
        <v>56</v>
      </c>
      <c r="C81" t="s">
        <v>57</v>
      </c>
      <c r="E81" t="s">
        <v>58</v>
      </c>
      <c r="F81" t="s">
        <v>59</v>
      </c>
      <c r="H81" t="s">
        <v>60</v>
      </c>
      <c r="I81" t="s">
        <v>61</v>
      </c>
      <c r="K81" t="s">
        <v>62</v>
      </c>
      <c r="L81" t="s">
        <v>63</v>
      </c>
      <c r="Q81" s="29"/>
    </row>
    <row r="82" spans="1:17" x14ac:dyDescent="0.25">
      <c r="A82" s="28" t="s">
        <v>64</v>
      </c>
      <c r="B82" t="s">
        <v>65</v>
      </c>
      <c r="Q82" s="29"/>
    </row>
    <row r="83" spans="1:17" x14ac:dyDescent="0.25">
      <c r="A83" s="28" t="s">
        <v>66</v>
      </c>
      <c r="B83" t="s">
        <v>67</v>
      </c>
      <c r="C83">
        <v>20</v>
      </c>
      <c r="D83" t="s">
        <v>68</v>
      </c>
      <c r="E83">
        <v>550</v>
      </c>
      <c r="F83" t="s">
        <v>69</v>
      </c>
      <c r="G83" t="s">
        <v>70</v>
      </c>
      <c r="Q83" s="29"/>
    </row>
    <row r="84" spans="1:17" x14ac:dyDescent="0.25">
      <c r="A84" s="28" t="s">
        <v>71</v>
      </c>
      <c r="B84" t="s">
        <v>67</v>
      </c>
      <c r="C84">
        <v>20</v>
      </c>
      <c r="D84" t="s">
        <v>68</v>
      </c>
      <c r="E84">
        <v>550</v>
      </c>
      <c r="F84" t="s">
        <v>69</v>
      </c>
      <c r="G84" t="s">
        <v>70</v>
      </c>
      <c r="Q84" s="29"/>
    </row>
    <row r="85" spans="1:17" x14ac:dyDescent="0.25">
      <c r="A85" s="28" t="s">
        <v>72</v>
      </c>
      <c r="B85" t="s">
        <v>67</v>
      </c>
      <c r="C85">
        <v>20</v>
      </c>
      <c r="D85" t="s">
        <v>68</v>
      </c>
      <c r="E85">
        <v>550</v>
      </c>
      <c r="F85" t="s">
        <v>69</v>
      </c>
      <c r="G85" t="s">
        <v>70</v>
      </c>
      <c r="Q85" s="29"/>
    </row>
    <row r="86" spans="1:17" x14ac:dyDescent="0.25">
      <c r="A86" s="28" t="s">
        <v>73</v>
      </c>
      <c r="B86" t="s">
        <v>67</v>
      </c>
      <c r="C86">
        <v>20</v>
      </c>
      <c r="D86" t="s">
        <v>68</v>
      </c>
      <c r="E86">
        <v>550</v>
      </c>
      <c r="F86" t="s">
        <v>69</v>
      </c>
      <c r="G86" t="s">
        <v>70</v>
      </c>
      <c r="Q86" s="29"/>
    </row>
    <row r="87" spans="1:17" x14ac:dyDescent="0.25">
      <c r="A87" s="28" t="s">
        <v>74</v>
      </c>
      <c r="B87" t="s">
        <v>67</v>
      </c>
      <c r="C87">
        <v>20</v>
      </c>
      <c r="D87" t="s">
        <v>68</v>
      </c>
      <c r="E87">
        <v>550</v>
      </c>
      <c r="F87" t="s">
        <v>69</v>
      </c>
      <c r="G87" t="s">
        <v>70</v>
      </c>
      <c r="Q87" s="29"/>
    </row>
    <row r="88" spans="1:17" x14ac:dyDescent="0.25">
      <c r="A88" s="28" t="s">
        <v>75</v>
      </c>
      <c r="B88" t="s">
        <v>67</v>
      </c>
      <c r="C88">
        <v>20</v>
      </c>
      <c r="D88" t="s">
        <v>68</v>
      </c>
      <c r="E88">
        <v>550</v>
      </c>
      <c r="F88" t="s">
        <v>69</v>
      </c>
      <c r="G88" t="s">
        <v>70</v>
      </c>
      <c r="Q88" s="29"/>
    </row>
    <row r="89" spans="1:17" x14ac:dyDescent="0.25">
      <c r="A89" s="28" t="s">
        <v>76</v>
      </c>
      <c r="B89" t="s">
        <v>67</v>
      </c>
      <c r="C89">
        <v>20</v>
      </c>
      <c r="D89" t="s">
        <v>68</v>
      </c>
      <c r="E89">
        <v>550</v>
      </c>
      <c r="F89" t="s">
        <v>69</v>
      </c>
      <c r="G89" t="s">
        <v>70</v>
      </c>
      <c r="Q89" s="29"/>
    </row>
    <row r="90" spans="1:17" x14ac:dyDescent="0.25">
      <c r="A90" s="28" t="s">
        <v>77</v>
      </c>
      <c r="B90" t="s">
        <v>67</v>
      </c>
      <c r="C90">
        <v>20</v>
      </c>
      <c r="D90" t="s">
        <v>68</v>
      </c>
      <c r="E90">
        <v>550</v>
      </c>
      <c r="F90" t="s">
        <v>69</v>
      </c>
      <c r="G90" t="s">
        <v>70</v>
      </c>
      <c r="Q90" s="29"/>
    </row>
    <row r="91" spans="1:17" x14ac:dyDescent="0.25">
      <c r="A91" s="28" t="s">
        <v>78</v>
      </c>
      <c r="B91" t="s">
        <v>67</v>
      </c>
      <c r="C91">
        <v>20</v>
      </c>
      <c r="D91" t="s">
        <v>68</v>
      </c>
      <c r="E91">
        <v>550</v>
      </c>
      <c r="F91" t="s">
        <v>69</v>
      </c>
      <c r="G91" t="s">
        <v>70</v>
      </c>
      <c r="Q91" s="29"/>
    </row>
    <row r="92" spans="1:17" x14ac:dyDescent="0.25">
      <c r="A92" s="28" t="s">
        <v>79</v>
      </c>
      <c r="B92" t="s">
        <v>67</v>
      </c>
      <c r="C92">
        <v>0</v>
      </c>
      <c r="D92" t="s">
        <v>68</v>
      </c>
      <c r="E92">
        <v>550</v>
      </c>
      <c r="F92" t="s">
        <v>69</v>
      </c>
      <c r="G92" t="s">
        <v>70</v>
      </c>
      <c r="Q92" s="29"/>
    </row>
    <row r="93" spans="1:17" x14ac:dyDescent="0.25">
      <c r="A93" s="28" t="s">
        <v>80</v>
      </c>
      <c r="B93" t="s">
        <v>67</v>
      </c>
      <c r="C93">
        <v>-30</v>
      </c>
      <c r="D93" t="s">
        <v>68</v>
      </c>
      <c r="E93">
        <v>535</v>
      </c>
      <c r="F93" t="s">
        <v>69</v>
      </c>
      <c r="G93" t="s">
        <v>70</v>
      </c>
      <c r="Q93" s="29"/>
    </row>
    <row r="94" spans="1:17" x14ac:dyDescent="0.25">
      <c r="A94" s="28" t="s">
        <v>81</v>
      </c>
      <c r="B94" t="s">
        <v>67</v>
      </c>
      <c r="C94">
        <v>-30</v>
      </c>
      <c r="D94" t="s">
        <v>68</v>
      </c>
      <c r="E94">
        <v>535</v>
      </c>
      <c r="F94" t="s">
        <v>69</v>
      </c>
      <c r="G94" t="s">
        <v>70</v>
      </c>
      <c r="Q94" s="29"/>
    </row>
    <row r="95" spans="1:17" x14ac:dyDescent="0.25">
      <c r="A95" s="28" t="s">
        <v>82</v>
      </c>
      <c r="B95" t="s">
        <v>67</v>
      </c>
      <c r="C95">
        <v>-30</v>
      </c>
      <c r="D95" t="s">
        <v>68</v>
      </c>
      <c r="E95">
        <v>535</v>
      </c>
      <c r="F95" t="s">
        <v>69</v>
      </c>
      <c r="G95" t="s">
        <v>70</v>
      </c>
      <c r="Q95" s="29"/>
    </row>
    <row r="96" spans="1:17" x14ac:dyDescent="0.25">
      <c r="A96" s="28" t="s">
        <v>83</v>
      </c>
      <c r="B96" t="s">
        <v>67</v>
      </c>
      <c r="C96">
        <v>-35</v>
      </c>
      <c r="D96" t="s">
        <v>68</v>
      </c>
      <c r="E96">
        <v>550</v>
      </c>
      <c r="F96" t="s">
        <v>69</v>
      </c>
      <c r="G96" t="s">
        <v>70</v>
      </c>
      <c r="Q96" s="29"/>
    </row>
    <row r="97" spans="1:17" x14ac:dyDescent="0.25">
      <c r="A97" s="28" t="s">
        <v>84</v>
      </c>
      <c r="B97" t="s">
        <v>67</v>
      </c>
      <c r="C97">
        <v>-35</v>
      </c>
      <c r="D97" t="s">
        <v>68</v>
      </c>
      <c r="E97">
        <v>550</v>
      </c>
      <c r="F97" t="s">
        <v>69</v>
      </c>
      <c r="G97" t="s">
        <v>70</v>
      </c>
      <c r="Q97" s="29"/>
    </row>
    <row r="98" spans="1:17" x14ac:dyDescent="0.25">
      <c r="A98" s="28" t="s">
        <v>36</v>
      </c>
      <c r="C98" t="s">
        <v>66</v>
      </c>
      <c r="D98" t="s">
        <v>71</v>
      </c>
      <c r="E98" t="s">
        <v>72</v>
      </c>
      <c r="F98" t="s">
        <v>73</v>
      </c>
      <c r="G98" t="s">
        <v>74</v>
      </c>
      <c r="H98" t="s">
        <v>75</v>
      </c>
      <c r="I98" t="s">
        <v>76</v>
      </c>
      <c r="J98" t="s">
        <v>77</v>
      </c>
      <c r="K98" t="s">
        <v>78</v>
      </c>
      <c r="L98" t="s">
        <v>79</v>
      </c>
      <c r="M98" t="s">
        <v>80</v>
      </c>
      <c r="N98" t="s">
        <v>81</v>
      </c>
      <c r="O98" t="s">
        <v>82</v>
      </c>
      <c r="P98" t="s">
        <v>83</v>
      </c>
      <c r="Q98" s="29" t="s">
        <v>84</v>
      </c>
    </row>
    <row r="99" spans="1:17" x14ac:dyDescent="0.25">
      <c r="A99" s="30"/>
      <c r="B99" s="31"/>
      <c r="C99" s="31" t="s">
        <v>70</v>
      </c>
      <c r="D99" s="31" t="s">
        <v>70</v>
      </c>
      <c r="E99" s="31" t="s">
        <v>70</v>
      </c>
      <c r="F99" s="31" t="s">
        <v>70</v>
      </c>
      <c r="G99" s="31" t="s">
        <v>70</v>
      </c>
      <c r="H99" s="31" t="s">
        <v>70</v>
      </c>
      <c r="I99" s="31" t="s">
        <v>70</v>
      </c>
      <c r="J99" s="31" t="s">
        <v>70</v>
      </c>
      <c r="K99" s="31" t="s">
        <v>70</v>
      </c>
      <c r="L99" s="31" t="s">
        <v>70</v>
      </c>
      <c r="M99" s="31" t="s">
        <v>70</v>
      </c>
      <c r="N99" s="31" t="s">
        <v>70</v>
      </c>
      <c r="O99" s="31" t="s">
        <v>70</v>
      </c>
      <c r="P99" s="31" t="s">
        <v>70</v>
      </c>
      <c r="Q99" s="32" t="s">
        <v>70</v>
      </c>
    </row>
    <row r="102" spans="1:17" ht="15.75" thickBot="1" x14ac:dyDescent="0.3"/>
    <row r="103" spans="1:17" ht="15.75" thickBot="1" x14ac:dyDescent="0.3">
      <c r="A103" s="331" t="str">
        <f>C104</f>
        <v>6100 PORTABLE</v>
      </c>
      <c r="B103" s="332"/>
      <c r="C103" s="332"/>
      <c r="D103" s="332"/>
      <c r="E103" s="332"/>
      <c r="F103" s="332"/>
      <c r="G103" s="332"/>
      <c r="H103" s="332"/>
      <c r="I103" s="332"/>
      <c r="J103" s="332"/>
      <c r="K103" s="332"/>
      <c r="L103" s="333"/>
    </row>
    <row r="104" spans="1:17" ht="15.75" thickTop="1" x14ac:dyDescent="0.25">
      <c r="A104" s="312" t="s">
        <v>50</v>
      </c>
      <c r="B104" t="s">
        <v>51</v>
      </c>
      <c r="C104" t="s">
        <v>52</v>
      </c>
      <c r="E104" t="s">
        <v>53</v>
      </c>
      <c r="F104">
        <v>8480381</v>
      </c>
      <c r="H104" t="s">
        <v>54</v>
      </c>
      <c r="I104" t="s">
        <v>55</v>
      </c>
      <c r="L104" s="313"/>
    </row>
    <row r="105" spans="1:17" x14ac:dyDescent="0.25">
      <c r="A105" s="312"/>
      <c r="B105" t="s">
        <v>56</v>
      </c>
      <c r="C105" t="s">
        <v>57</v>
      </c>
      <c r="E105" t="s">
        <v>58</v>
      </c>
      <c r="F105" t="s">
        <v>59</v>
      </c>
      <c r="H105" t="s">
        <v>60</v>
      </c>
      <c r="I105" t="s">
        <v>61</v>
      </c>
      <c r="K105" t="s">
        <v>62</v>
      </c>
      <c r="L105" s="313" t="s">
        <v>63</v>
      </c>
    </row>
    <row r="106" spans="1:17" x14ac:dyDescent="0.25">
      <c r="A106" s="312" t="s">
        <v>64</v>
      </c>
      <c r="B106" t="s">
        <v>65</v>
      </c>
      <c r="L106" s="313"/>
    </row>
    <row r="107" spans="1:17" x14ac:dyDescent="0.25">
      <c r="A107" s="312" t="s">
        <v>66</v>
      </c>
      <c r="B107" t="s">
        <v>67</v>
      </c>
      <c r="C107">
        <v>20</v>
      </c>
      <c r="D107" t="s">
        <v>68</v>
      </c>
      <c r="E107">
        <v>550</v>
      </c>
      <c r="F107" t="s">
        <v>69</v>
      </c>
      <c r="G107" t="s">
        <v>70</v>
      </c>
      <c r="L107" s="313"/>
    </row>
    <row r="108" spans="1:17" x14ac:dyDescent="0.25">
      <c r="A108" s="312" t="s">
        <v>71</v>
      </c>
      <c r="B108" t="s">
        <v>67</v>
      </c>
      <c r="C108">
        <v>20</v>
      </c>
      <c r="D108" t="s">
        <v>68</v>
      </c>
      <c r="E108">
        <v>550</v>
      </c>
      <c r="F108" t="s">
        <v>69</v>
      </c>
      <c r="G108" t="s">
        <v>70</v>
      </c>
      <c r="L108" s="313"/>
    </row>
    <row r="109" spans="1:17" x14ac:dyDescent="0.25">
      <c r="A109" s="312" t="s">
        <v>72</v>
      </c>
      <c r="B109" t="s">
        <v>67</v>
      </c>
      <c r="C109">
        <v>20</v>
      </c>
      <c r="D109" t="s">
        <v>68</v>
      </c>
      <c r="E109">
        <v>550</v>
      </c>
      <c r="F109" t="s">
        <v>69</v>
      </c>
      <c r="G109" t="s">
        <v>70</v>
      </c>
      <c r="L109" s="313"/>
    </row>
    <row r="110" spans="1:17" x14ac:dyDescent="0.25">
      <c r="A110" s="312" t="s">
        <v>73</v>
      </c>
      <c r="B110" t="s">
        <v>67</v>
      </c>
      <c r="C110">
        <v>20</v>
      </c>
      <c r="D110" t="s">
        <v>68</v>
      </c>
      <c r="E110">
        <v>550</v>
      </c>
      <c r="F110" t="s">
        <v>69</v>
      </c>
      <c r="G110" t="s">
        <v>70</v>
      </c>
      <c r="L110" s="313"/>
    </row>
    <row r="111" spans="1:17" x14ac:dyDescent="0.25">
      <c r="A111" s="312" t="s">
        <v>74</v>
      </c>
      <c r="B111" t="s">
        <v>67</v>
      </c>
      <c r="C111">
        <v>20</v>
      </c>
      <c r="D111" t="s">
        <v>68</v>
      </c>
      <c r="E111">
        <v>550</v>
      </c>
      <c r="F111" t="s">
        <v>69</v>
      </c>
      <c r="G111" t="s">
        <v>70</v>
      </c>
      <c r="L111" s="313"/>
    </row>
    <row r="112" spans="1:17" x14ac:dyDescent="0.25">
      <c r="A112" s="312" t="s">
        <v>75</v>
      </c>
      <c r="B112" t="s">
        <v>67</v>
      </c>
      <c r="C112">
        <v>20</v>
      </c>
      <c r="D112" t="s">
        <v>68</v>
      </c>
      <c r="E112">
        <v>550</v>
      </c>
      <c r="F112" t="s">
        <v>69</v>
      </c>
      <c r="G112" t="s">
        <v>70</v>
      </c>
      <c r="L112" s="313"/>
    </row>
    <row r="113" spans="1:12" x14ac:dyDescent="0.25">
      <c r="A113" s="312" t="s">
        <v>76</v>
      </c>
      <c r="B113" t="s">
        <v>67</v>
      </c>
      <c r="C113">
        <v>20</v>
      </c>
      <c r="D113" t="s">
        <v>68</v>
      </c>
      <c r="E113">
        <v>550</v>
      </c>
      <c r="F113" t="s">
        <v>69</v>
      </c>
      <c r="G113" t="s">
        <v>70</v>
      </c>
      <c r="L113" s="313"/>
    </row>
    <row r="114" spans="1:12" x14ac:dyDescent="0.25">
      <c r="A114" s="312" t="s">
        <v>77</v>
      </c>
      <c r="B114" t="s">
        <v>67</v>
      </c>
      <c r="C114">
        <v>20</v>
      </c>
      <c r="D114" t="s">
        <v>68</v>
      </c>
      <c r="E114">
        <v>550</v>
      </c>
      <c r="F114" t="s">
        <v>69</v>
      </c>
      <c r="G114" t="s">
        <v>70</v>
      </c>
      <c r="L114" s="313"/>
    </row>
    <row r="115" spans="1:12" x14ac:dyDescent="0.25">
      <c r="A115" s="312" t="s">
        <v>78</v>
      </c>
      <c r="B115" t="s">
        <v>67</v>
      </c>
      <c r="C115">
        <v>20</v>
      </c>
      <c r="D115" t="s">
        <v>68</v>
      </c>
      <c r="E115">
        <v>550</v>
      </c>
      <c r="F115" t="s">
        <v>69</v>
      </c>
      <c r="G115" t="s">
        <v>70</v>
      </c>
      <c r="L115" s="313"/>
    </row>
    <row r="116" spans="1:12" x14ac:dyDescent="0.25">
      <c r="A116" s="312" t="s">
        <v>36</v>
      </c>
      <c r="C116" t="s">
        <v>66</v>
      </c>
      <c r="D116" t="s">
        <v>71</v>
      </c>
      <c r="E116" t="s">
        <v>72</v>
      </c>
      <c r="F116" t="s">
        <v>73</v>
      </c>
      <c r="G116" t="s">
        <v>74</v>
      </c>
      <c r="H116" t="s">
        <v>75</v>
      </c>
      <c r="I116" t="s">
        <v>76</v>
      </c>
      <c r="J116" t="s">
        <v>77</v>
      </c>
      <c r="K116" t="s">
        <v>78</v>
      </c>
      <c r="L116" s="313"/>
    </row>
    <row r="117" spans="1:12" ht="15.75" thickBot="1" x14ac:dyDescent="0.3">
      <c r="A117" s="314"/>
      <c r="B117" s="315"/>
      <c r="C117" s="315" t="s">
        <v>70</v>
      </c>
      <c r="D117" s="315" t="s">
        <v>70</v>
      </c>
      <c r="E117" s="315" t="s">
        <v>70</v>
      </c>
      <c r="F117" s="315" t="s">
        <v>70</v>
      </c>
      <c r="G117" s="315" t="s">
        <v>70</v>
      </c>
      <c r="H117" s="315" t="s">
        <v>70</v>
      </c>
      <c r="I117" s="315" t="s">
        <v>70</v>
      </c>
      <c r="J117" s="315" t="s">
        <v>70</v>
      </c>
      <c r="K117" s="315" t="s">
        <v>70</v>
      </c>
      <c r="L117" s="316"/>
    </row>
    <row r="119" spans="1:12" ht="15.75" thickBot="1" x14ac:dyDescent="0.3"/>
    <row r="120" spans="1:12" ht="15.75" thickBot="1" x14ac:dyDescent="0.3">
      <c r="A120" s="331" t="str">
        <f>C121</f>
        <v>Four Thermidor Efita</v>
      </c>
      <c r="B120" s="332"/>
      <c r="C120" s="332"/>
      <c r="D120" s="332"/>
      <c r="E120" s="332"/>
      <c r="F120" s="332"/>
      <c r="G120" s="332"/>
      <c r="H120" s="332"/>
      <c r="I120" s="332"/>
      <c r="J120" s="332"/>
      <c r="K120" s="332"/>
      <c r="L120" s="333"/>
    </row>
    <row r="121" spans="1:12" ht="15.75" thickTop="1" x14ac:dyDescent="0.25">
      <c r="A121" s="312" t="s">
        <v>50</v>
      </c>
      <c r="B121" t="s">
        <v>51</v>
      </c>
      <c r="C121" t="s">
        <v>546</v>
      </c>
      <c r="E121" t="s">
        <v>53</v>
      </c>
      <c r="F121">
        <v>8470479</v>
      </c>
      <c r="H121" t="s">
        <v>54</v>
      </c>
      <c r="I121" t="s">
        <v>547</v>
      </c>
      <c r="L121" s="313"/>
    </row>
    <row r="122" spans="1:12" x14ac:dyDescent="0.25">
      <c r="A122" s="312"/>
      <c r="B122" t="s">
        <v>56</v>
      </c>
      <c r="C122" t="s">
        <v>548</v>
      </c>
      <c r="E122" t="s">
        <v>58</v>
      </c>
      <c r="F122" t="s">
        <v>59</v>
      </c>
      <c r="H122" t="s">
        <v>60</v>
      </c>
      <c r="I122" t="s">
        <v>61</v>
      </c>
      <c r="K122" t="s">
        <v>62</v>
      </c>
      <c r="L122" s="313" t="s">
        <v>63</v>
      </c>
    </row>
    <row r="123" spans="1:12" x14ac:dyDescent="0.25">
      <c r="A123" s="312" t="s">
        <v>64</v>
      </c>
      <c r="B123" t="s">
        <v>65</v>
      </c>
      <c r="L123" s="313"/>
    </row>
    <row r="124" spans="1:12" x14ac:dyDescent="0.25">
      <c r="A124" s="312" t="s">
        <v>541</v>
      </c>
      <c r="B124" t="s">
        <v>67</v>
      </c>
      <c r="C124">
        <v>50</v>
      </c>
      <c r="D124" t="s">
        <v>68</v>
      </c>
      <c r="E124">
        <v>550</v>
      </c>
      <c r="F124" t="s">
        <v>69</v>
      </c>
      <c r="G124" t="s">
        <v>70</v>
      </c>
      <c r="L124" s="313"/>
    </row>
    <row r="125" spans="1:12" x14ac:dyDescent="0.25">
      <c r="A125" s="312" t="s">
        <v>549</v>
      </c>
      <c r="B125" t="s">
        <v>67</v>
      </c>
      <c r="C125">
        <v>0</v>
      </c>
      <c r="D125" t="s">
        <v>68</v>
      </c>
      <c r="E125">
        <v>100</v>
      </c>
      <c r="F125" t="s">
        <v>69</v>
      </c>
      <c r="G125" t="s">
        <v>550</v>
      </c>
      <c r="L125" s="313"/>
    </row>
    <row r="126" spans="1:12" x14ac:dyDescent="0.25">
      <c r="A126" s="312" t="s">
        <v>542</v>
      </c>
      <c r="B126" t="s">
        <v>67</v>
      </c>
      <c r="C126">
        <v>50</v>
      </c>
      <c r="D126" t="s">
        <v>68</v>
      </c>
      <c r="E126">
        <v>550</v>
      </c>
      <c r="F126" t="s">
        <v>69</v>
      </c>
      <c r="G126" t="s">
        <v>70</v>
      </c>
      <c r="L126" s="313"/>
    </row>
    <row r="127" spans="1:12" x14ac:dyDescent="0.25">
      <c r="A127" s="312" t="s">
        <v>544</v>
      </c>
      <c r="B127" t="s">
        <v>67</v>
      </c>
      <c r="C127">
        <v>50</v>
      </c>
      <c r="D127" t="s">
        <v>68</v>
      </c>
      <c r="E127">
        <v>550</v>
      </c>
      <c r="F127" t="s">
        <v>69</v>
      </c>
      <c r="G127" t="s">
        <v>70</v>
      </c>
      <c r="L127" s="313"/>
    </row>
    <row r="128" spans="1:12" x14ac:dyDescent="0.25">
      <c r="A128" s="312" t="s">
        <v>543</v>
      </c>
      <c r="B128" t="s">
        <v>67</v>
      </c>
      <c r="C128">
        <v>50</v>
      </c>
      <c r="D128" t="s">
        <v>68</v>
      </c>
      <c r="E128">
        <v>550</v>
      </c>
      <c r="F128" t="s">
        <v>69</v>
      </c>
      <c r="G128" t="s">
        <v>70</v>
      </c>
      <c r="L128" s="313"/>
    </row>
    <row r="129" spans="1:12" x14ac:dyDescent="0.25">
      <c r="A129" s="312" t="s">
        <v>36</v>
      </c>
      <c r="C129" t="s">
        <v>541</v>
      </c>
      <c r="D129" t="s">
        <v>549</v>
      </c>
      <c r="E129" t="s">
        <v>542</v>
      </c>
      <c r="F129" t="s">
        <v>544</v>
      </c>
      <c r="G129" t="s">
        <v>543</v>
      </c>
      <c r="L129" s="313"/>
    </row>
    <row r="130" spans="1:12" ht="15.75" thickBot="1" x14ac:dyDescent="0.3">
      <c r="A130" s="314"/>
      <c r="B130" s="315"/>
      <c r="C130" s="315" t="s">
        <v>70</v>
      </c>
      <c r="D130" s="315" t="s">
        <v>550</v>
      </c>
      <c r="E130" s="315" t="s">
        <v>70</v>
      </c>
      <c r="F130" s="315" t="s">
        <v>70</v>
      </c>
      <c r="G130" s="315" t="s">
        <v>70</v>
      </c>
      <c r="H130" s="315"/>
      <c r="I130" s="315"/>
      <c r="J130" s="315"/>
      <c r="K130" s="315"/>
      <c r="L130" s="316"/>
    </row>
  </sheetData>
  <sheetProtection algorithmName="SHA-512" hashValue="Z38I+A5APvDSK5oh0VwD+KjkidZYFYi221qj+Znsx+KZyqhKVH/9nh38aqt5d0sCLlHv7VcQ/OqRezcoCQ+IUg==" saltValue="Zrb59EPdI3KoFD2U9fWDcw==" spinCount="100000" sheet="1" objects="1" scenarios="1"/>
  <mergeCells count="7">
    <mergeCell ref="A103:L103"/>
    <mergeCell ref="A120:L120"/>
    <mergeCell ref="A1:N1"/>
    <mergeCell ref="A24:O24"/>
    <mergeCell ref="A45:K45"/>
    <mergeCell ref="A63:J63"/>
    <mergeCell ref="A79:Q79"/>
  </mergeCells>
  <phoneticPr fontId="4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B3:M10"/>
  <sheetViews>
    <sheetView workbookViewId="0">
      <selection activeCell="P9" sqref="P9"/>
    </sheetView>
  </sheetViews>
  <sheetFormatPr baseColWidth="10" defaultColWidth="9.140625" defaultRowHeight="15" x14ac:dyDescent="0.25"/>
  <cols>
    <col min="2" max="2" width="15.28515625" customWidth="1"/>
  </cols>
  <sheetData>
    <row r="3" spans="2:13" x14ac:dyDescent="0.25">
      <c r="B3" s="24" t="s">
        <v>283</v>
      </c>
    </row>
    <row r="4" spans="2:13" x14ac:dyDescent="0.25">
      <c r="B4" s="24" t="s">
        <v>246</v>
      </c>
      <c r="D4" s="24"/>
    </row>
    <row r="5" spans="2:13" x14ac:dyDescent="0.25">
      <c r="B5" s="24" t="s">
        <v>290</v>
      </c>
    </row>
    <row r="6" spans="2:13" x14ac:dyDescent="0.25">
      <c r="B6" s="24" t="s">
        <v>247</v>
      </c>
    </row>
    <row r="7" spans="2:13" x14ac:dyDescent="0.25">
      <c r="B7" s="24" t="s">
        <v>291</v>
      </c>
      <c r="K7" s="159" t="s">
        <v>334</v>
      </c>
    </row>
    <row r="8" spans="2:13" x14ac:dyDescent="0.25">
      <c r="B8" s="24" t="s">
        <v>336</v>
      </c>
    </row>
    <row r="10" spans="2:13" x14ac:dyDescent="0.25">
      <c r="M10" t="s">
        <v>248</v>
      </c>
    </row>
  </sheetData>
  <sheetProtection algorithmName="SHA-512" hashValue="XdHSzAjuNXF0NqFdLJgr1B5BS3qBcO5COrX2s8yp9su7UT+VEn3auZtnPrh8DZPAHWADJQ9bATi2xAWlXiMdqA==" saltValue="TeJuA+gy3DYgpPg42j+7ug==" spinCount="100000"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43" r:id="rId4" name="ComboBox1">
          <controlPr defaultSize="0" autoLine="0" altText="sedrftgyh" linkedCell="K7" listFillRange="B3:B8" r:id="rId5">
            <anchor moveWithCells="1">
              <from>
                <xdr:col>7</xdr:col>
                <xdr:colOff>514350</xdr:colOff>
                <xdr:row>4</xdr:row>
                <xdr:rowOff>57150</xdr:rowOff>
              </from>
              <to>
                <xdr:col>15</xdr:col>
                <xdr:colOff>409575</xdr:colOff>
                <xdr:row>11</xdr:row>
                <xdr:rowOff>19050</xdr:rowOff>
              </to>
            </anchor>
          </controlPr>
        </control>
      </mc:Choice>
      <mc:Fallback>
        <control shapeId="10243" r:id="rId4" name="ComboBox1"/>
      </mc:Fallback>
    </mc:AlternateContent>
    <mc:AlternateContent xmlns:mc="http://schemas.openxmlformats.org/markup-compatibility/2006">
      <mc:Choice Requires="x14">
        <control shapeId="10245" r:id="rId6" name="Button 5">
          <controlPr defaultSize="0" print="0" autoFill="0" autoPict="0" macro="[0]!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4ADEB-5F77-4D0C-B3C1-72099841C5AA}">
  <sheetPr codeName="Mesures">
    <tabColor rgb="FF002060"/>
  </sheetPr>
  <dimension ref="A1:N63"/>
  <sheetViews>
    <sheetView topLeftCell="A11" zoomScale="70" zoomScaleNormal="85" workbookViewId="0">
      <selection activeCell="D40" sqref="D40:G48"/>
    </sheetView>
  </sheetViews>
  <sheetFormatPr baseColWidth="10" defaultRowHeight="15" x14ac:dyDescent="0.25"/>
  <cols>
    <col min="1" max="1" width="39.28515625" customWidth="1"/>
    <col min="2" max="7" width="26.7109375" customWidth="1"/>
    <col min="8" max="8" width="17.140625" customWidth="1"/>
    <col min="14" max="14" width="26" customWidth="1"/>
  </cols>
  <sheetData>
    <row r="1" spans="1:14" ht="20.25" x14ac:dyDescent="0.25">
      <c r="A1" s="340" t="s">
        <v>485</v>
      </c>
      <c r="B1" s="340"/>
      <c r="C1" s="340"/>
      <c r="D1" s="340"/>
      <c r="E1" s="340"/>
      <c r="F1" s="340"/>
      <c r="G1" s="340"/>
      <c r="H1" s="340"/>
      <c r="I1" s="340"/>
      <c r="J1" s="340"/>
      <c r="K1" s="340"/>
      <c r="L1" s="340"/>
      <c r="M1" s="340"/>
    </row>
    <row r="2" spans="1:14" ht="20.25" x14ac:dyDescent="0.3">
      <c r="A2" s="341" t="s">
        <v>486</v>
      </c>
      <c r="B2" s="341"/>
      <c r="C2" s="341"/>
      <c r="D2" s="341"/>
      <c r="E2" s="341"/>
      <c r="F2" s="341"/>
      <c r="G2" s="341"/>
      <c r="H2" s="341"/>
      <c r="I2" s="341"/>
      <c r="J2" s="341"/>
      <c r="K2" s="341"/>
      <c r="L2" s="341"/>
      <c r="M2" s="341"/>
    </row>
    <row r="4" spans="1:14" x14ac:dyDescent="0.25">
      <c r="A4" t="s">
        <v>487</v>
      </c>
      <c r="B4" s="342" t="s">
        <v>488</v>
      </c>
      <c r="C4" s="342"/>
      <c r="D4" s="342"/>
      <c r="E4" s="270" t="s">
        <v>489</v>
      </c>
    </row>
    <row r="5" spans="1:14" x14ac:dyDescent="0.25">
      <c r="A5" s="271" t="s">
        <v>490</v>
      </c>
      <c r="B5" s="272" t="s">
        <v>939</v>
      </c>
      <c r="C5" s="24" t="s">
        <v>491</v>
      </c>
    </row>
    <row r="6" spans="1:14" x14ac:dyDescent="0.25">
      <c r="A6" s="271" t="s">
        <v>492</v>
      </c>
      <c r="B6" s="273">
        <v>45337</v>
      </c>
    </row>
    <row r="7" spans="1:14" x14ac:dyDescent="0.25">
      <c r="A7" s="343" t="s">
        <v>493</v>
      </c>
      <c r="B7" s="272" t="s">
        <v>940</v>
      </c>
    </row>
    <row r="8" spans="1:14" x14ac:dyDescent="0.25">
      <c r="A8" s="344"/>
      <c r="B8" s="272"/>
    </row>
    <row r="9" spans="1:14" x14ac:dyDescent="0.25">
      <c r="A9" s="345"/>
      <c r="B9" s="272"/>
    </row>
    <row r="10" spans="1:14" x14ac:dyDescent="0.25">
      <c r="A10" s="271" t="s">
        <v>494</v>
      </c>
      <c r="B10" s="272" t="s">
        <v>940</v>
      </c>
    </row>
    <row r="11" spans="1:14" x14ac:dyDescent="0.25">
      <c r="A11" s="271" t="s">
        <v>5</v>
      </c>
      <c r="B11" s="274">
        <v>45338</v>
      </c>
    </row>
    <row r="12" spans="1:14" x14ac:dyDescent="0.25">
      <c r="A12" s="271" t="s">
        <v>495</v>
      </c>
      <c r="B12" s="275" t="s">
        <v>941</v>
      </c>
    </row>
    <row r="14" spans="1:14" x14ac:dyDescent="0.25">
      <c r="A14" s="276" t="s">
        <v>496</v>
      </c>
      <c r="B14" s="277" t="s">
        <v>497</v>
      </c>
      <c r="C14" s="278" t="s">
        <v>498</v>
      </c>
      <c r="D14" s="346" t="s">
        <v>499</v>
      </c>
      <c r="E14" s="347"/>
      <c r="F14" s="276" t="s">
        <v>500</v>
      </c>
      <c r="H14" s="1"/>
      <c r="J14" s="339" t="s">
        <v>501</v>
      </c>
      <c r="K14" s="339"/>
      <c r="L14" s="339"/>
      <c r="M14" s="339"/>
      <c r="N14" s="339"/>
    </row>
    <row r="15" spans="1:14" x14ac:dyDescent="0.25">
      <c r="B15" s="279"/>
      <c r="C15" s="280"/>
      <c r="D15" s="281" t="s">
        <v>502</v>
      </c>
      <c r="E15" s="282" t="s">
        <v>503</v>
      </c>
      <c r="F15" s="1" t="s">
        <v>503</v>
      </c>
      <c r="H15" s="1"/>
      <c r="J15" s="348" t="s">
        <v>504</v>
      </c>
      <c r="K15" s="348"/>
      <c r="L15" s="348"/>
      <c r="M15" s="348"/>
      <c r="N15" s="348"/>
    </row>
    <row r="16" spans="1:14" x14ac:dyDescent="0.25">
      <c r="A16" s="254" t="s">
        <v>50</v>
      </c>
      <c r="B16" s="283" t="s">
        <v>505</v>
      </c>
      <c r="C16" s="284" t="s">
        <v>186</v>
      </c>
      <c r="D16" s="285" t="s">
        <v>937</v>
      </c>
      <c r="E16" s="285" t="s">
        <v>938</v>
      </c>
      <c r="F16" s="286"/>
      <c r="G16" s="287"/>
    </row>
    <row r="17" spans="1:14" x14ac:dyDescent="0.25">
      <c r="A17" s="254" t="s">
        <v>12</v>
      </c>
      <c r="B17" s="283" t="s">
        <v>506</v>
      </c>
      <c r="C17" s="285" t="s">
        <v>934</v>
      </c>
      <c r="D17" s="285" t="s">
        <v>933</v>
      </c>
      <c r="E17" s="285" t="s">
        <v>935</v>
      </c>
      <c r="F17" s="285" t="s">
        <v>936</v>
      </c>
      <c r="G17" s="287"/>
      <c r="J17" s="288" t="s">
        <v>507</v>
      </c>
      <c r="K17" s="288"/>
      <c r="L17" s="288"/>
      <c r="M17" s="288"/>
      <c r="N17" s="288"/>
    </row>
    <row r="18" spans="1:14" ht="25.5" x14ac:dyDescent="0.25">
      <c r="A18" s="254" t="s">
        <v>12</v>
      </c>
      <c r="B18" s="283" t="s">
        <v>506</v>
      </c>
      <c r="C18" s="285"/>
      <c r="D18" s="285"/>
      <c r="E18" s="285"/>
      <c r="F18" s="285"/>
      <c r="G18" s="287"/>
      <c r="H18" s="289" t="s">
        <v>508</v>
      </c>
      <c r="J18" s="288" t="s">
        <v>509</v>
      </c>
      <c r="K18" s="288"/>
      <c r="L18" s="288"/>
      <c r="M18" s="288"/>
      <c r="N18" s="288"/>
    </row>
    <row r="19" spans="1:14" x14ac:dyDescent="0.25">
      <c r="A19" s="89"/>
      <c r="B19" s="1"/>
      <c r="C19" s="1"/>
      <c r="D19" s="1"/>
      <c r="E19" s="1"/>
      <c r="F19" s="1"/>
      <c r="G19" s="1"/>
      <c r="H19" s="1"/>
      <c r="I19" s="349"/>
      <c r="J19" s="349"/>
      <c r="K19" s="349"/>
      <c r="L19" s="349"/>
      <c r="M19" s="349"/>
    </row>
    <row r="20" spans="1:14" x14ac:dyDescent="0.25">
      <c r="A20" s="89"/>
      <c r="B20" s="291" t="s">
        <v>510</v>
      </c>
      <c r="C20" s="291" t="s">
        <v>511</v>
      </c>
      <c r="D20" s="291" t="s">
        <v>512</v>
      </c>
      <c r="E20" s="291" t="s">
        <v>513</v>
      </c>
      <c r="F20" s="291" t="s">
        <v>514</v>
      </c>
      <c r="G20" s="291" t="s">
        <v>515</v>
      </c>
      <c r="H20" s="1"/>
      <c r="I20" s="290"/>
      <c r="J20" s="290"/>
      <c r="K20" s="290"/>
      <c r="L20" s="290"/>
      <c r="M20" s="290"/>
    </row>
    <row r="21" spans="1:14" x14ac:dyDescent="0.25">
      <c r="A21" s="89"/>
      <c r="B21" s="292">
        <v>80</v>
      </c>
      <c r="C21" s="292">
        <v>-0.6</v>
      </c>
      <c r="D21" s="292">
        <v>-0.27</v>
      </c>
      <c r="E21" s="292">
        <v>0.5</v>
      </c>
      <c r="F21" s="292">
        <v>3</v>
      </c>
      <c r="G21" s="292">
        <v>6</v>
      </c>
      <c r="H21" s="1"/>
      <c r="I21" s="290"/>
      <c r="J21" s="290"/>
      <c r="K21" s="290"/>
      <c r="L21" s="290"/>
      <c r="M21" s="290"/>
    </row>
    <row r="22" spans="1:14" x14ac:dyDescent="0.25">
      <c r="A22" s="89"/>
      <c r="B22" s="292">
        <v>200</v>
      </c>
      <c r="C22" s="293">
        <v>-0.6</v>
      </c>
      <c r="D22" s="293">
        <v>-0.27</v>
      </c>
      <c r="E22" s="293">
        <v>0.5</v>
      </c>
      <c r="F22" s="293">
        <v>3</v>
      </c>
      <c r="G22" s="293">
        <v>6</v>
      </c>
      <c r="H22" s="1"/>
      <c r="I22" s="290"/>
      <c r="J22" s="290"/>
      <c r="K22" s="290"/>
      <c r="L22" s="290"/>
      <c r="M22" s="290"/>
    </row>
    <row r="23" spans="1:14" x14ac:dyDescent="0.25">
      <c r="A23" s="89"/>
      <c r="B23" s="292">
        <v>385</v>
      </c>
      <c r="C23" s="293">
        <v>-0.6</v>
      </c>
      <c r="D23" s="293">
        <v>-0.27</v>
      </c>
      <c r="E23" s="293">
        <v>0.5</v>
      </c>
      <c r="F23" s="293">
        <v>5</v>
      </c>
      <c r="G23" s="293">
        <v>10</v>
      </c>
      <c r="H23" s="1"/>
      <c r="I23" s="290"/>
      <c r="J23" s="290"/>
      <c r="K23" s="290"/>
      <c r="L23" s="290"/>
      <c r="M23" s="290"/>
    </row>
    <row r="24" spans="1:14" x14ac:dyDescent="0.25">
      <c r="A24" s="89"/>
      <c r="B24" s="292">
        <v>535</v>
      </c>
      <c r="C24" s="293">
        <v>-0.6</v>
      </c>
      <c r="D24" s="293">
        <v>-0.27</v>
      </c>
      <c r="E24" s="293">
        <v>0.5</v>
      </c>
      <c r="F24" s="293">
        <v>5</v>
      </c>
      <c r="G24" s="293">
        <v>10</v>
      </c>
      <c r="H24" s="1"/>
      <c r="I24" s="290"/>
      <c r="J24" s="290"/>
      <c r="K24" s="290"/>
      <c r="L24" s="290"/>
      <c r="M24" s="290"/>
    </row>
    <row r="25" spans="1:14" x14ac:dyDescent="0.25">
      <c r="A25" s="89"/>
      <c r="B25" s="1"/>
      <c r="C25" s="1"/>
      <c r="D25" s="1"/>
      <c r="E25" s="1"/>
      <c r="F25" s="1"/>
      <c r="G25" s="1"/>
      <c r="H25" s="1"/>
      <c r="I25" s="290"/>
      <c r="J25" s="290"/>
      <c r="K25" s="290"/>
      <c r="L25" s="290"/>
      <c r="M25" s="290"/>
    </row>
    <row r="26" spans="1:14" x14ac:dyDescent="0.25">
      <c r="A26" s="350" t="s">
        <v>516</v>
      </c>
      <c r="B26" s="350"/>
      <c r="C26" s="350"/>
      <c r="D26" s="351" t="s">
        <v>517</v>
      </c>
      <c r="E26" s="352"/>
      <c r="F26" s="352"/>
      <c r="G26" s="352"/>
      <c r="H26" s="353"/>
      <c r="I26" s="290"/>
      <c r="J26" s="290"/>
      <c r="K26" s="290"/>
      <c r="L26" s="290"/>
      <c r="M26" s="290"/>
    </row>
    <row r="27" spans="1:14" ht="36" customHeight="1" x14ac:dyDescent="0.25">
      <c r="A27" s="294" t="s">
        <v>518</v>
      </c>
      <c r="B27" s="294" t="s">
        <v>519</v>
      </c>
      <c r="C27" s="295" t="s">
        <v>520</v>
      </c>
      <c r="D27" s="295" t="str">
        <f>_xlfn.CONCAT(B$21,"°C")</f>
        <v>80°C</v>
      </c>
      <c r="E27" s="295" t="str">
        <f>_xlfn.CONCAT(B$22,"°C")</f>
        <v>200°C</v>
      </c>
      <c r="F27" s="295" t="str">
        <f>_xlfn.CONCAT(B$23,"°C")</f>
        <v>385°C</v>
      </c>
      <c r="G27" s="295" t="str">
        <f>_xlfn.CONCAT(B$24,"°C")</f>
        <v>535°C</v>
      </c>
      <c r="H27" s="295" t="s">
        <v>521</v>
      </c>
      <c r="I27" s="290"/>
      <c r="J27" s="290"/>
      <c r="K27" s="290"/>
      <c r="L27" s="290"/>
      <c r="M27" s="290"/>
    </row>
    <row r="28" spans="1:14" ht="22.5" customHeight="1" x14ac:dyDescent="0.25">
      <c r="A28" s="251">
        <v>1</v>
      </c>
      <c r="B28" s="296" t="s">
        <v>427</v>
      </c>
      <c r="C28" s="296" t="s">
        <v>427</v>
      </c>
      <c r="D28" s="297">
        <v>0.22</v>
      </c>
      <c r="E28" s="297">
        <v>0.17</v>
      </c>
      <c r="F28" s="297">
        <v>0.25</v>
      </c>
      <c r="G28" s="297">
        <v>-0.12</v>
      </c>
      <c r="H28" s="298" t="s">
        <v>933</v>
      </c>
      <c r="I28" s="290"/>
      <c r="J28" s="290"/>
      <c r="K28" s="290"/>
      <c r="L28" s="290"/>
      <c r="M28" s="290"/>
    </row>
    <row r="29" spans="1:14" ht="22.5" customHeight="1" x14ac:dyDescent="0.25">
      <c r="A29" s="251">
        <v>2</v>
      </c>
      <c r="B29" s="296" t="s">
        <v>428</v>
      </c>
      <c r="C29" s="296" t="s">
        <v>428</v>
      </c>
      <c r="D29" s="297">
        <v>0.22</v>
      </c>
      <c r="E29" s="297">
        <v>0.17</v>
      </c>
      <c r="F29" s="297">
        <v>0.25</v>
      </c>
      <c r="G29" s="297">
        <v>-0.12</v>
      </c>
      <c r="H29" s="298" t="s">
        <v>933</v>
      </c>
      <c r="J29" s="339" t="s">
        <v>522</v>
      </c>
      <c r="K29" s="339"/>
      <c r="L29" s="339"/>
      <c r="M29" s="339"/>
      <c r="N29" s="339"/>
    </row>
    <row r="30" spans="1:14" ht="18" customHeight="1" x14ac:dyDescent="0.25">
      <c r="A30" s="251">
        <v>3</v>
      </c>
      <c r="B30" s="296" t="s">
        <v>429</v>
      </c>
      <c r="C30" s="296" t="s">
        <v>429</v>
      </c>
      <c r="D30" s="297">
        <v>0.22</v>
      </c>
      <c r="E30" s="297">
        <v>0.17</v>
      </c>
      <c r="F30" s="297">
        <v>0.25</v>
      </c>
      <c r="G30" s="297">
        <v>-0.12</v>
      </c>
      <c r="H30" s="298" t="s">
        <v>933</v>
      </c>
      <c r="J30" s="339" t="s">
        <v>523</v>
      </c>
      <c r="K30" s="339"/>
      <c r="L30" s="339"/>
      <c r="M30" s="339"/>
      <c r="N30" s="339"/>
    </row>
    <row r="31" spans="1:14" ht="24" customHeight="1" x14ac:dyDescent="0.25">
      <c r="A31" s="251">
        <v>4</v>
      </c>
      <c r="B31" s="296" t="s">
        <v>430</v>
      </c>
      <c r="C31" s="296" t="s">
        <v>430</v>
      </c>
      <c r="D31" s="297">
        <v>0.22</v>
      </c>
      <c r="E31" s="297">
        <v>0.17</v>
      </c>
      <c r="F31" s="297">
        <v>0.25</v>
      </c>
      <c r="G31" s="297">
        <v>-0.12</v>
      </c>
      <c r="H31" s="298" t="s">
        <v>933</v>
      </c>
      <c r="J31" s="339" t="s">
        <v>524</v>
      </c>
      <c r="K31" s="339"/>
      <c r="L31" s="339"/>
      <c r="M31" s="339"/>
      <c r="N31" s="339"/>
    </row>
    <row r="32" spans="1:14" ht="19.5" customHeight="1" x14ac:dyDescent="0.25">
      <c r="A32" s="251">
        <v>5</v>
      </c>
      <c r="B32" s="296" t="s">
        <v>431</v>
      </c>
      <c r="C32" s="296" t="s">
        <v>431</v>
      </c>
      <c r="D32" s="297">
        <v>0.22</v>
      </c>
      <c r="E32" s="297">
        <v>0.17</v>
      </c>
      <c r="F32" s="297">
        <v>0.25</v>
      </c>
      <c r="G32" s="297">
        <v>-0.12</v>
      </c>
      <c r="H32" s="298" t="s">
        <v>933</v>
      </c>
      <c r="I32" s="290"/>
      <c r="J32" s="290"/>
      <c r="K32" s="290"/>
      <c r="L32" s="290"/>
      <c r="M32" s="290"/>
    </row>
    <row r="33" spans="1:13" ht="20.25" customHeight="1" x14ac:dyDescent="0.25">
      <c r="A33" s="251">
        <v>6</v>
      </c>
      <c r="B33" s="296" t="s">
        <v>432</v>
      </c>
      <c r="C33" s="296" t="s">
        <v>432</v>
      </c>
      <c r="D33" s="297">
        <v>0.22</v>
      </c>
      <c r="E33" s="297">
        <v>0.17</v>
      </c>
      <c r="F33" s="297">
        <v>0.25</v>
      </c>
      <c r="G33" s="297">
        <v>-0.12</v>
      </c>
      <c r="H33" s="298" t="s">
        <v>933</v>
      </c>
      <c r="I33" s="290"/>
      <c r="J33" s="290"/>
      <c r="K33" s="290"/>
      <c r="L33" s="290"/>
      <c r="M33" s="290"/>
    </row>
    <row r="34" spans="1:13" ht="20.25" customHeight="1" x14ac:dyDescent="0.25">
      <c r="A34" s="251">
        <v>7</v>
      </c>
      <c r="B34" s="296" t="s">
        <v>433</v>
      </c>
      <c r="C34" s="296" t="s">
        <v>433</v>
      </c>
      <c r="D34" s="297">
        <v>0.22</v>
      </c>
      <c r="E34" s="297">
        <v>0.17</v>
      </c>
      <c r="F34" s="297">
        <v>0.25</v>
      </c>
      <c r="G34" s="297">
        <v>-0.12</v>
      </c>
      <c r="H34" s="298" t="s">
        <v>933</v>
      </c>
      <c r="I34" s="290"/>
      <c r="J34" s="290"/>
      <c r="K34" s="290"/>
      <c r="L34" s="290"/>
      <c r="M34" s="290"/>
    </row>
    <row r="35" spans="1:13" ht="21" customHeight="1" x14ac:dyDescent="0.25">
      <c r="A35" s="251">
        <v>8</v>
      </c>
      <c r="B35" s="296" t="s">
        <v>434</v>
      </c>
      <c r="C35" s="296" t="s">
        <v>434</v>
      </c>
      <c r="D35" s="297">
        <v>0.22</v>
      </c>
      <c r="E35" s="297">
        <v>0.17</v>
      </c>
      <c r="F35" s="297">
        <v>0.25</v>
      </c>
      <c r="G35" s="297">
        <v>-0.12</v>
      </c>
      <c r="H35" s="298" t="s">
        <v>933</v>
      </c>
      <c r="I35" s="290"/>
      <c r="J35" s="290"/>
      <c r="K35" s="290"/>
      <c r="L35" s="290"/>
      <c r="M35" s="290"/>
    </row>
    <row r="36" spans="1:13" ht="26.25" customHeight="1" x14ac:dyDescent="0.25">
      <c r="A36" s="251">
        <v>9</v>
      </c>
      <c r="B36" s="296" t="s">
        <v>435</v>
      </c>
      <c r="C36" s="296" t="s">
        <v>435</v>
      </c>
      <c r="D36" s="297">
        <v>0.22</v>
      </c>
      <c r="E36" s="297">
        <v>0.17</v>
      </c>
      <c r="F36" s="297">
        <v>0.25</v>
      </c>
      <c r="G36" s="297">
        <v>-0.12</v>
      </c>
      <c r="H36" s="298" t="s">
        <v>933</v>
      </c>
      <c r="I36" s="290"/>
      <c r="J36" s="290"/>
      <c r="K36" s="290"/>
      <c r="L36" s="290"/>
      <c r="M36" s="290"/>
    </row>
    <row r="37" spans="1:13" x14ac:dyDescent="0.25">
      <c r="A37" s="89"/>
      <c r="B37" s="1"/>
      <c r="C37" s="1"/>
      <c r="D37" s="1"/>
      <c r="E37" s="1"/>
      <c r="F37" s="1"/>
      <c r="G37" s="1"/>
      <c r="H37" s="1"/>
      <c r="I37" s="290"/>
      <c r="J37" s="290"/>
      <c r="K37" s="290"/>
      <c r="L37" s="290"/>
      <c r="M37" s="290"/>
    </row>
    <row r="38" spans="1:13" x14ac:dyDescent="0.25">
      <c r="A38" s="89"/>
      <c r="B38" s="1"/>
      <c r="C38" s="350" t="s">
        <v>525</v>
      </c>
      <c r="D38" s="350" t="s">
        <v>526</v>
      </c>
      <c r="E38" s="350"/>
      <c r="F38" s="350"/>
      <c r="G38" s="127" t="str">
        <f>IF(+D16&lt;&gt;"",D16,"")</f>
        <v>20232711</v>
      </c>
      <c r="H38" s="1"/>
      <c r="I38" s="290"/>
      <c r="J38" s="290"/>
      <c r="K38" s="290"/>
      <c r="L38" s="290"/>
      <c r="M38" s="290"/>
    </row>
    <row r="39" spans="1:13" x14ac:dyDescent="0.25">
      <c r="A39" s="89"/>
      <c r="B39" s="1"/>
      <c r="C39" s="350"/>
      <c r="D39" s="127" t="str">
        <f>_xlfn.CONCAT(B$21,"°C")</f>
        <v>80°C</v>
      </c>
      <c r="E39" s="127" t="str">
        <f>_xlfn.CONCAT(B$22,"°C")</f>
        <v>200°C</v>
      </c>
      <c r="F39" s="127" t="str">
        <f>_xlfn.CONCAT(B$23,"°C")</f>
        <v>385°C</v>
      </c>
      <c r="G39" s="127" t="str">
        <f>_xlfn.CONCAT(B$24,"°C")</f>
        <v>535°C</v>
      </c>
      <c r="H39" s="1"/>
      <c r="I39" s="290"/>
      <c r="J39" s="290"/>
      <c r="K39" s="290"/>
      <c r="L39" s="290"/>
      <c r="M39" s="290"/>
    </row>
    <row r="40" spans="1:13" ht="24" customHeight="1" x14ac:dyDescent="0.25">
      <c r="A40" s="89"/>
      <c r="B40" s="1"/>
      <c r="C40" s="251">
        <v>1</v>
      </c>
      <c r="D40" s="297">
        <v>0.26</v>
      </c>
      <c r="E40" s="297">
        <v>0.31</v>
      </c>
      <c r="F40" s="297">
        <v>0.3</v>
      </c>
      <c r="G40" s="297">
        <v>0.24</v>
      </c>
      <c r="H40" s="1"/>
      <c r="I40" s="290"/>
      <c r="J40" s="290"/>
      <c r="K40" s="290"/>
      <c r="L40" s="290"/>
      <c r="M40" s="290"/>
    </row>
    <row r="41" spans="1:13" ht="23.25" customHeight="1" x14ac:dyDescent="0.25">
      <c r="A41" s="89"/>
      <c r="B41" s="1"/>
      <c r="C41" s="251">
        <v>2</v>
      </c>
      <c r="D41" s="297">
        <v>7.0000000000000007E-2</v>
      </c>
      <c r="E41" s="297">
        <v>0.12</v>
      </c>
      <c r="F41" s="297">
        <v>0.09</v>
      </c>
      <c r="G41" s="297">
        <v>0.12</v>
      </c>
      <c r="H41" s="1"/>
      <c r="I41" s="290"/>
      <c r="J41" s="290"/>
      <c r="K41" s="290"/>
      <c r="L41" s="290"/>
      <c r="M41" s="290"/>
    </row>
    <row r="42" spans="1:13" ht="24" customHeight="1" x14ac:dyDescent="0.25">
      <c r="A42" s="89"/>
      <c r="B42" s="1"/>
      <c r="C42" s="251">
        <v>3</v>
      </c>
      <c r="D42" s="297">
        <v>0.3</v>
      </c>
      <c r="E42" s="297">
        <v>0.25</v>
      </c>
      <c r="F42" s="297">
        <v>0.22</v>
      </c>
      <c r="G42" s="297">
        <v>0.25</v>
      </c>
      <c r="H42" s="1"/>
      <c r="I42" s="290"/>
      <c r="J42" s="290"/>
      <c r="K42" s="290"/>
      <c r="L42" s="290"/>
      <c r="M42" s="290"/>
    </row>
    <row r="43" spans="1:13" ht="21" customHeight="1" x14ac:dyDescent="0.25">
      <c r="A43" s="89"/>
      <c r="B43" s="1"/>
      <c r="C43" s="251">
        <v>4</v>
      </c>
      <c r="D43" s="297">
        <v>0.11</v>
      </c>
      <c r="E43" s="297">
        <v>0.17</v>
      </c>
      <c r="F43" s="297">
        <v>0.27</v>
      </c>
      <c r="G43" s="297">
        <v>0.3</v>
      </c>
      <c r="H43" s="1"/>
      <c r="I43" s="290"/>
      <c r="J43" s="290"/>
      <c r="K43" s="290"/>
      <c r="L43" s="290"/>
      <c r="M43" s="290"/>
    </row>
    <row r="44" spans="1:13" ht="28.5" customHeight="1" x14ac:dyDescent="0.25">
      <c r="A44" s="89"/>
      <c r="B44" s="1"/>
      <c r="C44" s="251">
        <v>5</v>
      </c>
      <c r="D44" s="297">
        <v>0.2</v>
      </c>
      <c r="E44" s="297">
        <v>0.16</v>
      </c>
      <c r="F44" s="297">
        <v>0.25</v>
      </c>
      <c r="G44" s="297">
        <v>0.22</v>
      </c>
      <c r="H44" s="1"/>
      <c r="I44" s="290"/>
      <c r="J44" s="290"/>
      <c r="K44" s="290"/>
      <c r="L44" s="290"/>
      <c r="M44" s="290"/>
    </row>
    <row r="45" spans="1:13" ht="24" customHeight="1" x14ac:dyDescent="0.25">
      <c r="A45" s="89"/>
      <c r="B45" s="1"/>
      <c r="C45" s="251">
        <v>6</v>
      </c>
      <c r="D45" s="297">
        <v>0.3</v>
      </c>
      <c r="E45" s="297">
        <v>0.15</v>
      </c>
      <c r="F45" s="297">
        <v>0.28999999999999998</v>
      </c>
      <c r="G45" s="297">
        <v>0.43</v>
      </c>
      <c r="H45" s="1"/>
      <c r="I45" s="290"/>
      <c r="J45" s="290"/>
      <c r="K45" s="290"/>
      <c r="L45" s="290"/>
      <c r="M45" s="290"/>
    </row>
    <row r="46" spans="1:13" ht="24" customHeight="1" x14ac:dyDescent="0.25">
      <c r="A46" s="89"/>
      <c r="B46" s="1"/>
      <c r="C46" s="251">
        <v>7</v>
      </c>
      <c r="D46" s="297">
        <v>0.15</v>
      </c>
      <c r="E46" s="297">
        <v>0.08</v>
      </c>
      <c r="F46" s="297">
        <v>0.15</v>
      </c>
      <c r="G46" s="297">
        <v>0.21</v>
      </c>
      <c r="H46" s="1"/>
      <c r="I46" s="290"/>
      <c r="J46" s="290"/>
      <c r="K46" s="290"/>
      <c r="L46" s="290"/>
      <c r="M46" s="290"/>
    </row>
    <row r="47" spans="1:13" ht="23.25" customHeight="1" x14ac:dyDescent="0.25">
      <c r="A47" s="89"/>
      <c r="B47" s="1"/>
      <c r="C47" s="251">
        <v>8</v>
      </c>
      <c r="D47" s="297">
        <v>0.27</v>
      </c>
      <c r="E47" s="297">
        <v>0.17</v>
      </c>
      <c r="F47" s="297">
        <v>0.13</v>
      </c>
      <c r="G47" s="297">
        <v>0.23</v>
      </c>
      <c r="H47" s="1"/>
      <c r="I47" s="290"/>
      <c r="J47" s="290"/>
      <c r="K47" s="290"/>
      <c r="L47" s="290"/>
      <c r="M47" s="290"/>
    </row>
    <row r="48" spans="1:13" ht="24" customHeight="1" x14ac:dyDescent="0.25">
      <c r="A48" s="89"/>
      <c r="B48" s="1"/>
      <c r="C48" s="251">
        <v>9</v>
      </c>
      <c r="D48" s="297">
        <v>0.27</v>
      </c>
      <c r="E48" s="297">
        <v>0.26</v>
      </c>
      <c r="F48" s="297">
        <v>0.25</v>
      </c>
      <c r="G48" s="297">
        <v>0.35</v>
      </c>
      <c r="H48" s="1"/>
      <c r="I48" s="290"/>
      <c r="J48" s="290"/>
      <c r="K48" s="290"/>
      <c r="L48" s="290"/>
      <c r="M48" s="290"/>
    </row>
    <row r="49" spans="1:13" x14ac:dyDescent="0.25">
      <c r="A49" s="89"/>
      <c r="B49" s="1"/>
      <c r="C49" s="1"/>
      <c r="D49" s="1"/>
      <c r="E49" s="1"/>
      <c r="F49" s="1"/>
      <c r="G49" s="1"/>
      <c r="H49" s="1"/>
      <c r="I49" s="290"/>
      <c r="J49" s="290"/>
      <c r="K49" s="290"/>
      <c r="L49" s="290"/>
      <c r="M49" s="290"/>
    </row>
    <row r="50" spans="1:13" x14ac:dyDescent="0.25">
      <c r="A50" s="89"/>
      <c r="B50" s="1"/>
      <c r="C50" s="1"/>
      <c r="D50" s="1"/>
      <c r="E50" s="1"/>
      <c r="F50" s="1"/>
      <c r="G50" s="1"/>
      <c r="H50" s="1"/>
      <c r="I50" s="290"/>
      <c r="J50" s="290"/>
      <c r="K50" s="290"/>
      <c r="L50" s="290"/>
      <c r="M50" s="290"/>
    </row>
    <row r="51" spans="1:13" x14ac:dyDescent="0.25">
      <c r="A51" s="299" t="s">
        <v>527</v>
      </c>
      <c r="B51" s="1"/>
      <c r="C51" s="300" t="s">
        <v>498</v>
      </c>
      <c r="D51" s="350"/>
      <c r="E51" s="350"/>
      <c r="F51" s="89"/>
      <c r="G51" s="1"/>
      <c r="H51" s="1"/>
    </row>
    <row r="52" spans="1:13" x14ac:dyDescent="0.25">
      <c r="C52" s="280"/>
      <c r="D52" s="251" t="s">
        <v>502</v>
      </c>
      <c r="E52" s="251" t="s">
        <v>503</v>
      </c>
      <c r="F52" s="1"/>
      <c r="I52" s="301"/>
      <c r="J52" s="302"/>
      <c r="K52" s="303"/>
      <c r="L52" s="304"/>
      <c r="M52" s="305"/>
    </row>
    <row r="53" spans="1:13" ht="28.9" customHeight="1" x14ac:dyDescent="0.25">
      <c r="A53" s="306" t="s">
        <v>528</v>
      </c>
      <c r="B53" s="307" t="s">
        <v>529</v>
      </c>
      <c r="C53" s="283" t="s">
        <v>530</v>
      </c>
      <c r="D53" s="283" t="s">
        <v>531</v>
      </c>
      <c r="E53" s="308">
        <v>42901</v>
      </c>
      <c r="F53" s="287"/>
      <c r="G53" s="302"/>
      <c r="H53" s="302"/>
      <c r="I53" s="339" t="s">
        <v>507</v>
      </c>
      <c r="J53" s="339"/>
      <c r="K53" s="339"/>
      <c r="L53" s="339"/>
      <c r="M53" s="339"/>
    </row>
    <row r="54" spans="1:13" ht="25.9" customHeight="1" x14ac:dyDescent="0.25">
      <c r="A54" s="309"/>
      <c r="B54" s="307" t="s">
        <v>532</v>
      </c>
      <c r="C54" s="283" t="s">
        <v>533</v>
      </c>
      <c r="D54" s="283" t="s">
        <v>534</v>
      </c>
      <c r="E54" s="308">
        <v>44785</v>
      </c>
      <c r="F54" s="302"/>
      <c r="G54" s="287"/>
      <c r="H54" s="287"/>
      <c r="I54" s="339" t="s">
        <v>509</v>
      </c>
      <c r="J54" s="339"/>
      <c r="K54" s="339"/>
      <c r="L54" s="339"/>
      <c r="M54" s="339"/>
    </row>
    <row r="55" spans="1:13" ht="28.9" customHeight="1" x14ac:dyDescent="0.25">
      <c r="A55" s="309"/>
      <c r="B55" s="307" t="s">
        <v>535</v>
      </c>
      <c r="C55" s="283" t="s">
        <v>536</v>
      </c>
      <c r="D55" s="283" t="s">
        <v>537</v>
      </c>
      <c r="E55" s="308">
        <v>44865</v>
      </c>
      <c r="F55" s="287"/>
      <c r="G55" s="287"/>
      <c r="H55" s="287"/>
      <c r="I55" s="310"/>
      <c r="J55" s="304"/>
      <c r="K55" s="305"/>
      <c r="L55" s="302"/>
      <c r="M55" s="305"/>
    </row>
    <row r="56" spans="1:13" x14ac:dyDescent="0.25">
      <c r="A56" s="311"/>
      <c r="B56" s="311"/>
      <c r="C56" s="311"/>
      <c r="D56" s="311"/>
      <c r="E56" s="311"/>
      <c r="F56" s="311"/>
      <c r="G56" s="311"/>
      <c r="H56" s="311"/>
      <c r="I56" s="302"/>
      <c r="J56" s="302"/>
      <c r="K56" s="302"/>
    </row>
    <row r="58" spans="1:13" x14ac:dyDescent="0.25">
      <c r="A58" s="309" t="s">
        <v>538</v>
      </c>
      <c r="B58" s="354"/>
      <c r="C58" s="355"/>
      <c r="D58" s="355"/>
      <c r="E58" s="355"/>
      <c r="F58" s="356"/>
    </row>
    <row r="59" spans="1:13" x14ac:dyDescent="0.25">
      <c r="A59" s="309" t="s">
        <v>539</v>
      </c>
      <c r="B59" s="357"/>
      <c r="C59" s="358"/>
      <c r="D59" s="358"/>
      <c r="E59" s="358"/>
      <c r="F59" s="359"/>
    </row>
    <row r="60" spans="1:13" x14ac:dyDescent="0.25">
      <c r="B60" s="360"/>
      <c r="C60" s="361"/>
      <c r="D60" s="361"/>
      <c r="E60" s="361"/>
      <c r="F60" s="362"/>
    </row>
    <row r="63" spans="1:13" ht="30" customHeight="1" x14ac:dyDescent="0.25"/>
  </sheetData>
  <sheetProtection algorithmName="SHA-512" hashValue="XeNC9XBMhqSpxjm8/XvWyTj5HFijQaw5VwUIsp4mB43pLZt8QYIsnoeiUjBChDJ2bDHYv25a0k1rI7ePOXm05Q==" saltValue="q17DMR7Km9zwIK5ZagB8jQ==" spinCount="100000" sheet="1" objects="1" scenarios="1" selectLockedCells="1"/>
  <protectedRanges>
    <protectedRange sqref="B5:B12" name="Donnees controleur"/>
  </protectedRanges>
  <dataConsolidate/>
  <mergeCells count="19">
    <mergeCell ref="B58:F60"/>
    <mergeCell ref="J31:N31"/>
    <mergeCell ref="C38:C39"/>
    <mergeCell ref="D38:F38"/>
    <mergeCell ref="D51:E51"/>
    <mergeCell ref="I53:M53"/>
    <mergeCell ref="I54:M54"/>
    <mergeCell ref="J30:N30"/>
    <mergeCell ref="A1:M1"/>
    <mergeCell ref="A2:M2"/>
    <mergeCell ref="B4:D4"/>
    <mergeCell ref="A7:A9"/>
    <mergeCell ref="D14:E14"/>
    <mergeCell ref="J14:N14"/>
    <mergeCell ref="J15:N15"/>
    <mergeCell ref="I19:M19"/>
    <mergeCell ref="A26:C26"/>
    <mergeCell ref="D26:H26"/>
    <mergeCell ref="J29:N29"/>
  </mergeCells>
  <conditionalFormatting sqref="E16">
    <cfRule type="expression" dxfId="186" priority="2">
      <formula>$B$6&gt;EDATE($E$16,3)</formula>
    </cfRule>
  </conditionalFormatting>
  <conditionalFormatting sqref="F17:F18">
    <cfRule type="expression" dxfId="185" priority="3">
      <formula>$B$6&gt;(EDATE($F18,3)-JOUR.DECALER(4))</formula>
    </cfRule>
  </conditionalFormatting>
  <conditionalFormatting sqref="F18">
    <cfRule type="containsBlanks" priority="1">
      <formula>LEN(TRIM(F18))=0</formula>
    </cfRule>
  </conditionalFormatting>
  <dataValidations count="2">
    <dataValidation type="list" allowBlank="1" showInputMessage="1" showErrorMessage="1" sqref="B12" xr:uid="{299A236D-0324-46C8-BFE1-5D0019C5008E}">
      <formula1>"Periodique , Initial"</formula1>
    </dataValidation>
    <dataValidation type="list" allowBlank="1" showInputMessage="1" showErrorMessage="1" sqref="B5" xr:uid="{1328ACAD-C900-43A2-B3BA-7545F4991EEA}">
      <formula1>"BCH , LV"</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alisation_TUS_Four_1">
                <anchor moveWithCells="1" sizeWithCells="1">
                  <from>
                    <xdr:col>3</xdr:col>
                    <xdr:colOff>0</xdr:colOff>
                    <xdr:row>6</xdr:row>
                    <xdr:rowOff>171450</xdr:rowOff>
                  </from>
                  <to>
                    <xdr:col>6</xdr:col>
                    <xdr:colOff>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85BDA-E359-44BD-B774-3F9AED937221}">
  <sheetPr codeName="Feuil38">
    <tabColor rgb="FF002060"/>
  </sheetPr>
  <dimension ref="A1:P181"/>
  <sheetViews>
    <sheetView workbookViewId="0">
      <selection activeCell="E3" sqref="E3"/>
    </sheetView>
  </sheetViews>
  <sheetFormatPr baseColWidth="10" defaultRowHeight="15" x14ac:dyDescent="0.25"/>
  <cols>
    <col min="1" max="1" width="16.7109375" customWidth="1"/>
    <col min="2" max="10" width="14.42578125" bestFit="1" customWidth="1"/>
    <col min="16" max="16" width="15.7109375" bestFit="1" customWidth="1"/>
  </cols>
  <sheetData>
    <row r="1" spans="1:16" x14ac:dyDescent="0.25">
      <c r="A1" t="s">
        <v>36</v>
      </c>
      <c r="B1" t="s">
        <v>37</v>
      </c>
      <c r="C1" t="s">
        <v>38</v>
      </c>
      <c r="D1" t="s">
        <v>39</v>
      </c>
      <c r="E1" t="s">
        <v>40</v>
      </c>
      <c r="F1" t="s">
        <v>41</v>
      </c>
      <c r="G1" t="s">
        <v>42</v>
      </c>
      <c r="H1" t="s">
        <v>43</v>
      </c>
      <c r="I1" t="s">
        <v>44</v>
      </c>
      <c r="J1" t="s">
        <v>45</v>
      </c>
      <c r="P1" s="23"/>
    </row>
    <row r="2" spans="1:16" x14ac:dyDescent="0.25">
      <c r="A2" s="317" t="s">
        <v>551</v>
      </c>
      <c r="B2">
        <v>41.72</v>
      </c>
      <c r="C2">
        <v>41.62</v>
      </c>
      <c r="D2">
        <v>41.55</v>
      </c>
      <c r="E2">
        <v>41.79</v>
      </c>
      <c r="F2">
        <v>41.91</v>
      </c>
      <c r="G2">
        <v>41.66</v>
      </c>
      <c r="H2">
        <v>40.61</v>
      </c>
      <c r="I2">
        <v>41.99</v>
      </c>
      <c r="J2">
        <v>41.69</v>
      </c>
      <c r="P2" s="23"/>
    </row>
    <row r="3" spans="1:16" x14ac:dyDescent="0.25">
      <c r="A3" s="329" t="s">
        <v>552</v>
      </c>
      <c r="B3" s="89">
        <v>41.99</v>
      </c>
      <c r="C3" s="89">
        <v>41.96</v>
      </c>
      <c r="D3" s="89">
        <v>41.84</v>
      </c>
      <c r="E3" s="330">
        <v>42.03</v>
      </c>
      <c r="F3" s="89">
        <v>42.18</v>
      </c>
      <c r="G3" s="89">
        <v>41.83</v>
      </c>
      <c r="H3" s="89">
        <v>40.89</v>
      </c>
      <c r="I3" s="89">
        <v>42.18</v>
      </c>
      <c r="J3" s="89">
        <v>41.97</v>
      </c>
      <c r="P3" s="23"/>
    </row>
    <row r="4" spans="1:16" x14ac:dyDescent="0.25">
      <c r="A4" s="329" t="s">
        <v>553</v>
      </c>
      <c r="B4" s="89">
        <v>42.18</v>
      </c>
      <c r="C4" s="89">
        <v>42.19</v>
      </c>
      <c r="D4" s="89">
        <v>42.03</v>
      </c>
      <c r="E4" s="330">
        <v>42.17</v>
      </c>
      <c r="F4" s="89">
        <v>42.39</v>
      </c>
      <c r="G4" s="89">
        <v>42.17</v>
      </c>
      <c r="H4" s="89">
        <v>41.24</v>
      </c>
      <c r="I4" s="89">
        <v>42.42</v>
      </c>
      <c r="J4" s="89">
        <v>42.19</v>
      </c>
      <c r="P4" s="23"/>
    </row>
    <row r="5" spans="1:16" x14ac:dyDescent="0.25">
      <c r="A5" s="329" t="s">
        <v>554</v>
      </c>
      <c r="B5" s="89">
        <v>42.36</v>
      </c>
      <c r="C5" s="89">
        <v>42.37</v>
      </c>
      <c r="D5" s="89">
        <v>42.21</v>
      </c>
      <c r="E5" s="330">
        <v>42.41</v>
      </c>
      <c r="F5" s="89">
        <v>42.55</v>
      </c>
      <c r="G5" s="89">
        <v>42.29</v>
      </c>
      <c r="H5" s="89">
        <v>41.38</v>
      </c>
      <c r="I5" s="89">
        <v>42.54</v>
      </c>
      <c r="J5" s="89">
        <v>42.34</v>
      </c>
      <c r="P5" s="23"/>
    </row>
    <row r="6" spans="1:16" x14ac:dyDescent="0.25">
      <c r="A6" s="329" t="s">
        <v>555</v>
      </c>
      <c r="B6" s="89">
        <v>42.53</v>
      </c>
      <c r="C6" s="89">
        <v>42.5</v>
      </c>
      <c r="D6" s="89">
        <v>42.34</v>
      </c>
      <c r="E6" s="330">
        <v>42.58</v>
      </c>
      <c r="F6" s="89">
        <v>42.69</v>
      </c>
      <c r="G6" s="89">
        <v>42.5</v>
      </c>
      <c r="H6" s="89">
        <v>41.62</v>
      </c>
      <c r="I6" s="89">
        <v>42.75</v>
      </c>
      <c r="J6" s="89">
        <v>42.56</v>
      </c>
      <c r="P6" s="23"/>
    </row>
    <row r="7" spans="1:16" x14ac:dyDescent="0.25">
      <c r="A7" s="329" t="s">
        <v>556</v>
      </c>
      <c r="B7" s="89">
        <v>42.65</v>
      </c>
      <c r="C7" s="89">
        <v>42.69</v>
      </c>
      <c r="D7" s="89">
        <v>42.56</v>
      </c>
      <c r="E7" s="330">
        <v>42.77</v>
      </c>
      <c r="F7" s="89">
        <v>42.86</v>
      </c>
      <c r="G7" s="89">
        <v>42.64</v>
      </c>
      <c r="H7" s="89">
        <v>41.77</v>
      </c>
      <c r="I7" s="89">
        <v>42.85</v>
      </c>
      <c r="J7" s="89">
        <v>42.67</v>
      </c>
      <c r="P7" s="23"/>
    </row>
    <row r="8" spans="1:16" ht="15.75" thickBot="1" x14ac:dyDescent="0.3">
      <c r="A8" s="329" t="s">
        <v>557</v>
      </c>
      <c r="B8" s="89">
        <v>42.81</v>
      </c>
      <c r="C8" s="89">
        <v>42.81</v>
      </c>
      <c r="D8" s="89">
        <v>42.67</v>
      </c>
      <c r="E8" s="330">
        <v>42.87</v>
      </c>
      <c r="F8" s="89">
        <v>43</v>
      </c>
      <c r="G8" s="89">
        <v>42.74</v>
      </c>
      <c r="H8" s="89">
        <v>41.97</v>
      </c>
      <c r="I8" s="89">
        <v>43.02</v>
      </c>
      <c r="J8" s="89">
        <v>42.82</v>
      </c>
      <c r="P8" s="23"/>
    </row>
    <row r="9" spans="1:16" ht="14.45" customHeight="1" x14ac:dyDescent="0.25">
      <c r="A9" s="329" t="s">
        <v>558</v>
      </c>
      <c r="B9" s="89">
        <v>42.91</v>
      </c>
      <c r="C9" s="89">
        <v>42.94</v>
      </c>
      <c r="D9" s="89">
        <v>42.78</v>
      </c>
      <c r="E9" s="330">
        <v>43.02</v>
      </c>
      <c r="F9" s="89">
        <v>43.14</v>
      </c>
      <c r="G9" s="89">
        <v>42.93</v>
      </c>
      <c r="H9" s="89">
        <v>42.14</v>
      </c>
      <c r="I9" s="89">
        <v>43.12</v>
      </c>
      <c r="J9" s="89">
        <v>42.98</v>
      </c>
      <c r="L9" s="363" t="s">
        <v>540</v>
      </c>
      <c r="M9" s="364"/>
      <c r="N9" s="364"/>
      <c r="O9" s="365"/>
      <c r="P9" s="23"/>
    </row>
    <row r="10" spans="1:16" ht="14.45" customHeight="1" x14ac:dyDescent="0.25">
      <c r="A10" s="329" t="s">
        <v>559</v>
      </c>
      <c r="B10" s="89">
        <v>43.07</v>
      </c>
      <c r="C10" s="89">
        <v>43.04</v>
      </c>
      <c r="D10" s="89">
        <v>42.92</v>
      </c>
      <c r="E10" s="330">
        <v>43.15</v>
      </c>
      <c r="F10" s="89">
        <v>43.28</v>
      </c>
      <c r="G10" s="89">
        <v>43.1</v>
      </c>
      <c r="H10" s="89">
        <v>42.27</v>
      </c>
      <c r="I10" s="89">
        <v>43.29</v>
      </c>
      <c r="J10" s="89">
        <v>43.11</v>
      </c>
      <c r="L10" s="366"/>
      <c r="M10" s="367"/>
      <c r="N10" s="367"/>
      <c r="O10" s="368"/>
      <c r="P10" s="23"/>
    </row>
    <row r="11" spans="1:16" ht="14.45" customHeight="1" x14ac:dyDescent="0.25">
      <c r="A11" s="329" t="s">
        <v>560</v>
      </c>
      <c r="B11" s="89">
        <v>43.3</v>
      </c>
      <c r="C11" s="89">
        <v>43.22</v>
      </c>
      <c r="D11" s="89">
        <v>43.09</v>
      </c>
      <c r="E11" s="330">
        <v>43.31</v>
      </c>
      <c r="F11" s="89">
        <v>43.42</v>
      </c>
      <c r="G11" s="89">
        <v>43.2</v>
      </c>
      <c r="H11" s="89">
        <v>42.49</v>
      </c>
      <c r="I11" s="89">
        <v>43.44</v>
      </c>
      <c r="J11" s="89">
        <v>43.26</v>
      </c>
      <c r="L11" s="366"/>
      <c r="M11" s="367"/>
      <c r="N11" s="367"/>
      <c r="O11" s="368"/>
      <c r="P11" s="23"/>
    </row>
    <row r="12" spans="1:16" ht="14.45" customHeight="1" x14ac:dyDescent="0.25">
      <c r="A12" s="329" t="s">
        <v>561</v>
      </c>
      <c r="B12" s="89">
        <v>43.33</v>
      </c>
      <c r="C12" s="89">
        <v>43.32</v>
      </c>
      <c r="D12" s="89">
        <v>43.18</v>
      </c>
      <c r="E12" s="330">
        <v>43.44</v>
      </c>
      <c r="F12" s="89">
        <v>43.54</v>
      </c>
      <c r="G12" s="89">
        <v>43.36</v>
      </c>
      <c r="H12" s="89">
        <v>42.63</v>
      </c>
      <c r="I12" s="89">
        <v>43.58</v>
      </c>
      <c r="J12" s="89">
        <v>43.41</v>
      </c>
      <c r="L12" s="366"/>
      <c r="M12" s="367"/>
      <c r="N12" s="367"/>
      <c r="O12" s="368"/>
      <c r="P12" s="23"/>
    </row>
    <row r="13" spans="1:16" ht="14.45" customHeight="1" x14ac:dyDescent="0.25">
      <c r="A13" s="329" t="s">
        <v>562</v>
      </c>
      <c r="B13" s="89">
        <v>43.49</v>
      </c>
      <c r="C13" s="89">
        <v>43.5</v>
      </c>
      <c r="D13" s="89">
        <v>43.35</v>
      </c>
      <c r="E13" s="330">
        <v>43.56</v>
      </c>
      <c r="F13" s="89">
        <v>43.69</v>
      </c>
      <c r="G13" s="89">
        <v>43.57</v>
      </c>
      <c r="H13" s="89">
        <v>42.8</v>
      </c>
      <c r="I13" s="89">
        <v>43.7</v>
      </c>
      <c r="J13" s="89">
        <v>43.52</v>
      </c>
      <c r="L13" s="366"/>
      <c r="M13" s="367"/>
      <c r="N13" s="367"/>
      <c r="O13" s="368"/>
      <c r="P13" s="23"/>
    </row>
    <row r="14" spans="1:16" ht="14.45" customHeight="1" x14ac:dyDescent="0.25">
      <c r="A14" s="329" t="s">
        <v>563</v>
      </c>
      <c r="B14" s="89">
        <v>43.62</v>
      </c>
      <c r="C14" s="89">
        <v>43.62</v>
      </c>
      <c r="D14" s="89">
        <v>43.45</v>
      </c>
      <c r="E14" s="330">
        <v>43.71</v>
      </c>
      <c r="F14" s="89">
        <v>43.77</v>
      </c>
      <c r="G14" s="89">
        <v>43.66</v>
      </c>
      <c r="H14" s="89">
        <v>42.93</v>
      </c>
      <c r="I14" s="89">
        <v>43.81</v>
      </c>
      <c r="J14" s="89">
        <v>43.64</v>
      </c>
      <c r="L14" s="366"/>
      <c r="M14" s="367"/>
      <c r="N14" s="367"/>
      <c r="O14" s="368"/>
      <c r="P14" s="23"/>
    </row>
    <row r="15" spans="1:16" ht="15" customHeight="1" thickBot="1" x14ac:dyDescent="0.3">
      <c r="A15" s="329" t="s">
        <v>564</v>
      </c>
      <c r="B15" s="89">
        <v>43.73</v>
      </c>
      <c r="C15" s="89">
        <v>43.75</v>
      </c>
      <c r="D15" s="89">
        <v>43.57</v>
      </c>
      <c r="E15" s="330">
        <v>43.77</v>
      </c>
      <c r="F15" s="89">
        <v>43.89</v>
      </c>
      <c r="G15" s="89">
        <v>43.81</v>
      </c>
      <c r="H15" s="89">
        <v>43.06</v>
      </c>
      <c r="I15" s="89">
        <v>43.92</v>
      </c>
      <c r="J15" s="89">
        <v>43.76</v>
      </c>
      <c r="L15" s="369"/>
      <c r="M15" s="370"/>
      <c r="N15" s="370"/>
      <c r="O15" s="371"/>
      <c r="P15" s="23"/>
    </row>
    <row r="16" spans="1:16" x14ac:dyDescent="0.25">
      <c r="A16" s="329" t="s">
        <v>565</v>
      </c>
      <c r="B16" s="89">
        <v>43.85</v>
      </c>
      <c r="C16" s="89">
        <v>43.83</v>
      </c>
      <c r="D16" s="89">
        <v>43.72</v>
      </c>
      <c r="E16" s="330">
        <v>43.96</v>
      </c>
      <c r="F16" s="89">
        <v>44.03</v>
      </c>
      <c r="G16" s="89">
        <v>43.85</v>
      </c>
      <c r="H16" s="89">
        <v>43.17</v>
      </c>
      <c r="I16" s="89">
        <v>44.03</v>
      </c>
      <c r="J16" s="89">
        <v>43.85</v>
      </c>
      <c r="P16" s="23"/>
    </row>
    <row r="17" spans="1:16" x14ac:dyDescent="0.25">
      <c r="A17" s="329" t="s">
        <v>566</v>
      </c>
      <c r="B17" s="89">
        <v>44</v>
      </c>
      <c r="C17" s="89">
        <v>43.95</v>
      </c>
      <c r="D17" s="89">
        <v>43.81</v>
      </c>
      <c r="E17" s="330">
        <v>44.03</v>
      </c>
      <c r="F17" s="89">
        <v>44.14</v>
      </c>
      <c r="G17" s="89">
        <v>44.04</v>
      </c>
      <c r="H17" s="89">
        <v>43.36</v>
      </c>
      <c r="I17" s="89">
        <v>44.13</v>
      </c>
      <c r="J17" s="89">
        <v>43.99</v>
      </c>
      <c r="P17" s="23"/>
    </row>
    <row r="18" spans="1:16" x14ac:dyDescent="0.25">
      <c r="A18" s="329" t="s">
        <v>567</v>
      </c>
      <c r="B18" s="89">
        <v>44.09</v>
      </c>
      <c r="C18" s="89">
        <v>44.13</v>
      </c>
      <c r="D18" s="89">
        <v>43.94</v>
      </c>
      <c r="E18" s="330">
        <v>44.15</v>
      </c>
      <c r="F18" s="89">
        <v>44.26</v>
      </c>
      <c r="G18" s="89">
        <v>44.11</v>
      </c>
      <c r="H18" s="89">
        <v>43.42</v>
      </c>
      <c r="I18" s="89">
        <v>44.26</v>
      </c>
      <c r="J18" s="89">
        <v>44.12</v>
      </c>
      <c r="P18" s="23"/>
    </row>
    <row r="19" spans="1:16" x14ac:dyDescent="0.25">
      <c r="A19" s="329" t="s">
        <v>568</v>
      </c>
      <c r="B19" s="89">
        <v>44.18</v>
      </c>
      <c r="C19" s="89">
        <v>44.2</v>
      </c>
      <c r="D19" s="89">
        <v>44.02</v>
      </c>
      <c r="E19" s="330">
        <v>44.23</v>
      </c>
      <c r="F19" s="89">
        <v>44.35</v>
      </c>
      <c r="G19" s="89">
        <v>44.24</v>
      </c>
      <c r="H19" s="89">
        <v>43.59</v>
      </c>
      <c r="I19" s="89">
        <v>44.39</v>
      </c>
      <c r="J19" s="89">
        <v>44.27</v>
      </c>
      <c r="P19" s="23"/>
    </row>
    <row r="20" spans="1:16" x14ac:dyDescent="0.25">
      <c r="A20" s="329" t="s">
        <v>569</v>
      </c>
      <c r="B20" s="89">
        <v>44.29</v>
      </c>
      <c r="C20" s="89">
        <v>44.31</v>
      </c>
      <c r="D20" s="89">
        <v>44.16</v>
      </c>
      <c r="E20" s="330">
        <v>44.37</v>
      </c>
      <c r="F20" s="89">
        <v>44.49</v>
      </c>
      <c r="G20" s="89">
        <v>44.37</v>
      </c>
      <c r="H20" s="89">
        <v>43.76</v>
      </c>
      <c r="I20" s="89">
        <v>44.52</v>
      </c>
      <c r="J20" s="89">
        <v>44.36</v>
      </c>
      <c r="P20" s="23"/>
    </row>
    <row r="21" spans="1:16" x14ac:dyDescent="0.25">
      <c r="A21" s="329" t="s">
        <v>570</v>
      </c>
      <c r="B21" s="89">
        <v>44.44</v>
      </c>
      <c r="C21" s="89">
        <v>44.42</v>
      </c>
      <c r="D21" s="89">
        <v>44.26</v>
      </c>
      <c r="E21" s="330">
        <v>44.52</v>
      </c>
      <c r="F21" s="89">
        <v>44.6</v>
      </c>
      <c r="G21" s="89">
        <v>44.43</v>
      </c>
      <c r="H21" s="89">
        <v>43.84</v>
      </c>
      <c r="I21" s="89">
        <v>44.6</v>
      </c>
      <c r="J21" s="89">
        <v>44.5</v>
      </c>
      <c r="P21" s="23"/>
    </row>
    <row r="22" spans="1:16" x14ac:dyDescent="0.25">
      <c r="A22" s="329" t="s">
        <v>571</v>
      </c>
      <c r="B22" s="89">
        <v>44.49</v>
      </c>
      <c r="C22" s="89">
        <v>44.47</v>
      </c>
      <c r="D22" s="89">
        <v>44.37</v>
      </c>
      <c r="E22" s="330">
        <v>44.57</v>
      </c>
      <c r="F22" s="89">
        <v>44.75</v>
      </c>
      <c r="G22" s="89">
        <v>44.64</v>
      </c>
      <c r="H22" s="89">
        <v>44</v>
      </c>
      <c r="I22" s="89">
        <v>44.69</v>
      </c>
      <c r="J22" s="89">
        <v>44.6</v>
      </c>
      <c r="P22" s="23"/>
    </row>
    <row r="23" spans="1:16" x14ac:dyDescent="0.25">
      <c r="A23" s="329" t="s">
        <v>572</v>
      </c>
      <c r="B23" s="89">
        <v>44.66</v>
      </c>
      <c r="C23" s="89">
        <v>44.67</v>
      </c>
      <c r="D23" s="89">
        <v>44.49</v>
      </c>
      <c r="E23" s="330">
        <v>44.7</v>
      </c>
      <c r="F23" s="89">
        <v>44.85</v>
      </c>
      <c r="G23" s="89">
        <v>44.66</v>
      </c>
      <c r="H23" s="89">
        <v>44.1</v>
      </c>
      <c r="I23" s="89">
        <v>44.8</v>
      </c>
      <c r="J23" s="89">
        <v>44.7</v>
      </c>
      <c r="P23" s="23"/>
    </row>
    <row r="24" spans="1:16" x14ac:dyDescent="0.25">
      <c r="A24" s="329" t="s">
        <v>573</v>
      </c>
      <c r="B24" s="89">
        <v>44.74</v>
      </c>
      <c r="C24" s="89">
        <v>44.79</v>
      </c>
      <c r="D24" s="89">
        <v>44.58</v>
      </c>
      <c r="E24" s="330">
        <v>44.83</v>
      </c>
      <c r="F24" s="89">
        <v>44.93</v>
      </c>
      <c r="G24" s="89">
        <v>44.83</v>
      </c>
      <c r="H24" s="89">
        <v>44.3</v>
      </c>
      <c r="I24" s="89">
        <v>44.89</v>
      </c>
      <c r="J24" s="89">
        <v>44.76</v>
      </c>
      <c r="P24" s="23"/>
    </row>
    <row r="25" spans="1:16" x14ac:dyDescent="0.25">
      <c r="A25" s="329" t="s">
        <v>574</v>
      </c>
      <c r="B25" s="89">
        <v>44.88</v>
      </c>
      <c r="C25" s="89">
        <v>44.87</v>
      </c>
      <c r="D25" s="89">
        <v>44.7</v>
      </c>
      <c r="E25" s="330">
        <v>44.93</v>
      </c>
      <c r="F25" s="89">
        <v>45.01</v>
      </c>
      <c r="G25" s="89">
        <v>44.96</v>
      </c>
      <c r="H25" s="89">
        <v>44.35</v>
      </c>
      <c r="I25" s="89">
        <v>45</v>
      </c>
      <c r="J25" s="89">
        <v>44.9</v>
      </c>
      <c r="P25" s="23"/>
    </row>
    <row r="26" spans="1:16" x14ac:dyDescent="0.25">
      <c r="A26" s="329" t="s">
        <v>575</v>
      </c>
      <c r="B26" s="89">
        <v>45.02</v>
      </c>
      <c r="C26" s="89">
        <v>44.96</v>
      </c>
      <c r="D26" s="89">
        <v>44.85</v>
      </c>
      <c r="E26" s="330">
        <v>45.02</v>
      </c>
      <c r="F26" s="89">
        <v>45.11</v>
      </c>
      <c r="G26" s="89">
        <v>45.06</v>
      </c>
      <c r="H26" s="89">
        <v>44.47</v>
      </c>
      <c r="I26" s="89">
        <v>45.13</v>
      </c>
      <c r="J26" s="89">
        <v>44.99</v>
      </c>
      <c r="P26" s="23"/>
    </row>
    <row r="27" spans="1:16" x14ac:dyDescent="0.25">
      <c r="A27" s="329" t="s">
        <v>576</v>
      </c>
      <c r="B27" s="89">
        <v>45.07</v>
      </c>
      <c r="C27" s="89">
        <v>45.03</v>
      </c>
      <c r="D27" s="89">
        <v>44.89</v>
      </c>
      <c r="E27" s="330">
        <v>45.12</v>
      </c>
      <c r="F27" s="89">
        <v>45.21</v>
      </c>
      <c r="G27" s="89">
        <v>45.11</v>
      </c>
      <c r="H27" s="89">
        <v>44.57</v>
      </c>
      <c r="I27" s="89">
        <v>45.2</v>
      </c>
      <c r="J27" s="89">
        <v>45.05</v>
      </c>
      <c r="P27" s="23"/>
    </row>
    <row r="28" spans="1:16" x14ac:dyDescent="0.25">
      <c r="A28" s="329" t="s">
        <v>577</v>
      </c>
      <c r="B28" s="89">
        <v>45.16</v>
      </c>
      <c r="C28" s="89">
        <v>45.13</v>
      </c>
      <c r="D28" s="89">
        <v>45.01</v>
      </c>
      <c r="E28" s="330">
        <v>45.25</v>
      </c>
      <c r="F28" s="89">
        <v>45.33</v>
      </c>
      <c r="G28" s="89">
        <v>45.27</v>
      </c>
      <c r="H28" s="89">
        <v>44.64</v>
      </c>
      <c r="I28" s="89">
        <v>45.35</v>
      </c>
      <c r="J28" s="89">
        <v>45.18</v>
      </c>
      <c r="P28" s="23"/>
    </row>
    <row r="29" spans="1:16" x14ac:dyDescent="0.25">
      <c r="A29" s="329" t="s">
        <v>578</v>
      </c>
      <c r="B29" s="89">
        <v>45.3</v>
      </c>
      <c r="C29" s="89">
        <v>45.27</v>
      </c>
      <c r="D29" s="89">
        <v>45.12</v>
      </c>
      <c r="E29" s="330">
        <v>45.33</v>
      </c>
      <c r="F29" s="89">
        <v>45.46</v>
      </c>
      <c r="G29" s="89">
        <v>45.35</v>
      </c>
      <c r="H29" s="89">
        <v>44.77</v>
      </c>
      <c r="I29" s="89">
        <v>45.4</v>
      </c>
      <c r="J29" s="89">
        <v>45.27</v>
      </c>
      <c r="P29" s="23"/>
    </row>
    <row r="30" spans="1:16" x14ac:dyDescent="0.25">
      <c r="A30" s="329" t="s">
        <v>579</v>
      </c>
      <c r="B30" s="89">
        <v>45.4</v>
      </c>
      <c r="C30" s="89">
        <v>45.35</v>
      </c>
      <c r="D30" s="89">
        <v>45.17</v>
      </c>
      <c r="E30" s="330">
        <v>45.37</v>
      </c>
      <c r="F30" s="89">
        <v>45.51</v>
      </c>
      <c r="G30" s="89">
        <v>45.44</v>
      </c>
      <c r="H30" s="89">
        <v>44.82</v>
      </c>
      <c r="I30" s="89">
        <v>45.51</v>
      </c>
      <c r="J30" s="89">
        <v>45.39</v>
      </c>
      <c r="P30" s="23"/>
    </row>
    <row r="31" spans="1:16" x14ac:dyDescent="0.25">
      <c r="A31" s="329" t="s">
        <v>580</v>
      </c>
      <c r="B31" s="89">
        <v>45.5</v>
      </c>
      <c r="C31" s="89">
        <v>45.44</v>
      </c>
      <c r="D31" s="89">
        <v>45.3</v>
      </c>
      <c r="E31" s="330">
        <v>45.53</v>
      </c>
      <c r="F31" s="89">
        <v>45.62</v>
      </c>
      <c r="G31" s="89">
        <v>45.56</v>
      </c>
      <c r="H31" s="89">
        <v>44.99</v>
      </c>
      <c r="I31" s="89">
        <v>45.58</v>
      </c>
      <c r="J31" s="89">
        <v>45.47</v>
      </c>
      <c r="P31" s="23"/>
    </row>
    <row r="32" spans="1:16" x14ac:dyDescent="0.25">
      <c r="A32" s="329" t="s">
        <v>581</v>
      </c>
      <c r="B32" s="89">
        <v>45.5</v>
      </c>
      <c r="C32" s="89">
        <v>45.5</v>
      </c>
      <c r="D32" s="89">
        <v>45.34</v>
      </c>
      <c r="E32" s="330">
        <v>45.58</v>
      </c>
      <c r="F32" s="89">
        <v>45.66</v>
      </c>
      <c r="G32" s="89">
        <v>45.61</v>
      </c>
      <c r="H32" s="89">
        <v>45.1</v>
      </c>
      <c r="I32" s="89">
        <v>45.68</v>
      </c>
      <c r="J32" s="89">
        <v>45.55</v>
      </c>
      <c r="P32" s="23"/>
    </row>
    <row r="33" spans="1:16" x14ac:dyDescent="0.25">
      <c r="A33" s="329" t="s">
        <v>582</v>
      </c>
      <c r="B33" s="89">
        <v>45.63</v>
      </c>
      <c r="C33" s="89">
        <v>45.61</v>
      </c>
      <c r="D33" s="89">
        <v>45.46</v>
      </c>
      <c r="E33" s="330">
        <v>45.68</v>
      </c>
      <c r="F33" s="89">
        <v>45.8</v>
      </c>
      <c r="G33" s="89">
        <v>45.75</v>
      </c>
      <c r="H33" s="89">
        <v>45.19</v>
      </c>
      <c r="I33" s="89">
        <v>45.8</v>
      </c>
      <c r="J33" s="89">
        <v>45.64</v>
      </c>
      <c r="P33" s="23"/>
    </row>
    <row r="34" spans="1:16" x14ac:dyDescent="0.25">
      <c r="A34" s="329" t="s">
        <v>583</v>
      </c>
      <c r="B34" s="89">
        <v>45.73</v>
      </c>
      <c r="C34" s="89">
        <v>45.74</v>
      </c>
      <c r="D34" s="89">
        <v>45.58</v>
      </c>
      <c r="E34" s="330">
        <v>45.78</v>
      </c>
      <c r="F34" s="89">
        <v>45.88</v>
      </c>
      <c r="G34" s="89">
        <v>45.86</v>
      </c>
      <c r="H34" s="89">
        <v>45.33</v>
      </c>
      <c r="I34" s="89">
        <v>45.87</v>
      </c>
      <c r="J34" s="89">
        <v>45.73</v>
      </c>
      <c r="P34" s="23"/>
    </row>
    <row r="35" spans="1:16" x14ac:dyDescent="0.25">
      <c r="A35" s="329" t="s">
        <v>584</v>
      </c>
      <c r="B35" s="89">
        <v>45.8</v>
      </c>
      <c r="C35" s="89">
        <v>45.85</v>
      </c>
      <c r="D35" s="89">
        <v>45.7</v>
      </c>
      <c r="E35" s="330">
        <v>45.9</v>
      </c>
      <c r="F35" s="89">
        <v>45.99</v>
      </c>
      <c r="G35" s="89">
        <v>45.91</v>
      </c>
      <c r="H35" s="89">
        <v>45.44</v>
      </c>
      <c r="I35" s="89">
        <v>45.98</v>
      </c>
      <c r="J35" s="89">
        <v>45.84</v>
      </c>
      <c r="P35" s="23"/>
    </row>
    <row r="36" spans="1:16" x14ac:dyDescent="0.25">
      <c r="A36" s="329" t="s">
        <v>585</v>
      </c>
      <c r="B36" s="89">
        <v>45.89</v>
      </c>
      <c r="C36" s="89">
        <v>45.91</v>
      </c>
      <c r="D36" s="89">
        <v>45.76</v>
      </c>
      <c r="E36" s="330">
        <v>45.97</v>
      </c>
      <c r="F36" s="89">
        <v>46.07</v>
      </c>
      <c r="G36" s="89">
        <v>46.02</v>
      </c>
      <c r="H36" s="89">
        <v>45.52</v>
      </c>
      <c r="I36" s="89">
        <v>46.05</v>
      </c>
      <c r="J36" s="89">
        <v>45.93</v>
      </c>
      <c r="P36" s="23"/>
    </row>
    <row r="37" spans="1:16" x14ac:dyDescent="0.25">
      <c r="A37" s="329" t="s">
        <v>586</v>
      </c>
      <c r="B37" s="89">
        <v>46.02</v>
      </c>
      <c r="C37" s="89">
        <v>46.01</v>
      </c>
      <c r="D37" s="89">
        <v>45.88</v>
      </c>
      <c r="E37" s="330">
        <v>46.07</v>
      </c>
      <c r="F37" s="89">
        <v>46.14</v>
      </c>
      <c r="G37" s="89">
        <v>46.12</v>
      </c>
      <c r="H37" s="89">
        <v>45.57</v>
      </c>
      <c r="I37" s="89">
        <v>46.08</v>
      </c>
      <c r="J37" s="89">
        <v>46.03</v>
      </c>
      <c r="P37" s="23"/>
    </row>
    <row r="38" spans="1:16" x14ac:dyDescent="0.25">
      <c r="A38" s="329" t="s">
        <v>587</v>
      </c>
      <c r="B38" s="89">
        <v>46.06</v>
      </c>
      <c r="C38" s="89">
        <v>46.05</v>
      </c>
      <c r="D38" s="89">
        <v>45.92</v>
      </c>
      <c r="E38" s="330">
        <v>46.1</v>
      </c>
      <c r="F38" s="89">
        <v>46.2</v>
      </c>
      <c r="G38" s="89">
        <v>46.22</v>
      </c>
      <c r="H38" s="89">
        <v>45.67</v>
      </c>
      <c r="I38" s="89">
        <v>46.23</v>
      </c>
      <c r="J38" s="89">
        <v>46.12</v>
      </c>
      <c r="P38" s="23"/>
    </row>
    <row r="39" spans="1:16" x14ac:dyDescent="0.25">
      <c r="A39" s="329" t="s">
        <v>588</v>
      </c>
      <c r="B39" s="89">
        <v>46.15</v>
      </c>
      <c r="C39" s="89">
        <v>46.12</v>
      </c>
      <c r="D39" s="89">
        <v>46</v>
      </c>
      <c r="E39" s="330">
        <v>46.18</v>
      </c>
      <c r="F39" s="89">
        <v>46.3</v>
      </c>
      <c r="G39" s="89">
        <v>46.2</v>
      </c>
      <c r="H39" s="89">
        <v>45.74</v>
      </c>
      <c r="I39" s="89">
        <v>46.27</v>
      </c>
      <c r="J39" s="89">
        <v>46.17</v>
      </c>
      <c r="P39" s="23"/>
    </row>
    <row r="40" spans="1:16" x14ac:dyDescent="0.25">
      <c r="A40" s="329" t="s">
        <v>589</v>
      </c>
      <c r="B40" s="89">
        <v>46.26</v>
      </c>
      <c r="C40" s="89">
        <v>46.22</v>
      </c>
      <c r="D40" s="89">
        <v>46.11</v>
      </c>
      <c r="E40" s="330">
        <v>46.31</v>
      </c>
      <c r="F40" s="89">
        <v>46.4</v>
      </c>
      <c r="G40" s="89">
        <v>46.38</v>
      </c>
      <c r="H40" s="89">
        <v>45.86</v>
      </c>
      <c r="I40" s="89">
        <v>46.36</v>
      </c>
      <c r="J40" s="89">
        <v>46.26</v>
      </c>
      <c r="P40" s="23"/>
    </row>
    <row r="41" spans="1:16" x14ac:dyDescent="0.25">
      <c r="A41" s="329" t="s">
        <v>590</v>
      </c>
      <c r="B41" s="89">
        <v>46.35</v>
      </c>
      <c r="C41" s="89">
        <v>46.34</v>
      </c>
      <c r="D41" s="89">
        <v>46.21</v>
      </c>
      <c r="E41" s="330">
        <v>46.41</v>
      </c>
      <c r="F41" s="89">
        <v>46.51</v>
      </c>
      <c r="G41" s="89">
        <v>46.43</v>
      </c>
      <c r="H41" s="89">
        <v>45.95</v>
      </c>
      <c r="I41" s="89">
        <v>46.45</v>
      </c>
      <c r="J41" s="89">
        <v>46.36</v>
      </c>
      <c r="P41" s="23"/>
    </row>
    <row r="42" spans="1:16" x14ac:dyDescent="0.25">
      <c r="A42" s="329" t="s">
        <v>591</v>
      </c>
      <c r="B42" s="89">
        <v>46.39</v>
      </c>
      <c r="C42" s="89">
        <v>46.41</v>
      </c>
      <c r="D42" s="89">
        <v>46.27</v>
      </c>
      <c r="E42" s="330">
        <v>46.48</v>
      </c>
      <c r="F42" s="89">
        <v>46.6</v>
      </c>
      <c r="G42" s="89">
        <v>46.51</v>
      </c>
      <c r="H42" s="89">
        <v>46.04</v>
      </c>
      <c r="I42" s="89">
        <v>46.53</v>
      </c>
      <c r="J42" s="89">
        <v>46.39</v>
      </c>
      <c r="P42" s="23"/>
    </row>
    <row r="43" spans="1:16" x14ac:dyDescent="0.25">
      <c r="A43" s="329" t="s">
        <v>592</v>
      </c>
      <c r="B43" s="89">
        <v>46.51</v>
      </c>
      <c r="C43" s="89">
        <v>46.5</v>
      </c>
      <c r="D43" s="89">
        <v>46.37</v>
      </c>
      <c r="E43" s="330">
        <v>46.58</v>
      </c>
      <c r="F43" s="89">
        <v>46.64</v>
      </c>
      <c r="G43" s="89">
        <v>46.53</v>
      </c>
      <c r="H43" s="89">
        <v>46.08</v>
      </c>
      <c r="I43" s="89">
        <v>46.53</v>
      </c>
      <c r="J43" s="89">
        <v>46.44</v>
      </c>
      <c r="P43" s="23"/>
    </row>
    <row r="44" spans="1:16" x14ac:dyDescent="0.25">
      <c r="A44" s="329" t="s">
        <v>593</v>
      </c>
      <c r="B44" s="89">
        <v>46.57</v>
      </c>
      <c r="C44" s="89">
        <v>46.54</v>
      </c>
      <c r="D44" s="89">
        <v>46.41</v>
      </c>
      <c r="E44" s="330">
        <v>46.61</v>
      </c>
      <c r="F44" s="89">
        <v>46.7</v>
      </c>
      <c r="G44" s="89">
        <v>46.66</v>
      </c>
      <c r="H44" s="89">
        <v>46.23</v>
      </c>
      <c r="I44" s="89">
        <v>46.71</v>
      </c>
      <c r="J44" s="89">
        <v>46.61</v>
      </c>
      <c r="P44" s="23"/>
    </row>
    <row r="45" spans="1:16" x14ac:dyDescent="0.25">
      <c r="A45" s="329" t="s">
        <v>594</v>
      </c>
      <c r="B45" s="89">
        <v>46.65</v>
      </c>
      <c r="C45" s="89">
        <v>46.62</v>
      </c>
      <c r="D45" s="89">
        <v>46.5</v>
      </c>
      <c r="E45" s="330">
        <v>46.67</v>
      </c>
      <c r="F45" s="89">
        <v>46.78</v>
      </c>
      <c r="G45" s="89">
        <v>46.75</v>
      </c>
      <c r="H45" s="89">
        <v>46.29</v>
      </c>
      <c r="I45" s="89">
        <v>46.77</v>
      </c>
      <c r="J45" s="89">
        <v>46.68</v>
      </c>
      <c r="P45" s="23"/>
    </row>
    <row r="46" spans="1:16" x14ac:dyDescent="0.25">
      <c r="A46" s="329" t="s">
        <v>595</v>
      </c>
      <c r="B46" s="89">
        <v>46.76</v>
      </c>
      <c r="C46" s="89">
        <v>46.7</v>
      </c>
      <c r="D46" s="89">
        <v>46.59</v>
      </c>
      <c r="E46" s="330">
        <v>46.74</v>
      </c>
      <c r="F46" s="89">
        <v>46.86</v>
      </c>
      <c r="G46" s="89">
        <v>46.78</v>
      </c>
      <c r="H46" s="89">
        <v>46.38</v>
      </c>
      <c r="I46" s="89">
        <v>46.83</v>
      </c>
      <c r="J46" s="89">
        <v>46.74</v>
      </c>
      <c r="P46" s="23"/>
    </row>
    <row r="47" spans="1:16" x14ac:dyDescent="0.25">
      <c r="A47" s="329" t="s">
        <v>596</v>
      </c>
      <c r="B47" s="89">
        <v>46.8</v>
      </c>
      <c r="C47" s="89">
        <v>46.82</v>
      </c>
      <c r="D47" s="89">
        <v>46.68</v>
      </c>
      <c r="E47" s="330">
        <v>46.85</v>
      </c>
      <c r="F47" s="89">
        <v>46.92</v>
      </c>
      <c r="G47" s="89">
        <v>46.87</v>
      </c>
      <c r="H47" s="89">
        <v>46.45</v>
      </c>
      <c r="I47" s="89">
        <v>46.91</v>
      </c>
      <c r="J47" s="89">
        <v>46.81</v>
      </c>
      <c r="P47" s="23"/>
    </row>
    <row r="48" spans="1:16" x14ac:dyDescent="0.25">
      <c r="A48" s="329" t="s">
        <v>597</v>
      </c>
      <c r="B48" s="89">
        <v>46.86</v>
      </c>
      <c r="C48" s="89">
        <v>46.84</v>
      </c>
      <c r="D48" s="89">
        <v>46.74</v>
      </c>
      <c r="E48" s="330">
        <v>46.88</v>
      </c>
      <c r="F48" s="89">
        <v>47</v>
      </c>
      <c r="G48" s="89">
        <v>47.02</v>
      </c>
      <c r="H48" s="89">
        <v>46.55</v>
      </c>
      <c r="I48" s="89">
        <v>46.99</v>
      </c>
      <c r="J48" s="89">
        <v>46.86</v>
      </c>
      <c r="P48" s="23"/>
    </row>
    <row r="49" spans="1:16" x14ac:dyDescent="0.25">
      <c r="A49" s="329" t="s">
        <v>598</v>
      </c>
      <c r="B49" s="89">
        <v>46.97</v>
      </c>
      <c r="C49" s="89">
        <v>46.94</v>
      </c>
      <c r="D49" s="89">
        <v>46.83</v>
      </c>
      <c r="E49" s="330">
        <v>46.99</v>
      </c>
      <c r="F49" s="89">
        <v>47.08</v>
      </c>
      <c r="G49" s="89">
        <v>47.08</v>
      </c>
      <c r="H49" s="89">
        <v>46.64</v>
      </c>
      <c r="I49" s="89">
        <v>47.04</v>
      </c>
      <c r="J49" s="89">
        <v>46.97</v>
      </c>
      <c r="P49" s="23"/>
    </row>
    <row r="50" spans="1:16" x14ac:dyDescent="0.25">
      <c r="A50" s="329" t="s">
        <v>599</v>
      </c>
      <c r="B50" s="89">
        <v>47.04</v>
      </c>
      <c r="C50" s="89">
        <v>47.01</v>
      </c>
      <c r="D50" s="89">
        <v>46.88</v>
      </c>
      <c r="E50" s="330">
        <v>47.08</v>
      </c>
      <c r="F50" s="89">
        <v>47.14</v>
      </c>
      <c r="G50" s="89">
        <v>47.12</v>
      </c>
      <c r="H50" s="89">
        <v>46.71</v>
      </c>
      <c r="I50" s="89">
        <v>47.09</v>
      </c>
      <c r="J50" s="89">
        <v>47.03</v>
      </c>
      <c r="P50" s="23"/>
    </row>
    <row r="51" spans="1:16" x14ac:dyDescent="0.25">
      <c r="A51" s="329" t="s">
        <v>600</v>
      </c>
      <c r="B51" s="89">
        <v>47.13</v>
      </c>
      <c r="C51" s="89">
        <v>47.1</v>
      </c>
      <c r="D51" s="89">
        <v>47</v>
      </c>
      <c r="E51" s="330">
        <v>47.18</v>
      </c>
      <c r="F51" s="89">
        <v>47.26</v>
      </c>
      <c r="G51" s="89">
        <v>47.18</v>
      </c>
      <c r="H51" s="89">
        <v>46.78</v>
      </c>
      <c r="I51" s="89">
        <v>47.16</v>
      </c>
      <c r="J51" s="89">
        <v>47.07</v>
      </c>
      <c r="P51" s="23"/>
    </row>
    <row r="52" spans="1:16" x14ac:dyDescent="0.25">
      <c r="A52" s="329" t="s">
        <v>601</v>
      </c>
      <c r="B52" s="89">
        <v>47.2</v>
      </c>
      <c r="C52" s="89">
        <v>47.15</v>
      </c>
      <c r="D52" s="89">
        <v>47.05</v>
      </c>
      <c r="E52" s="330">
        <v>47.18</v>
      </c>
      <c r="F52" s="89">
        <v>47.26</v>
      </c>
      <c r="G52" s="89">
        <v>47.27</v>
      </c>
      <c r="H52" s="89">
        <v>46.84</v>
      </c>
      <c r="I52" s="89">
        <v>47.26</v>
      </c>
      <c r="J52" s="89">
        <v>47.16</v>
      </c>
      <c r="P52" s="23"/>
    </row>
    <row r="53" spans="1:16" x14ac:dyDescent="0.25">
      <c r="A53" s="329" t="s">
        <v>602</v>
      </c>
      <c r="B53" s="89">
        <v>47.26</v>
      </c>
      <c r="C53" s="89">
        <v>47.24</v>
      </c>
      <c r="D53" s="89">
        <v>47.16</v>
      </c>
      <c r="E53" s="330">
        <v>47.23</v>
      </c>
      <c r="F53" s="89">
        <v>47.38</v>
      </c>
      <c r="G53" s="89">
        <v>47.34</v>
      </c>
      <c r="H53" s="89">
        <v>46.93</v>
      </c>
      <c r="I53" s="89">
        <v>47.34</v>
      </c>
      <c r="J53" s="89">
        <v>47.26</v>
      </c>
      <c r="P53" s="23"/>
    </row>
    <row r="54" spans="1:16" x14ac:dyDescent="0.25">
      <c r="A54" s="329" t="s">
        <v>603</v>
      </c>
      <c r="B54" s="89">
        <v>47.31</v>
      </c>
      <c r="C54" s="89">
        <v>47.3</v>
      </c>
      <c r="D54" s="89">
        <v>47.2</v>
      </c>
      <c r="E54" s="330">
        <v>47.35</v>
      </c>
      <c r="F54" s="89">
        <v>47.42</v>
      </c>
      <c r="G54" s="89">
        <v>47.39</v>
      </c>
      <c r="H54" s="89">
        <v>47</v>
      </c>
      <c r="I54" s="89">
        <v>47.39</v>
      </c>
      <c r="J54" s="89">
        <v>47.29</v>
      </c>
      <c r="P54" s="23"/>
    </row>
    <row r="55" spans="1:16" x14ac:dyDescent="0.25">
      <c r="A55" s="329" t="s">
        <v>604</v>
      </c>
      <c r="B55" s="89">
        <v>47.38</v>
      </c>
      <c r="C55" s="89">
        <v>47.42</v>
      </c>
      <c r="D55" s="89">
        <v>47.23</v>
      </c>
      <c r="E55" s="330">
        <v>47.41</v>
      </c>
      <c r="F55" s="89">
        <v>47.53</v>
      </c>
      <c r="G55" s="89">
        <v>47.51</v>
      </c>
      <c r="H55" s="89">
        <v>47.08</v>
      </c>
      <c r="I55" s="89">
        <v>47.47</v>
      </c>
      <c r="J55" s="89">
        <v>47.38</v>
      </c>
      <c r="P55" s="23"/>
    </row>
    <row r="56" spans="1:16" x14ac:dyDescent="0.25">
      <c r="A56" s="329" t="s">
        <v>605</v>
      </c>
      <c r="B56" s="89">
        <v>47.51</v>
      </c>
      <c r="C56" s="89">
        <v>47.54</v>
      </c>
      <c r="D56" s="89">
        <v>47.4</v>
      </c>
      <c r="E56" s="330">
        <v>47.58</v>
      </c>
      <c r="F56" s="89">
        <v>47.68</v>
      </c>
      <c r="G56" s="89">
        <v>47.67</v>
      </c>
      <c r="H56" s="89">
        <v>47.2</v>
      </c>
      <c r="I56" s="89">
        <v>47.7</v>
      </c>
      <c r="J56" s="89">
        <v>47.56</v>
      </c>
      <c r="P56" s="23"/>
    </row>
    <row r="57" spans="1:16" x14ac:dyDescent="0.25">
      <c r="A57" s="329" t="s">
        <v>606</v>
      </c>
      <c r="B57" s="89">
        <v>48.34</v>
      </c>
      <c r="C57" s="89">
        <v>48.32</v>
      </c>
      <c r="D57" s="89">
        <v>48.07</v>
      </c>
      <c r="E57" s="330">
        <v>48.4</v>
      </c>
      <c r="F57" s="89">
        <v>48.61</v>
      </c>
      <c r="G57" s="89">
        <v>48.49</v>
      </c>
      <c r="H57" s="89">
        <v>47.62</v>
      </c>
      <c r="I57" s="89">
        <v>48.7</v>
      </c>
      <c r="J57" s="89">
        <v>48.29</v>
      </c>
      <c r="P57" s="23"/>
    </row>
    <row r="58" spans="1:16" x14ac:dyDescent="0.25">
      <c r="A58" s="329" t="s">
        <v>607</v>
      </c>
      <c r="B58" s="89">
        <v>49.58</v>
      </c>
      <c r="C58" s="89">
        <v>49.56</v>
      </c>
      <c r="D58" s="89">
        <v>49.21</v>
      </c>
      <c r="E58" s="330">
        <v>49.81</v>
      </c>
      <c r="F58" s="89">
        <v>50.09</v>
      </c>
      <c r="G58" s="89">
        <v>50</v>
      </c>
      <c r="H58" s="89">
        <v>48.35</v>
      </c>
      <c r="I58" s="89">
        <v>50.25</v>
      </c>
      <c r="J58" s="89">
        <v>49.67</v>
      </c>
      <c r="P58" s="23"/>
    </row>
    <row r="59" spans="1:16" x14ac:dyDescent="0.25">
      <c r="A59" s="329" t="s">
        <v>608</v>
      </c>
      <c r="B59" s="89">
        <v>51.11</v>
      </c>
      <c r="C59" s="89">
        <v>51.1</v>
      </c>
      <c r="D59" s="89">
        <v>50.53</v>
      </c>
      <c r="E59" s="330">
        <v>51.43</v>
      </c>
      <c r="F59" s="89">
        <v>51.71</v>
      </c>
      <c r="G59" s="89">
        <v>51.44</v>
      </c>
      <c r="H59" s="89">
        <v>49.27</v>
      </c>
      <c r="I59" s="89">
        <v>51.93</v>
      </c>
      <c r="J59" s="89">
        <v>51.1</v>
      </c>
      <c r="P59" s="23"/>
    </row>
    <row r="60" spans="1:16" x14ac:dyDescent="0.25">
      <c r="A60" s="329" t="s">
        <v>609</v>
      </c>
      <c r="B60" s="89">
        <v>52.52</v>
      </c>
      <c r="C60" s="89">
        <v>52.57</v>
      </c>
      <c r="D60" s="89">
        <v>51.9</v>
      </c>
      <c r="E60" s="330">
        <v>52.96</v>
      </c>
      <c r="F60" s="89">
        <v>53.35</v>
      </c>
      <c r="G60" s="89">
        <v>52.99</v>
      </c>
      <c r="H60" s="89">
        <v>50.26</v>
      </c>
      <c r="I60" s="89">
        <v>53.6</v>
      </c>
      <c r="J60" s="89">
        <v>52.61</v>
      </c>
      <c r="P60" s="23"/>
    </row>
    <row r="61" spans="1:16" x14ac:dyDescent="0.25">
      <c r="A61" s="329" t="s">
        <v>610</v>
      </c>
      <c r="B61" s="89">
        <v>53.84</v>
      </c>
      <c r="C61" s="89">
        <v>53.97</v>
      </c>
      <c r="D61" s="89">
        <v>53.18</v>
      </c>
      <c r="E61" s="330">
        <v>54.5</v>
      </c>
      <c r="F61" s="89">
        <v>54.95</v>
      </c>
      <c r="G61" s="89">
        <v>54.43</v>
      </c>
      <c r="H61" s="89">
        <v>51.26</v>
      </c>
      <c r="I61" s="89">
        <v>55.19</v>
      </c>
      <c r="J61" s="89">
        <v>54.1</v>
      </c>
      <c r="P61" s="23"/>
    </row>
    <row r="62" spans="1:16" x14ac:dyDescent="0.25">
      <c r="A62" s="329" t="s">
        <v>611</v>
      </c>
      <c r="B62" s="89">
        <v>55.28</v>
      </c>
      <c r="C62" s="89">
        <v>55.36</v>
      </c>
      <c r="D62" s="89">
        <v>54.46</v>
      </c>
      <c r="E62" s="330">
        <v>55.89</v>
      </c>
      <c r="F62" s="89">
        <v>56.25</v>
      </c>
      <c r="G62" s="89">
        <v>55.82</v>
      </c>
      <c r="H62" s="89">
        <v>52.39</v>
      </c>
      <c r="I62" s="89">
        <v>56.54</v>
      </c>
      <c r="J62" s="89">
        <v>55.51</v>
      </c>
      <c r="P62" s="23"/>
    </row>
    <row r="63" spans="1:16" x14ac:dyDescent="0.25">
      <c r="A63" s="329" t="s">
        <v>612</v>
      </c>
      <c r="B63" s="89">
        <v>56.27</v>
      </c>
      <c r="C63" s="89">
        <v>56.42</v>
      </c>
      <c r="D63" s="89">
        <v>55.5</v>
      </c>
      <c r="E63" s="330">
        <v>56.98</v>
      </c>
      <c r="F63" s="89">
        <v>57.32</v>
      </c>
      <c r="G63" s="89">
        <v>56.89</v>
      </c>
      <c r="H63" s="89">
        <v>52.9</v>
      </c>
      <c r="I63" s="89">
        <v>57.8</v>
      </c>
      <c r="J63" s="89">
        <v>56.57</v>
      </c>
      <c r="P63" s="23"/>
    </row>
    <row r="64" spans="1:16" x14ac:dyDescent="0.25">
      <c r="A64" s="329" t="s">
        <v>613</v>
      </c>
      <c r="B64" s="89">
        <v>57.28</v>
      </c>
      <c r="C64" s="89">
        <v>57.41</v>
      </c>
      <c r="D64" s="89">
        <v>56.38</v>
      </c>
      <c r="E64" s="330">
        <v>57.89</v>
      </c>
      <c r="F64" s="89">
        <v>58.31</v>
      </c>
      <c r="G64" s="89">
        <v>57.84</v>
      </c>
      <c r="H64" s="89">
        <v>53.95</v>
      </c>
      <c r="I64" s="89">
        <v>58.69</v>
      </c>
      <c r="J64" s="89">
        <v>57.44</v>
      </c>
      <c r="P64" s="23"/>
    </row>
    <row r="65" spans="1:16" x14ac:dyDescent="0.25">
      <c r="A65" s="329" t="s">
        <v>614</v>
      </c>
      <c r="B65" s="89">
        <v>58.05</v>
      </c>
      <c r="C65" s="89">
        <v>58.2</v>
      </c>
      <c r="D65" s="89">
        <v>57.15</v>
      </c>
      <c r="E65" s="330">
        <v>58.75</v>
      </c>
      <c r="F65" s="89">
        <v>59.11</v>
      </c>
      <c r="G65" s="89">
        <v>58.62</v>
      </c>
      <c r="H65" s="89">
        <v>54.83</v>
      </c>
      <c r="I65" s="89">
        <v>59.52</v>
      </c>
      <c r="J65" s="89">
        <v>58.38</v>
      </c>
      <c r="P65" s="23"/>
    </row>
    <row r="66" spans="1:16" x14ac:dyDescent="0.25">
      <c r="A66" s="329" t="s">
        <v>615</v>
      </c>
      <c r="B66" s="89">
        <v>58.59</v>
      </c>
      <c r="C66" s="89">
        <v>58.79</v>
      </c>
      <c r="D66" s="89">
        <v>57.79</v>
      </c>
      <c r="E66" s="330">
        <v>59.3</v>
      </c>
      <c r="F66" s="89">
        <v>59.44</v>
      </c>
      <c r="G66" s="89">
        <v>59.2</v>
      </c>
      <c r="H66" s="89">
        <v>55.38</v>
      </c>
      <c r="I66" s="89">
        <v>60.05</v>
      </c>
      <c r="J66" s="89">
        <v>58.92</v>
      </c>
      <c r="P66" s="23"/>
    </row>
    <row r="67" spans="1:16" x14ac:dyDescent="0.25">
      <c r="A67" s="329" t="s">
        <v>616</v>
      </c>
      <c r="B67" s="89">
        <v>59.14</v>
      </c>
      <c r="C67" s="89">
        <v>59.29</v>
      </c>
      <c r="D67" s="89">
        <v>58.23</v>
      </c>
      <c r="E67" s="330">
        <v>59.79</v>
      </c>
      <c r="F67" s="89">
        <v>60.07</v>
      </c>
      <c r="G67" s="89">
        <v>59.74</v>
      </c>
      <c r="H67" s="89">
        <v>56.2</v>
      </c>
      <c r="I67" s="89">
        <v>60.59</v>
      </c>
      <c r="J67" s="89">
        <v>59.44</v>
      </c>
    </row>
    <row r="68" spans="1:16" x14ac:dyDescent="0.25">
      <c r="A68" s="329" t="s">
        <v>617</v>
      </c>
      <c r="B68" s="89">
        <v>59.45</v>
      </c>
      <c r="C68" s="89">
        <v>59.59</v>
      </c>
      <c r="D68" s="89">
        <v>58.72</v>
      </c>
      <c r="E68" s="330">
        <v>60.15</v>
      </c>
      <c r="F68" s="89">
        <v>60.42</v>
      </c>
      <c r="G68" s="89">
        <v>60.09</v>
      </c>
      <c r="H68" s="89">
        <v>56.49</v>
      </c>
      <c r="I68" s="89">
        <v>60.94</v>
      </c>
      <c r="J68" s="89">
        <v>59.78</v>
      </c>
    </row>
    <row r="69" spans="1:16" x14ac:dyDescent="0.25">
      <c r="A69" s="329" t="s">
        <v>618</v>
      </c>
      <c r="B69" s="89">
        <v>59.82</v>
      </c>
      <c r="C69" s="89">
        <v>60.01</v>
      </c>
      <c r="D69" s="89">
        <v>59.09</v>
      </c>
      <c r="E69" s="330">
        <v>60.48</v>
      </c>
      <c r="F69" s="89">
        <v>60.65</v>
      </c>
      <c r="G69" s="89">
        <v>60.5</v>
      </c>
      <c r="H69" s="89">
        <v>57</v>
      </c>
      <c r="I69" s="89">
        <v>61.18</v>
      </c>
      <c r="J69" s="89">
        <v>60.15</v>
      </c>
    </row>
    <row r="70" spans="1:16" x14ac:dyDescent="0.25">
      <c r="A70" s="329" t="s">
        <v>619</v>
      </c>
      <c r="B70" s="89">
        <v>60.17</v>
      </c>
      <c r="C70" s="89">
        <v>60.41</v>
      </c>
      <c r="D70" s="89">
        <v>59.46</v>
      </c>
      <c r="E70" s="330">
        <v>60.77</v>
      </c>
      <c r="F70" s="89">
        <v>61.03</v>
      </c>
      <c r="G70" s="89">
        <v>60.78</v>
      </c>
      <c r="H70" s="89">
        <v>57.47</v>
      </c>
      <c r="I70" s="89">
        <v>61.4</v>
      </c>
      <c r="J70" s="89">
        <v>60.45</v>
      </c>
    </row>
    <row r="71" spans="1:16" x14ac:dyDescent="0.25">
      <c r="A71" s="329" t="s">
        <v>620</v>
      </c>
      <c r="B71" s="89">
        <v>60.36</v>
      </c>
      <c r="C71" s="89">
        <v>60.64</v>
      </c>
      <c r="D71" s="89">
        <v>59.79</v>
      </c>
      <c r="E71" s="330">
        <v>61.06</v>
      </c>
      <c r="F71" s="89">
        <v>61.23</v>
      </c>
      <c r="G71" s="89">
        <v>61.03</v>
      </c>
      <c r="H71" s="89">
        <v>58.07</v>
      </c>
      <c r="I71" s="89">
        <v>61.72</v>
      </c>
      <c r="J71" s="89">
        <v>60.79</v>
      </c>
    </row>
    <row r="72" spans="1:16" x14ac:dyDescent="0.25">
      <c r="A72" s="329" t="s">
        <v>621</v>
      </c>
      <c r="B72" s="89">
        <v>60.72</v>
      </c>
      <c r="C72" s="89">
        <v>60.92</v>
      </c>
      <c r="D72" s="89">
        <v>60.13</v>
      </c>
      <c r="E72" s="330">
        <v>61.28</v>
      </c>
      <c r="F72" s="89">
        <v>61.52</v>
      </c>
      <c r="G72" s="89">
        <v>61.31</v>
      </c>
      <c r="H72" s="89">
        <v>58.37</v>
      </c>
      <c r="I72" s="89">
        <v>61.92</v>
      </c>
      <c r="J72" s="89">
        <v>61.1</v>
      </c>
    </row>
    <row r="73" spans="1:16" x14ac:dyDescent="0.25">
      <c r="A73" s="329" t="s">
        <v>622</v>
      </c>
      <c r="B73" s="89">
        <v>61.04</v>
      </c>
      <c r="C73" s="89">
        <v>61.08</v>
      </c>
      <c r="D73" s="89">
        <v>60.45</v>
      </c>
      <c r="E73" s="330">
        <v>61.6</v>
      </c>
      <c r="F73" s="89">
        <v>61.83</v>
      </c>
      <c r="G73" s="89">
        <v>61.57</v>
      </c>
      <c r="H73" s="89">
        <v>58.71</v>
      </c>
      <c r="I73" s="89">
        <v>62.17</v>
      </c>
      <c r="J73" s="89">
        <v>61.38</v>
      </c>
    </row>
    <row r="74" spans="1:16" x14ac:dyDescent="0.25">
      <c r="A74" s="329" t="s">
        <v>623</v>
      </c>
      <c r="B74" s="89">
        <v>61.31</v>
      </c>
      <c r="C74" s="89">
        <v>61.46</v>
      </c>
      <c r="D74" s="89">
        <v>60.7</v>
      </c>
      <c r="E74" s="330">
        <v>61.81</v>
      </c>
      <c r="F74" s="89">
        <v>62</v>
      </c>
      <c r="G74" s="89">
        <v>61.97</v>
      </c>
      <c r="H74" s="89">
        <v>59.24</v>
      </c>
      <c r="I74" s="89">
        <v>62.4</v>
      </c>
      <c r="J74" s="89">
        <v>61.66</v>
      </c>
    </row>
    <row r="75" spans="1:16" x14ac:dyDescent="0.25">
      <c r="A75" s="329" t="s">
        <v>624</v>
      </c>
      <c r="B75" s="89">
        <v>61.69</v>
      </c>
      <c r="C75" s="89">
        <v>61.77</v>
      </c>
      <c r="D75" s="89">
        <v>61.04</v>
      </c>
      <c r="E75" s="330">
        <v>62.11</v>
      </c>
      <c r="F75" s="89">
        <v>62.21</v>
      </c>
      <c r="G75" s="89">
        <v>62.18</v>
      </c>
      <c r="H75" s="89">
        <v>59.63</v>
      </c>
      <c r="I75" s="89">
        <v>62.65</v>
      </c>
      <c r="J75" s="89">
        <v>61.89</v>
      </c>
    </row>
    <row r="76" spans="1:16" x14ac:dyDescent="0.25">
      <c r="A76" s="329" t="s">
        <v>625</v>
      </c>
      <c r="B76" s="89">
        <v>61.92</v>
      </c>
      <c r="C76" s="89">
        <v>62.1</v>
      </c>
      <c r="D76" s="89">
        <v>61.33</v>
      </c>
      <c r="E76" s="330">
        <v>62.41</v>
      </c>
      <c r="F76" s="89">
        <v>62.59</v>
      </c>
      <c r="G76" s="89">
        <v>62.44</v>
      </c>
      <c r="H76" s="89">
        <v>59.93</v>
      </c>
      <c r="I76" s="89">
        <v>62.94</v>
      </c>
      <c r="J76" s="89">
        <v>62.19</v>
      </c>
    </row>
    <row r="77" spans="1:16" x14ac:dyDescent="0.25">
      <c r="A77" s="329" t="s">
        <v>626</v>
      </c>
      <c r="B77" s="89">
        <v>62.24</v>
      </c>
      <c r="C77" s="89">
        <v>62.33</v>
      </c>
      <c r="D77" s="89">
        <v>61.65</v>
      </c>
      <c r="E77" s="330">
        <v>62.71</v>
      </c>
      <c r="F77" s="89">
        <v>62.82</v>
      </c>
      <c r="G77" s="89">
        <v>62.72</v>
      </c>
      <c r="H77" s="89">
        <v>60.29</v>
      </c>
      <c r="I77" s="89">
        <v>63.17</v>
      </c>
      <c r="J77" s="89">
        <v>62.4</v>
      </c>
    </row>
    <row r="78" spans="1:16" x14ac:dyDescent="0.25">
      <c r="A78" s="329" t="s">
        <v>627</v>
      </c>
      <c r="B78" s="89">
        <v>62.52</v>
      </c>
      <c r="C78" s="89">
        <v>62.63</v>
      </c>
      <c r="D78" s="89">
        <v>61.94</v>
      </c>
      <c r="E78" s="330">
        <v>62.92</v>
      </c>
      <c r="F78" s="89">
        <v>63.09</v>
      </c>
      <c r="G78" s="89">
        <v>63.11</v>
      </c>
      <c r="H78" s="89">
        <v>60.64</v>
      </c>
      <c r="I78" s="89">
        <v>63.45</v>
      </c>
      <c r="J78" s="89">
        <v>62.75</v>
      </c>
    </row>
    <row r="79" spans="1:16" x14ac:dyDescent="0.25">
      <c r="A79" s="329" t="s">
        <v>628</v>
      </c>
      <c r="B79" s="89">
        <v>62.78</v>
      </c>
      <c r="C79" s="89">
        <v>62.88</v>
      </c>
      <c r="D79" s="89">
        <v>62.24</v>
      </c>
      <c r="E79" s="330">
        <v>63.21</v>
      </c>
      <c r="F79" s="89">
        <v>63.27</v>
      </c>
      <c r="G79" s="89">
        <v>63.24</v>
      </c>
      <c r="H79" s="89">
        <v>61.09</v>
      </c>
      <c r="I79" s="89">
        <v>63.69</v>
      </c>
      <c r="J79" s="89">
        <v>63.01</v>
      </c>
    </row>
    <row r="80" spans="1:16" x14ac:dyDescent="0.25">
      <c r="A80" s="329" t="s">
        <v>629</v>
      </c>
      <c r="B80" s="89">
        <v>63.03</v>
      </c>
      <c r="C80" s="89">
        <v>63.2</v>
      </c>
      <c r="D80" s="89">
        <v>62.52</v>
      </c>
      <c r="E80" s="330">
        <v>63.46</v>
      </c>
      <c r="F80" s="89">
        <v>63.59</v>
      </c>
      <c r="G80" s="89">
        <v>63.53</v>
      </c>
      <c r="H80" s="89">
        <v>61.35</v>
      </c>
      <c r="I80" s="89">
        <v>63.96</v>
      </c>
      <c r="J80" s="89">
        <v>63.25</v>
      </c>
    </row>
    <row r="81" spans="1:10" x14ac:dyDescent="0.25">
      <c r="A81" s="329" t="s">
        <v>630</v>
      </c>
      <c r="B81" s="89">
        <v>63.4</v>
      </c>
      <c r="C81" s="89">
        <v>63.46</v>
      </c>
      <c r="D81" s="89">
        <v>62.86</v>
      </c>
      <c r="E81" s="330">
        <v>63.8</v>
      </c>
      <c r="F81" s="89">
        <v>63.95</v>
      </c>
      <c r="G81" s="89">
        <v>63.86</v>
      </c>
      <c r="H81" s="89">
        <v>61.7</v>
      </c>
      <c r="I81" s="89">
        <v>64.19</v>
      </c>
      <c r="J81" s="89">
        <v>63.56</v>
      </c>
    </row>
    <row r="82" spans="1:10" x14ac:dyDescent="0.25">
      <c r="A82" s="329" t="s">
        <v>631</v>
      </c>
      <c r="B82" s="89">
        <v>63.65</v>
      </c>
      <c r="C82" s="89">
        <v>63.8</v>
      </c>
      <c r="D82" s="89">
        <v>63.19</v>
      </c>
      <c r="E82" s="330">
        <v>64.06</v>
      </c>
      <c r="F82" s="89">
        <v>64.2</v>
      </c>
      <c r="G82" s="89">
        <v>64.150000000000006</v>
      </c>
      <c r="H82" s="89">
        <v>62.06</v>
      </c>
      <c r="I82" s="89">
        <v>64.5</v>
      </c>
      <c r="J82" s="89">
        <v>63.85</v>
      </c>
    </row>
    <row r="83" spans="1:10" x14ac:dyDescent="0.25">
      <c r="A83" s="329" t="s">
        <v>632</v>
      </c>
      <c r="B83" s="89">
        <v>63.97</v>
      </c>
      <c r="C83" s="89">
        <v>63.94</v>
      </c>
      <c r="D83" s="89">
        <v>63.47</v>
      </c>
      <c r="E83" s="330">
        <v>64.34</v>
      </c>
      <c r="F83" s="89">
        <v>64.459999999999994</v>
      </c>
      <c r="G83" s="89">
        <v>64.52</v>
      </c>
      <c r="H83" s="89">
        <v>62.36</v>
      </c>
      <c r="I83" s="89">
        <v>64.83</v>
      </c>
      <c r="J83" s="89">
        <v>64.260000000000005</v>
      </c>
    </row>
    <row r="84" spans="1:10" x14ac:dyDescent="0.25">
      <c r="A84" s="329" t="s">
        <v>633</v>
      </c>
      <c r="B84" s="89">
        <v>64.38</v>
      </c>
      <c r="C84" s="89">
        <v>64.33</v>
      </c>
      <c r="D84" s="89">
        <v>63.81</v>
      </c>
      <c r="E84" s="330">
        <v>64.69</v>
      </c>
      <c r="F84" s="89">
        <v>64.86</v>
      </c>
      <c r="G84" s="89">
        <v>64.760000000000005</v>
      </c>
      <c r="H84" s="89">
        <v>62.85</v>
      </c>
      <c r="I84" s="89">
        <v>65.150000000000006</v>
      </c>
      <c r="J84" s="89">
        <v>64.5</v>
      </c>
    </row>
    <row r="85" spans="1:10" x14ac:dyDescent="0.25">
      <c r="A85" s="329" t="s">
        <v>634</v>
      </c>
      <c r="B85" s="89">
        <v>64.66</v>
      </c>
      <c r="C85" s="89">
        <v>64.709999999999994</v>
      </c>
      <c r="D85" s="89">
        <v>64.11</v>
      </c>
      <c r="E85" s="330">
        <v>65.010000000000005</v>
      </c>
      <c r="F85" s="89">
        <v>65.13</v>
      </c>
      <c r="G85" s="89">
        <v>65.099999999999994</v>
      </c>
      <c r="H85" s="89">
        <v>63.18</v>
      </c>
      <c r="I85" s="89">
        <v>65.459999999999994</v>
      </c>
      <c r="J85" s="89">
        <v>64.81</v>
      </c>
    </row>
    <row r="86" spans="1:10" x14ac:dyDescent="0.25">
      <c r="A86" s="329" t="s">
        <v>635</v>
      </c>
      <c r="B86" s="89">
        <v>64.94</v>
      </c>
      <c r="C86" s="89">
        <v>64.98</v>
      </c>
      <c r="D86" s="89">
        <v>64.459999999999994</v>
      </c>
      <c r="E86" s="330">
        <v>65.31</v>
      </c>
      <c r="F86" s="89">
        <v>65.430000000000007</v>
      </c>
      <c r="G86" s="89">
        <v>65.459999999999994</v>
      </c>
      <c r="H86" s="89">
        <v>63.43</v>
      </c>
      <c r="I86" s="89">
        <v>65.739999999999995</v>
      </c>
      <c r="J86" s="89">
        <v>65.180000000000007</v>
      </c>
    </row>
    <row r="87" spans="1:10" x14ac:dyDescent="0.25">
      <c r="A87" s="329" t="s">
        <v>636</v>
      </c>
      <c r="B87" s="89">
        <v>65.290000000000006</v>
      </c>
      <c r="C87" s="89">
        <v>65.31</v>
      </c>
      <c r="D87" s="89">
        <v>64.8</v>
      </c>
      <c r="E87" s="330">
        <v>65.599999999999994</v>
      </c>
      <c r="F87" s="89">
        <v>65.709999999999994</v>
      </c>
      <c r="G87" s="89">
        <v>65.75</v>
      </c>
      <c r="H87" s="89">
        <v>63.75</v>
      </c>
      <c r="I87" s="89">
        <v>66.06</v>
      </c>
      <c r="J87" s="89">
        <v>65.400000000000006</v>
      </c>
    </row>
    <row r="88" spans="1:10" x14ac:dyDescent="0.25">
      <c r="A88" s="329" t="s">
        <v>637</v>
      </c>
      <c r="B88" s="89">
        <v>65.59</v>
      </c>
      <c r="C88" s="89">
        <v>65.599999999999994</v>
      </c>
      <c r="D88" s="89">
        <v>65.12</v>
      </c>
      <c r="E88" s="330">
        <v>65.94</v>
      </c>
      <c r="F88" s="89">
        <v>66.03</v>
      </c>
      <c r="G88" s="89">
        <v>66.099999999999994</v>
      </c>
      <c r="H88" s="89">
        <v>64.150000000000006</v>
      </c>
      <c r="I88" s="89">
        <v>66.38</v>
      </c>
      <c r="J88" s="89">
        <v>65.739999999999995</v>
      </c>
    </row>
    <row r="89" spans="1:10" x14ac:dyDescent="0.25">
      <c r="A89" s="329" t="s">
        <v>638</v>
      </c>
      <c r="B89" s="89">
        <v>65.94</v>
      </c>
      <c r="C89" s="89">
        <v>66.040000000000006</v>
      </c>
      <c r="D89" s="89">
        <v>65.430000000000007</v>
      </c>
      <c r="E89" s="330">
        <v>66.3</v>
      </c>
      <c r="F89" s="89">
        <v>66.459999999999994</v>
      </c>
      <c r="G89" s="89">
        <v>66.33</v>
      </c>
      <c r="H89" s="89">
        <v>64.37</v>
      </c>
      <c r="I89" s="89">
        <v>66.7</v>
      </c>
      <c r="J89" s="89">
        <v>66.03</v>
      </c>
    </row>
    <row r="90" spans="1:10" x14ac:dyDescent="0.25">
      <c r="A90" s="329" t="s">
        <v>639</v>
      </c>
      <c r="B90" s="89">
        <v>66.239999999999995</v>
      </c>
      <c r="C90" s="89">
        <v>66.36</v>
      </c>
      <c r="D90" s="89">
        <v>65.760000000000005</v>
      </c>
      <c r="E90" s="330">
        <v>66.64</v>
      </c>
      <c r="F90" s="89">
        <v>66.709999999999994</v>
      </c>
      <c r="G90" s="89">
        <v>66.72</v>
      </c>
      <c r="H90" s="89">
        <v>64.8</v>
      </c>
      <c r="I90" s="89">
        <v>67.05</v>
      </c>
      <c r="J90" s="89">
        <v>66.48</v>
      </c>
    </row>
    <row r="91" spans="1:10" x14ac:dyDescent="0.25">
      <c r="A91" s="329" t="s">
        <v>640</v>
      </c>
      <c r="B91" s="89">
        <v>66.56</v>
      </c>
      <c r="C91" s="89">
        <v>66.59</v>
      </c>
      <c r="D91" s="89">
        <v>66.13</v>
      </c>
      <c r="E91" s="330">
        <v>66.94</v>
      </c>
      <c r="F91" s="89">
        <v>67.040000000000006</v>
      </c>
      <c r="G91" s="89">
        <v>67.12</v>
      </c>
      <c r="H91" s="89">
        <v>65.17</v>
      </c>
      <c r="I91" s="89">
        <v>67.38</v>
      </c>
      <c r="J91" s="89">
        <v>66.77</v>
      </c>
    </row>
    <row r="92" spans="1:10" x14ac:dyDescent="0.25">
      <c r="A92" s="329" t="s">
        <v>641</v>
      </c>
      <c r="B92" s="89">
        <v>66.88</v>
      </c>
      <c r="C92" s="89">
        <v>66.98</v>
      </c>
      <c r="D92" s="89">
        <v>66.44</v>
      </c>
      <c r="E92" s="330">
        <v>67.260000000000005</v>
      </c>
      <c r="F92" s="89">
        <v>67.36</v>
      </c>
      <c r="G92" s="89">
        <v>67.47</v>
      </c>
      <c r="H92" s="89">
        <v>65.489999999999995</v>
      </c>
      <c r="I92" s="89">
        <v>67.739999999999995</v>
      </c>
      <c r="J92" s="89">
        <v>67.069999999999993</v>
      </c>
    </row>
    <row r="93" spans="1:10" x14ac:dyDescent="0.25">
      <c r="A93" s="329" t="s">
        <v>642</v>
      </c>
      <c r="B93" s="89">
        <v>67.28</v>
      </c>
      <c r="C93" s="89">
        <v>67.28</v>
      </c>
      <c r="D93" s="89">
        <v>66.77</v>
      </c>
      <c r="E93" s="330">
        <v>67.599999999999994</v>
      </c>
      <c r="F93" s="89">
        <v>67.73</v>
      </c>
      <c r="G93" s="89">
        <v>67.790000000000006</v>
      </c>
      <c r="H93" s="89">
        <v>65.790000000000006</v>
      </c>
      <c r="I93" s="89">
        <v>68.03</v>
      </c>
      <c r="J93" s="89">
        <v>67.38</v>
      </c>
    </row>
    <row r="94" spans="1:10" x14ac:dyDescent="0.25">
      <c r="A94" s="329" t="s">
        <v>643</v>
      </c>
      <c r="B94" s="89">
        <v>67.540000000000006</v>
      </c>
      <c r="C94" s="89">
        <v>67.63</v>
      </c>
      <c r="D94" s="89">
        <v>67.11</v>
      </c>
      <c r="E94" s="330">
        <v>67.92</v>
      </c>
      <c r="F94" s="89">
        <v>68.010000000000005</v>
      </c>
      <c r="G94" s="89">
        <v>68.010000000000005</v>
      </c>
      <c r="H94" s="89">
        <v>66.06</v>
      </c>
      <c r="I94" s="89">
        <v>68.33</v>
      </c>
      <c r="J94" s="89">
        <v>67.72</v>
      </c>
    </row>
    <row r="95" spans="1:10" x14ac:dyDescent="0.25">
      <c r="A95" s="329" t="s">
        <v>644</v>
      </c>
      <c r="B95" s="89">
        <v>67.89</v>
      </c>
      <c r="C95" s="89">
        <v>67.92</v>
      </c>
      <c r="D95" s="89">
        <v>67.41</v>
      </c>
      <c r="E95" s="330">
        <v>68.22</v>
      </c>
      <c r="F95" s="89">
        <v>68.349999999999994</v>
      </c>
      <c r="G95" s="89">
        <v>68.41</v>
      </c>
      <c r="H95" s="89">
        <v>66.45</v>
      </c>
      <c r="I95" s="89">
        <v>68.66</v>
      </c>
      <c r="J95" s="89">
        <v>68.05</v>
      </c>
    </row>
    <row r="96" spans="1:10" x14ac:dyDescent="0.25">
      <c r="A96" s="329" t="s">
        <v>645</v>
      </c>
      <c r="B96" s="89">
        <v>68.2</v>
      </c>
      <c r="C96" s="89">
        <v>68.34</v>
      </c>
      <c r="D96" s="89">
        <v>67.739999999999995</v>
      </c>
      <c r="E96" s="330">
        <v>68.56</v>
      </c>
      <c r="F96" s="89">
        <v>68.66</v>
      </c>
      <c r="G96" s="89">
        <v>68.7</v>
      </c>
      <c r="H96" s="89">
        <v>66.73</v>
      </c>
      <c r="I96" s="89">
        <v>69.010000000000005</v>
      </c>
      <c r="J96" s="89">
        <v>68.37</v>
      </c>
    </row>
    <row r="97" spans="1:10" x14ac:dyDescent="0.25">
      <c r="A97" s="329" t="s">
        <v>646</v>
      </c>
      <c r="B97" s="89">
        <v>68.56</v>
      </c>
      <c r="C97" s="89">
        <v>68.56</v>
      </c>
      <c r="D97" s="89">
        <v>68.099999999999994</v>
      </c>
      <c r="E97" s="330">
        <v>68.89</v>
      </c>
      <c r="F97" s="89">
        <v>68.989999999999995</v>
      </c>
      <c r="G97" s="89">
        <v>69.06</v>
      </c>
      <c r="H97" s="89">
        <v>67.12</v>
      </c>
      <c r="I97" s="89">
        <v>69.36</v>
      </c>
      <c r="J97" s="89">
        <v>68.73</v>
      </c>
    </row>
    <row r="98" spans="1:10" x14ac:dyDescent="0.25">
      <c r="A98" s="329" t="s">
        <v>647</v>
      </c>
      <c r="B98" s="89">
        <v>68.900000000000006</v>
      </c>
      <c r="C98" s="89">
        <v>68.95</v>
      </c>
      <c r="D98" s="89">
        <v>68.400000000000006</v>
      </c>
      <c r="E98" s="330">
        <v>69.22</v>
      </c>
      <c r="F98" s="89">
        <v>69.31</v>
      </c>
      <c r="G98" s="89">
        <v>69.41</v>
      </c>
      <c r="H98" s="89">
        <v>67.44</v>
      </c>
      <c r="I98" s="89">
        <v>69.67</v>
      </c>
      <c r="J98" s="89">
        <v>69.02</v>
      </c>
    </row>
    <row r="99" spans="1:10" x14ac:dyDescent="0.25">
      <c r="A99" s="329" t="s">
        <v>648</v>
      </c>
      <c r="B99" s="89">
        <v>69.19</v>
      </c>
      <c r="C99" s="89">
        <v>69.28</v>
      </c>
      <c r="D99" s="89">
        <v>68.72</v>
      </c>
      <c r="E99" s="330">
        <v>69.52</v>
      </c>
      <c r="F99" s="89">
        <v>69.62</v>
      </c>
      <c r="G99" s="89">
        <v>69.75</v>
      </c>
      <c r="H99" s="89">
        <v>67.709999999999994</v>
      </c>
      <c r="I99" s="89">
        <v>70.03</v>
      </c>
      <c r="J99" s="89">
        <v>69.39</v>
      </c>
    </row>
    <row r="100" spans="1:10" x14ac:dyDescent="0.25">
      <c r="A100" s="329" t="s">
        <v>649</v>
      </c>
      <c r="B100" s="89">
        <v>69.53</v>
      </c>
      <c r="C100" s="89">
        <v>69.650000000000006</v>
      </c>
      <c r="D100" s="89">
        <v>69.069999999999993</v>
      </c>
      <c r="E100" s="330">
        <v>69.849999999999994</v>
      </c>
      <c r="F100" s="89">
        <v>70.05</v>
      </c>
      <c r="G100" s="89">
        <v>70.06</v>
      </c>
      <c r="H100" s="89">
        <v>68.040000000000006</v>
      </c>
      <c r="I100" s="89">
        <v>70.33</v>
      </c>
      <c r="J100" s="89">
        <v>69.72</v>
      </c>
    </row>
    <row r="101" spans="1:10" x14ac:dyDescent="0.25">
      <c r="A101" s="329" t="s">
        <v>650</v>
      </c>
      <c r="B101" s="89">
        <v>69.819999999999993</v>
      </c>
      <c r="C101" s="89">
        <v>69.91</v>
      </c>
      <c r="D101" s="89">
        <v>69.38</v>
      </c>
      <c r="E101" s="330">
        <v>70.17</v>
      </c>
      <c r="F101" s="89">
        <v>70.31</v>
      </c>
      <c r="G101" s="89">
        <v>70.5</v>
      </c>
      <c r="H101" s="89">
        <v>68.47</v>
      </c>
      <c r="I101" s="89">
        <v>70.62</v>
      </c>
      <c r="J101" s="89">
        <v>70.03</v>
      </c>
    </row>
    <row r="102" spans="1:10" x14ac:dyDescent="0.25">
      <c r="A102" s="329" t="s">
        <v>651</v>
      </c>
      <c r="B102" s="89">
        <v>70.17</v>
      </c>
      <c r="C102" s="89">
        <v>70.25</v>
      </c>
      <c r="D102" s="89">
        <v>69.75</v>
      </c>
      <c r="E102" s="330">
        <v>70.540000000000006</v>
      </c>
      <c r="F102" s="89">
        <v>70.67</v>
      </c>
      <c r="G102" s="89">
        <v>70.680000000000007</v>
      </c>
      <c r="H102" s="89">
        <v>68.78</v>
      </c>
      <c r="I102" s="89">
        <v>70.98</v>
      </c>
      <c r="J102" s="89">
        <v>70.37</v>
      </c>
    </row>
    <row r="103" spans="1:10" x14ac:dyDescent="0.25">
      <c r="A103" s="329" t="s">
        <v>652</v>
      </c>
      <c r="B103" s="89">
        <v>70.430000000000007</v>
      </c>
      <c r="C103" s="89">
        <v>70.58</v>
      </c>
      <c r="D103" s="89">
        <v>70.040000000000006</v>
      </c>
      <c r="E103" s="330">
        <v>70.86</v>
      </c>
      <c r="F103" s="89">
        <v>70.94</v>
      </c>
      <c r="G103" s="89">
        <v>71.12</v>
      </c>
      <c r="H103" s="89">
        <v>69.02</v>
      </c>
      <c r="I103" s="89">
        <v>71.290000000000006</v>
      </c>
      <c r="J103" s="89">
        <v>70.66</v>
      </c>
    </row>
    <row r="104" spans="1:10" x14ac:dyDescent="0.25">
      <c r="A104" s="329" t="s">
        <v>653</v>
      </c>
      <c r="B104" s="89">
        <v>70.92</v>
      </c>
      <c r="C104" s="89">
        <v>70.89</v>
      </c>
      <c r="D104" s="89">
        <v>70.38</v>
      </c>
      <c r="E104" s="330">
        <v>71.19</v>
      </c>
      <c r="F104" s="89">
        <v>71.3</v>
      </c>
      <c r="G104" s="89">
        <v>71.48</v>
      </c>
      <c r="H104" s="89">
        <v>69.319999999999993</v>
      </c>
      <c r="I104" s="89">
        <v>71.62</v>
      </c>
      <c r="J104" s="89">
        <v>70.900000000000006</v>
      </c>
    </row>
    <row r="105" spans="1:10" x14ac:dyDescent="0.25">
      <c r="A105" s="329" t="s">
        <v>654</v>
      </c>
      <c r="B105" s="89">
        <v>71.12</v>
      </c>
      <c r="C105" s="89">
        <v>71.2</v>
      </c>
      <c r="D105" s="89">
        <v>70.709999999999994</v>
      </c>
      <c r="E105" s="330">
        <v>71.5</v>
      </c>
      <c r="F105" s="89">
        <v>71.61</v>
      </c>
      <c r="G105" s="89">
        <v>71.77</v>
      </c>
      <c r="H105" s="89">
        <v>69.63</v>
      </c>
      <c r="I105" s="89">
        <v>71.989999999999995</v>
      </c>
      <c r="J105" s="89">
        <v>71.37</v>
      </c>
    </row>
    <row r="106" spans="1:10" x14ac:dyDescent="0.25">
      <c r="A106" s="329" t="s">
        <v>655</v>
      </c>
      <c r="B106" s="89">
        <v>71.56</v>
      </c>
      <c r="C106" s="89">
        <v>71.56</v>
      </c>
      <c r="D106" s="89">
        <v>71.03</v>
      </c>
      <c r="E106" s="330">
        <v>71.88</v>
      </c>
      <c r="F106" s="89">
        <v>72.010000000000005</v>
      </c>
      <c r="G106" s="89">
        <v>72.099999999999994</v>
      </c>
      <c r="H106" s="89">
        <v>69.959999999999994</v>
      </c>
      <c r="I106" s="89">
        <v>72.37</v>
      </c>
      <c r="J106" s="89">
        <v>71.7</v>
      </c>
    </row>
    <row r="107" spans="1:10" x14ac:dyDescent="0.25">
      <c r="A107" s="329" t="s">
        <v>656</v>
      </c>
      <c r="B107" s="89">
        <v>71.88</v>
      </c>
      <c r="C107" s="89">
        <v>71.86</v>
      </c>
      <c r="D107" s="89">
        <v>71.459999999999994</v>
      </c>
      <c r="E107" s="330">
        <v>72.2</v>
      </c>
      <c r="F107" s="89">
        <v>72.31</v>
      </c>
      <c r="G107" s="89">
        <v>72.47</v>
      </c>
      <c r="H107" s="89">
        <v>70.36</v>
      </c>
      <c r="I107" s="89">
        <v>72.69</v>
      </c>
      <c r="J107" s="89">
        <v>72</v>
      </c>
    </row>
    <row r="108" spans="1:10" x14ac:dyDescent="0.25">
      <c r="A108" s="329" t="s">
        <v>657</v>
      </c>
      <c r="B108" s="89">
        <v>72.209999999999994</v>
      </c>
      <c r="C108" s="89">
        <v>72.260000000000005</v>
      </c>
      <c r="D108" s="89">
        <v>71.73</v>
      </c>
      <c r="E108" s="330">
        <v>72.540000000000006</v>
      </c>
      <c r="F108" s="89">
        <v>72.64</v>
      </c>
      <c r="G108" s="89">
        <v>72.790000000000006</v>
      </c>
      <c r="H108" s="89">
        <v>70.77</v>
      </c>
      <c r="I108" s="89">
        <v>73</v>
      </c>
      <c r="J108" s="89">
        <v>72.349999999999994</v>
      </c>
    </row>
    <row r="109" spans="1:10" x14ac:dyDescent="0.25">
      <c r="A109" s="329" t="s">
        <v>658</v>
      </c>
      <c r="B109" s="89">
        <v>72.540000000000006</v>
      </c>
      <c r="C109" s="89">
        <v>72.540000000000006</v>
      </c>
      <c r="D109" s="89">
        <v>72.05</v>
      </c>
      <c r="E109" s="330">
        <v>72.849999999999994</v>
      </c>
      <c r="F109" s="89">
        <v>72.97</v>
      </c>
      <c r="G109" s="89">
        <v>73.239999999999995</v>
      </c>
      <c r="H109" s="89">
        <v>70.959999999999994</v>
      </c>
      <c r="I109" s="89">
        <v>73.319999999999993</v>
      </c>
      <c r="J109" s="89">
        <v>72.72</v>
      </c>
    </row>
    <row r="110" spans="1:10" x14ac:dyDescent="0.25">
      <c r="A110" s="329" t="s">
        <v>659</v>
      </c>
      <c r="B110" s="89">
        <v>72.88</v>
      </c>
      <c r="C110" s="89">
        <v>72.86</v>
      </c>
      <c r="D110" s="89">
        <v>72.36</v>
      </c>
      <c r="E110" s="330">
        <v>73.25</v>
      </c>
      <c r="F110" s="89">
        <v>73.33</v>
      </c>
      <c r="G110" s="89">
        <v>73.41</v>
      </c>
      <c r="H110" s="89">
        <v>71.430000000000007</v>
      </c>
      <c r="I110" s="89">
        <v>73.650000000000006</v>
      </c>
      <c r="J110" s="89">
        <v>73.02</v>
      </c>
    </row>
    <row r="111" spans="1:10" x14ac:dyDescent="0.25">
      <c r="A111" s="329" t="s">
        <v>660</v>
      </c>
      <c r="B111" s="89">
        <v>73.239999999999995</v>
      </c>
      <c r="C111" s="89">
        <v>73.209999999999994</v>
      </c>
      <c r="D111" s="89">
        <v>72.739999999999995</v>
      </c>
      <c r="E111" s="330">
        <v>73.569999999999993</v>
      </c>
      <c r="F111" s="89">
        <v>73.680000000000007</v>
      </c>
      <c r="G111" s="89">
        <v>73.819999999999993</v>
      </c>
      <c r="H111" s="89">
        <v>71.72</v>
      </c>
      <c r="I111" s="89">
        <v>74.040000000000006</v>
      </c>
      <c r="J111" s="89">
        <v>73.38</v>
      </c>
    </row>
    <row r="112" spans="1:10" x14ac:dyDescent="0.25">
      <c r="A112" s="329" t="s">
        <v>661</v>
      </c>
      <c r="B112" s="89">
        <v>73.56</v>
      </c>
      <c r="C112" s="89">
        <v>73.62</v>
      </c>
      <c r="D112" s="89">
        <v>73.05</v>
      </c>
      <c r="E112" s="330">
        <v>73.900000000000006</v>
      </c>
      <c r="F112" s="89">
        <v>74.03</v>
      </c>
      <c r="G112" s="89">
        <v>74.180000000000007</v>
      </c>
      <c r="H112" s="89">
        <v>71.98</v>
      </c>
      <c r="I112" s="89">
        <v>74.39</v>
      </c>
      <c r="J112" s="89">
        <v>73.69</v>
      </c>
    </row>
    <row r="113" spans="1:10" x14ac:dyDescent="0.25">
      <c r="A113" s="329" t="s">
        <v>662</v>
      </c>
      <c r="B113" s="89">
        <v>73.88</v>
      </c>
      <c r="C113" s="89">
        <v>73.89</v>
      </c>
      <c r="D113" s="89">
        <v>73.39</v>
      </c>
      <c r="E113" s="330">
        <v>74.2</v>
      </c>
      <c r="F113" s="89">
        <v>74.25</v>
      </c>
      <c r="G113" s="89">
        <v>74.489999999999995</v>
      </c>
      <c r="H113" s="89">
        <v>72.36</v>
      </c>
      <c r="I113" s="89">
        <v>74.680000000000007</v>
      </c>
      <c r="J113" s="89">
        <v>74.040000000000006</v>
      </c>
    </row>
    <row r="114" spans="1:10" x14ac:dyDescent="0.25">
      <c r="A114" s="329" t="s">
        <v>663</v>
      </c>
      <c r="B114" s="89">
        <v>74.260000000000005</v>
      </c>
      <c r="C114" s="89">
        <v>74.290000000000006</v>
      </c>
      <c r="D114" s="89">
        <v>73.75</v>
      </c>
      <c r="E114" s="330">
        <v>74.58</v>
      </c>
      <c r="F114" s="89">
        <v>74.650000000000006</v>
      </c>
      <c r="G114" s="89">
        <v>74.84</v>
      </c>
      <c r="H114" s="89">
        <v>72.760000000000005</v>
      </c>
      <c r="I114" s="89">
        <v>75.069999999999993</v>
      </c>
      <c r="J114" s="89">
        <v>74.37</v>
      </c>
    </row>
    <row r="115" spans="1:10" x14ac:dyDescent="0.25">
      <c r="A115" s="329" t="s">
        <v>664</v>
      </c>
      <c r="B115" s="89">
        <v>74.599999999999994</v>
      </c>
      <c r="C115" s="89">
        <v>74.64</v>
      </c>
      <c r="D115" s="89">
        <v>74.09</v>
      </c>
      <c r="E115" s="330">
        <v>74.94</v>
      </c>
      <c r="F115" s="89">
        <v>75.069999999999993</v>
      </c>
      <c r="G115" s="89">
        <v>75.290000000000006</v>
      </c>
      <c r="H115" s="89">
        <v>73.010000000000005</v>
      </c>
      <c r="I115" s="89">
        <v>75.44</v>
      </c>
      <c r="J115" s="89">
        <v>74.790000000000006</v>
      </c>
    </row>
    <row r="116" spans="1:10" x14ac:dyDescent="0.25">
      <c r="A116" s="329" t="s">
        <v>665</v>
      </c>
      <c r="B116" s="89">
        <v>74.930000000000007</v>
      </c>
      <c r="C116" s="89">
        <v>74.98</v>
      </c>
      <c r="D116" s="89">
        <v>74.38</v>
      </c>
      <c r="E116" s="330">
        <v>75.290000000000006</v>
      </c>
      <c r="F116" s="89">
        <v>75.39</v>
      </c>
      <c r="G116" s="89">
        <v>75.62</v>
      </c>
      <c r="H116" s="89">
        <v>73.31</v>
      </c>
      <c r="I116" s="89">
        <v>75.78</v>
      </c>
      <c r="J116" s="89">
        <v>75.05</v>
      </c>
    </row>
    <row r="117" spans="1:10" x14ac:dyDescent="0.25">
      <c r="A117" s="329" t="s">
        <v>666</v>
      </c>
      <c r="B117" s="89">
        <v>75.290000000000006</v>
      </c>
      <c r="C117" s="89">
        <v>75.3</v>
      </c>
      <c r="D117" s="89">
        <v>74.77</v>
      </c>
      <c r="E117" s="330">
        <v>75.569999999999993</v>
      </c>
      <c r="F117" s="89">
        <v>75.680000000000007</v>
      </c>
      <c r="G117" s="89">
        <v>75.88</v>
      </c>
      <c r="H117" s="89">
        <v>73.84</v>
      </c>
      <c r="I117" s="89">
        <v>76.08</v>
      </c>
      <c r="J117" s="89">
        <v>75.430000000000007</v>
      </c>
    </row>
    <row r="118" spans="1:10" x14ac:dyDescent="0.25">
      <c r="A118" s="329" t="s">
        <v>667</v>
      </c>
      <c r="B118" s="89">
        <v>75.61</v>
      </c>
      <c r="C118" s="89">
        <v>75.7</v>
      </c>
      <c r="D118" s="89">
        <v>75.12</v>
      </c>
      <c r="E118" s="330">
        <v>75.97</v>
      </c>
      <c r="F118" s="89">
        <v>76.05</v>
      </c>
      <c r="G118" s="89">
        <v>76.25</v>
      </c>
      <c r="H118" s="89">
        <v>74</v>
      </c>
      <c r="I118" s="89">
        <v>76.41</v>
      </c>
      <c r="J118" s="89">
        <v>75.7</v>
      </c>
    </row>
    <row r="119" spans="1:10" x14ac:dyDescent="0.25">
      <c r="A119" s="329" t="s">
        <v>668</v>
      </c>
      <c r="B119" s="89">
        <v>75.92</v>
      </c>
      <c r="C119" s="89">
        <v>75.98</v>
      </c>
      <c r="D119" s="89">
        <v>75.489999999999995</v>
      </c>
      <c r="E119" s="330">
        <v>76.3</v>
      </c>
      <c r="F119" s="89">
        <v>76.38</v>
      </c>
      <c r="G119" s="89">
        <v>76.58</v>
      </c>
      <c r="H119" s="89">
        <v>74.41</v>
      </c>
      <c r="I119" s="89">
        <v>76.849999999999994</v>
      </c>
      <c r="J119" s="89">
        <v>76.09</v>
      </c>
    </row>
    <row r="120" spans="1:10" x14ac:dyDescent="0.25">
      <c r="A120" s="329" t="s">
        <v>669</v>
      </c>
      <c r="B120" s="89">
        <v>76.23</v>
      </c>
      <c r="C120" s="89">
        <v>76.349999999999994</v>
      </c>
      <c r="D120" s="89">
        <v>75.8</v>
      </c>
      <c r="E120" s="330">
        <v>76.61</v>
      </c>
      <c r="F120" s="89">
        <v>76.739999999999995</v>
      </c>
      <c r="G120" s="89">
        <v>76.91</v>
      </c>
      <c r="H120" s="89">
        <v>74.760000000000005</v>
      </c>
      <c r="I120" s="89">
        <v>77.14</v>
      </c>
      <c r="J120" s="89">
        <v>76.45</v>
      </c>
    </row>
    <row r="121" spans="1:10" x14ac:dyDescent="0.25">
      <c r="A121" s="329" t="s">
        <v>670</v>
      </c>
      <c r="B121" s="89">
        <v>76.55</v>
      </c>
      <c r="C121" s="89">
        <v>76.58</v>
      </c>
      <c r="D121" s="89">
        <v>76.099999999999994</v>
      </c>
      <c r="E121" s="330">
        <v>76.92</v>
      </c>
      <c r="F121" s="89">
        <v>77.03</v>
      </c>
      <c r="G121" s="89">
        <v>77.2</v>
      </c>
      <c r="H121" s="89">
        <v>75.010000000000005</v>
      </c>
      <c r="I121" s="89">
        <v>77.39</v>
      </c>
      <c r="J121" s="89">
        <v>76.709999999999994</v>
      </c>
    </row>
    <row r="122" spans="1:10" x14ac:dyDescent="0.25">
      <c r="A122" s="329" t="s">
        <v>671</v>
      </c>
      <c r="B122" s="89">
        <v>76.959999999999994</v>
      </c>
      <c r="C122" s="89">
        <v>76.930000000000007</v>
      </c>
      <c r="D122" s="89">
        <v>76.489999999999995</v>
      </c>
      <c r="E122" s="330">
        <v>77.27</v>
      </c>
      <c r="F122" s="89">
        <v>77.38</v>
      </c>
      <c r="G122" s="89">
        <v>77.58</v>
      </c>
      <c r="H122" s="89">
        <v>75.36</v>
      </c>
      <c r="I122" s="89">
        <v>77.84</v>
      </c>
      <c r="J122" s="89">
        <v>77.08</v>
      </c>
    </row>
    <row r="123" spans="1:10" x14ac:dyDescent="0.25">
      <c r="A123" s="329" t="s">
        <v>672</v>
      </c>
      <c r="B123" s="89">
        <v>77.28</v>
      </c>
      <c r="C123" s="89">
        <v>77.27</v>
      </c>
      <c r="D123" s="89">
        <v>76.78</v>
      </c>
      <c r="E123" s="330">
        <v>77.64</v>
      </c>
      <c r="F123" s="89">
        <v>77.7</v>
      </c>
      <c r="G123" s="89">
        <v>77.87</v>
      </c>
      <c r="H123" s="89">
        <v>75.63</v>
      </c>
      <c r="I123" s="89">
        <v>78.11</v>
      </c>
      <c r="J123" s="89">
        <v>77.42</v>
      </c>
    </row>
    <row r="124" spans="1:10" x14ac:dyDescent="0.25">
      <c r="A124" s="329" t="s">
        <v>673</v>
      </c>
      <c r="B124" s="89">
        <v>77.59</v>
      </c>
      <c r="C124" s="89">
        <v>77.62</v>
      </c>
      <c r="D124" s="89">
        <v>77.13</v>
      </c>
      <c r="E124" s="330">
        <v>77.97</v>
      </c>
      <c r="F124" s="89">
        <v>78.03</v>
      </c>
      <c r="G124" s="89">
        <v>78.22</v>
      </c>
      <c r="H124" s="89">
        <v>76.040000000000006</v>
      </c>
      <c r="I124" s="89">
        <v>78.489999999999995</v>
      </c>
      <c r="J124" s="89">
        <v>77.8</v>
      </c>
    </row>
    <row r="125" spans="1:10" x14ac:dyDescent="0.25">
      <c r="A125" s="329" t="s">
        <v>674</v>
      </c>
      <c r="B125" s="89">
        <v>77.94</v>
      </c>
      <c r="C125" s="89">
        <v>77.94</v>
      </c>
      <c r="D125" s="89">
        <v>77.42</v>
      </c>
      <c r="E125" s="330">
        <v>78.28</v>
      </c>
      <c r="F125" s="89">
        <v>78.39</v>
      </c>
      <c r="G125" s="89">
        <v>78.55</v>
      </c>
      <c r="H125" s="89">
        <v>76.400000000000006</v>
      </c>
      <c r="I125" s="89">
        <v>78.78</v>
      </c>
      <c r="J125" s="89">
        <v>78.12</v>
      </c>
    </row>
    <row r="126" spans="1:10" x14ac:dyDescent="0.25">
      <c r="A126" s="329" t="s">
        <v>675</v>
      </c>
      <c r="B126" s="89">
        <v>78.23</v>
      </c>
      <c r="C126" s="89">
        <v>78.27</v>
      </c>
      <c r="D126" s="89">
        <v>77.739999999999995</v>
      </c>
      <c r="E126" s="330">
        <v>78.55</v>
      </c>
      <c r="F126" s="89">
        <v>78.67</v>
      </c>
      <c r="G126" s="89">
        <v>78.88</v>
      </c>
      <c r="H126" s="89">
        <v>76.760000000000005</v>
      </c>
      <c r="I126" s="89">
        <v>79.05</v>
      </c>
      <c r="J126" s="89">
        <v>78.349999999999994</v>
      </c>
    </row>
    <row r="127" spans="1:10" x14ac:dyDescent="0.25">
      <c r="A127" s="329" t="s">
        <v>676</v>
      </c>
      <c r="B127" s="89">
        <v>78.59</v>
      </c>
      <c r="C127" s="89">
        <v>78.599999999999994</v>
      </c>
      <c r="D127" s="89">
        <v>78.069999999999993</v>
      </c>
      <c r="E127" s="330">
        <v>78.930000000000007</v>
      </c>
      <c r="F127" s="89">
        <v>79.010000000000005</v>
      </c>
      <c r="G127" s="89">
        <v>79.260000000000005</v>
      </c>
      <c r="H127" s="89">
        <v>77.05</v>
      </c>
      <c r="I127" s="89">
        <v>79.430000000000007</v>
      </c>
      <c r="J127" s="89">
        <v>78.75</v>
      </c>
    </row>
    <row r="128" spans="1:10" x14ac:dyDescent="0.25">
      <c r="A128" s="329" t="s">
        <v>677</v>
      </c>
      <c r="B128" s="89">
        <v>78.88</v>
      </c>
      <c r="C128" s="89">
        <v>78.92</v>
      </c>
      <c r="D128" s="89">
        <v>78.42</v>
      </c>
      <c r="E128" s="330">
        <v>79.28</v>
      </c>
      <c r="F128" s="89">
        <v>79.37</v>
      </c>
      <c r="G128" s="89">
        <v>79.59</v>
      </c>
      <c r="H128" s="89">
        <v>77.33</v>
      </c>
      <c r="I128" s="89">
        <v>79.78</v>
      </c>
      <c r="J128" s="89">
        <v>79</v>
      </c>
    </row>
    <row r="129" spans="1:10" x14ac:dyDescent="0.25">
      <c r="A129" s="329" t="s">
        <v>678</v>
      </c>
      <c r="B129" s="89">
        <v>79.290000000000006</v>
      </c>
      <c r="C129" s="89">
        <v>79.28</v>
      </c>
      <c r="D129" s="89">
        <v>78.77</v>
      </c>
      <c r="E129" s="330">
        <v>79.59</v>
      </c>
      <c r="F129" s="89">
        <v>79.760000000000005</v>
      </c>
      <c r="G129" s="89">
        <v>79.989999999999995</v>
      </c>
      <c r="H129" s="89">
        <v>77.709999999999994</v>
      </c>
      <c r="I129" s="89">
        <v>80.05</v>
      </c>
      <c r="J129" s="89">
        <v>79.400000000000006</v>
      </c>
    </row>
    <row r="130" spans="1:10" x14ac:dyDescent="0.25">
      <c r="A130" s="329" t="s">
        <v>679</v>
      </c>
      <c r="B130" s="89">
        <v>79.62</v>
      </c>
      <c r="C130" s="89">
        <v>79.599999999999994</v>
      </c>
      <c r="D130" s="89">
        <v>79.099999999999994</v>
      </c>
      <c r="E130" s="330">
        <v>79.92</v>
      </c>
      <c r="F130" s="89">
        <v>80.040000000000006</v>
      </c>
      <c r="G130" s="89">
        <v>80.28</v>
      </c>
      <c r="H130" s="89">
        <v>78.010000000000005</v>
      </c>
      <c r="I130" s="89">
        <v>80.42</v>
      </c>
      <c r="J130" s="89">
        <v>79.75</v>
      </c>
    </row>
    <row r="131" spans="1:10" x14ac:dyDescent="0.25">
      <c r="A131" s="329" t="s">
        <v>680</v>
      </c>
      <c r="B131" s="89">
        <v>79.94</v>
      </c>
      <c r="C131" s="89">
        <v>79.98</v>
      </c>
      <c r="D131" s="89">
        <v>79.430000000000007</v>
      </c>
      <c r="E131" s="330">
        <v>80.319999999999993</v>
      </c>
      <c r="F131" s="89">
        <v>80.349999999999994</v>
      </c>
      <c r="G131" s="89">
        <v>80.599999999999994</v>
      </c>
      <c r="H131" s="89">
        <v>78.400000000000006</v>
      </c>
      <c r="I131" s="89">
        <v>80.77</v>
      </c>
      <c r="J131" s="89">
        <v>80.08</v>
      </c>
    </row>
    <row r="132" spans="1:10" x14ac:dyDescent="0.25">
      <c r="A132" s="329" t="s">
        <v>681</v>
      </c>
      <c r="B132" s="89">
        <v>80.2</v>
      </c>
      <c r="C132" s="89">
        <v>80.2</v>
      </c>
      <c r="D132" s="89">
        <v>79.73</v>
      </c>
      <c r="E132" s="330">
        <v>80.569999999999993</v>
      </c>
      <c r="F132" s="89">
        <v>80.63</v>
      </c>
      <c r="G132" s="89">
        <v>80.87</v>
      </c>
      <c r="H132" s="89">
        <v>78.66</v>
      </c>
      <c r="I132" s="89">
        <v>81.09</v>
      </c>
      <c r="J132" s="89">
        <v>80.37</v>
      </c>
    </row>
    <row r="133" spans="1:10" x14ac:dyDescent="0.25">
      <c r="A133" s="329" t="s">
        <v>682</v>
      </c>
      <c r="B133" s="89">
        <v>80.56</v>
      </c>
      <c r="C133" s="89">
        <v>80.599999999999994</v>
      </c>
      <c r="D133" s="89">
        <v>80.069999999999993</v>
      </c>
      <c r="E133" s="330">
        <v>80.89</v>
      </c>
      <c r="F133" s="89">
        <v>80.98</v>
      </c>
      <c r="G133" s="89">
        <v>81.290000000000006</v>
      </c>
      <c r="H133" s="89">
        <v>79</v>
      </c>
      <c r="I133" s="89">
        <v>81.45</v>
      </c>
      <c r="J133" s="89">
        <v>80.709999999999994</v>
      </c>
    </row>
    <row r="134" spans="1:10" x14ac:dyDescent="0.25">
      <c r="A134" s="329" t="s">
        <v>683</v>
      </c>
      <c r="B134" s="89">
        <v>80.97</v>
      </c>
      <c r="C134" s="89">
        <v>80.95</v>
      </c>
      <c r="D134" s="89">
        <v>80.42</v>
      </c>
      <c r="E134" s="330">
        <v>81.28</v>
      </c>
      <c r="F134" s="89">
        <v>81.319999999999993</v>
      </c>
      <c r="G134" s="89">
        <v>81.66</v>
      </c>
      <c r="H134" s="89">
        <v>79.31</v>
      </c>
      <c r="I134" s="89">
        <v>81.83</v>
      </c>
      <c r="J134" s="89">
        <v>81.09</v>
      </c>
    </row>
    <row r="135" spans="1:10" x14ac:dyDescent="0.25">
      <c r="A135" s="329" t="s">
        <v>684</v>
      </c>
      <c r="B135" s="89">
        <v>81.34</v>
      </c>
      <c r="C135" s="89">
        <v>81.39</v>
      </c>
      <c r="D135" s="89">
        <v>80.8</v>
      </c>
      <c r="E135" s="330">
        <v>81.66</v>
      </c>
      <c r="F135" s="89">
        <v>81.739999999999995</v>
      </c>
      <c r="G135" s="89">
        <v>81.99</v>
      </c>
      <c r="H135" s="89">
        <v>79.72</v>
      </c>
      <c r="I135" s="89">
        <v>82.21</v>
      </c>
      <c r="J135" s="89">
        <v>81.47</v>
      </c>
    </row>
    <row r="136" spans="1:10" x14ac:dyDescent="0.25">
      <c r="A136" s="329" t="s">
        <v>685</v>
      </c>
      <c r="B136" s="89">
        <v>81.69</v>
      </c>
      <c r="C136" s="89">
        <v>81.73</v>
      </c>
      <c r="D136" s="89">
        <v>81.099999999999994</v>
      </c>
      <c r="E136" s="330">
        <v>81.96</v>
      </c>
      <c r="F136" s="89">
        <v>82.02</v>
      </c>
      <c r="G136" s="89">
        <v>82.44</v>
      </c>
      <c r="H136" s="89">
        <v>80.03</v>
      </c>
      <c r="I136" s="89">
        <v>82.5</v>
      </c>
      <c r="J136" s="89">
        <v>81.790000000000006</v>
      </c>
    </row>
    <row r="137" spans="1:10" x14ac:dyDescent="0.25">
      <c r="A137" s="329" t="s">
        <v>686</v>
      </c>
      <c r="B137" s="89">
        <v>81.98</v>
      </c>
      <c r="C137" s="89">
        <v>82.03</v>
      </c>
      <c r="D137" s="89">
        <v>81.5</v>
      </c>
      <c r="E137" s="330">
        <v>82.31</v>
      </c>
      <c r="F137" s="89">
        <v>82.34</v>
      </c>
      <c r="G137" s="89">
        <v>82.68</v>
      </c>
      <c r="H137" s="89">
        <v>80.31</v>
      </c>
      <c r="I137" s="89">
        <v>82.82</v>
      </c>
      <c r="J137" s="89">
        <v>82.09</v>
      </c>
    </row>
    <row r="138" spans="1:10" x14ac:dyDescent="0.25">
      <c r="A138" s="329" t="s">
        <v>687</v>
      </c>
      <c r="B138" s="89">
        <v>82.06</v>
      </c>
      <c r="C138" s="89">
        <v>82.1</v>
      </c>
      <c r="D138" s="89">
        <v>81.650000000000006</v>
      </c>
      <c r="E138" s="330">
        <v>82.41</v>
      </c>
      <c r="F138" s="89">
        <v>82.53</v>
      </c>
      <c r="G138" s="89">
        <v>82.76</v>
      </c>
      <c r="H138" s="89">
        <v>80.650000000000006</v>
      </c>
      <c r="I138" s="89">
        <v>82.89</v>
      </c>
      <c r="J138" s="89">
        <v>82.24</v>
      </c>
    </row>
    <row r="139" spans="1:10" x14ac:dyDescent="0.25">
      <c r="A139" s="329" t="s">
        <v>688</v>
      </c>
      <c r="B139" s="89">
        <v>82.14</v>
      </c>
      <c r="C139" s="89">
        <v>82.18</v>
      </c>
      <c r="D139" s="89">
        <v>81.650000000000006</v>
      </c>
      <c r="E139" s="330">
        <v>82.4</v>
      </c>
      <c r="F139" s="89">
        <v>82.44</v>
      </c>
      <c r="G139" s="89">
        <v>82.74</v>
      </c>
      <c r="H139" s="89">
        <v>80.78</v>
      </c>
      <c r="I139" s="89">
        <v>82.83</v>
      </c>
      <c r="J139" s="89">
        <v>82.2</v>
      </c>
    </row>
    <row r="140" spans="1:10" x14ac:dyDescent="0.25">
      <c r="A140" s="329" t="s">
        <v>689</v>
      </c>
      <c r="B140" s="89">
        <v>82.01</v>
      </c>
      <c r="C140" s="89">
        <v>81.96</v>
      </c>
      <c r="D140" s="89">
        <v>81.63</v>
      </c>
      <c r="E140" s="330">
        <v>82.25</v>
      </c>
      <c r="F140" s="89">
        <v>82.25</v>
      </c>
      <c r="G140" s="89">
        <v>82.6</v>
      </c>
      <c r="H140" s="89">
        <v>80.89</v>
      </c>
      <c r="I140" s="89">
        <v>82.63</v>
      </c>
      <c r="J140" s="89">
        <v>82.13</v>
      </c>
    </row>
    <row r="141" spans="1:10" x14ac:dyDescent="0.25">
      <c r="A141" s="329" t="s">
        <v>690</v>
      </c>
      <c r="B141" s="89">
        <v>81.91</v>
      </c>
      <c r="C141" s="89">
        <v>81.92</v>
      </c>
      <c r="D141" s="89">
        <v>81.540000000000006</v>
      </c>
      <c r="E141" s="330">
        <v>82.09</v>
      </c>
      <c r="F141" s="89">
        <v>82.1</v>
      </c>
      <c r="G141" s="89">
        <v>82.47</v>
      </c>
      <c r="H141" s="89">
        <v>80.91</v>
      </c>
      <c r="I141" s="89">
        <v>82.39</v>
      </c>
      <c r="J141" s="89">
        <v>81.96</v>
      </c>
    </row>
    <row r="142" spans="1:10" x14ac:dyDescent="0.25">
      <c r="A142" s="329" t="s">
        <v>691</v>
      </c>
      <c r="B142" s="89">
        <v>81.7</v>
      </c>
      <c r="C142" s="89">
        <v>81.72</v>
      </c>
      <c r="D142" s="89">
        <v>81.41</v>
      </c>
      <c r="E142" s="330">
        <v>81.86</v>
      </c>
      <c r="F142" s="89">
        <v>81.91</v>
      </c>
      <c r="G142" s="89">
        <v>82.22</v>
      </c>
      <c r="H142" s="89">
        <v>80.89</v>
      </c>
      <c r="I142" s="89">
        <v>82.19</v>
      </c>
      <c r="J142" s="89">
        <v>81.8</v>
      </c>
    </row>
    <row r="143" spans="1:10" x14ac:dyDescent="0.25">
      <c r="A143" s="329" t="s">
        <v>692</v>
      </c>
      <c r="B143" s="89">
        <v>81.64</v>
      </c>
      <c r="C143" s="89">
        <v>81.59</v>
      </c>
      <c r="D143" s="89">
        <v>81.34</v>
      </c>
      <c r="E143" s="330">
        <v>81.760000000000005</v>
      </c>
      <c r="F143" s="89">
        <v>81.75</v>
      </c>
      <c r="G143" s="89">
        <v>82.13</v>
      </c>
      <c r="H143" s="89">
        <v>80.87</v>
      </c>
      <c r="I143" s="89">
        <v>82.02</v>
      </c>
      <c r="J143" s="89">
        <v>81.66</v>
      </c>
    </row>
    <row r="144" spans="1:10" x14ac:dyDescent="0.25">
      <c r="A144" s="329" t="s">
        <v>693</v>
      </c>
      <c r="B144" s="89">
        <v>81.45</v>
      </c>
      <c r="C144" s="89">
        <v>81.45</v>
      </c>
      <c r="D144" s="89">
        <v>81.2</v>
      </c>
      <c r="E144" s="330">
        <v>81.59</v>
      </c>
      <c r="F144" s="89">
        <v>81.58</v>
      </c>
      <c r="G144" s="89">
        <v>82.02</v>
      </c>
      <c r="H144" s="89">
        <v>80.88</v>
      </c>
      <c r="I144" s="89">
        <v>81.81</v>
      </c>
      <c r="J144" s="89">
        <v>81.510000000000005</v>
      </c>
    </row>
    <row r="145" spans="1:10" x14ac:dyDescent="0.25">
      <c r="A145" s="329" t="s">
        <v>694</v>
      </c>
      <c r="B145" s="89">
        <v>81.349999999999994</v>
      </c>
      <c r="C145" s="89">
        <v>81.260000000000005</v>
      </c>
      <c r="D145" s="89">
        <v>81.13</v>
      </c>
      <c r="E145" s="330">
        <v>81.400000000000006</v>
      </c>
      <c r="F145" s="89">
        <v>81.38</v>
      </c>
      <c r="G145" s="89">
        <v>81.87</v>
      </c>
      <c r="H145" s="89">
        <v>80.89</v>
      </c>
      <c r="I145" s="89">
        <v>81.69</v>
      </c>
      <c r="J145" s="89">
        <v>81.39</v>
      </c>
    </row>
    <row r="146" spans="1:10" x14ac:dyDescent="0.25">
      <c r="A146" s="329" t="s">
        <v>695</v>
      </c>
      <c r="B146" s="89">
        <v>81.27</v>
      </c>
      <c r="C146" s="89">
        <v>81.25</v>
      </c>
      <c r="D146" s="89">
        <v>81.069999999999993</v>
      </c>
      <c r="E146" s="330">
        <v>81.319999999999993</v>
      </c>
      <c r="F146" s="89">
        <v>81.31</v>
      </c>
      <c r="G146" s="89">
        <v>81.81</v>
      </c>
      <c r="H146" s="89">
        <v>80.89</v>
      </c>
      <c r="I146" s="89">
        <v>81.56</v>
      </c>
      <c r="J146" s="89">
        <v>81.31</v>
      </c>
    </row>
    <row r="147" spans="1:10" x14ac:dyDescent="0.25">
      <c r="A147" s="329" t="s">
        <v>696</v>
      </c>
      <c r="B147" s="89">
        <v>81.17</v>
      </c>
      <c r="C147" s="89">
        <v>81.180000000000007</v>
      </c>
      <c r="D147" s="89">
        <v>80.97</v>
      </c>
      <c r="E147" s="330">
        <v>81.22</v>
      </c>
      <c r="F147" s="89">
        <v>81.180000000000007</v>
      </c>
      <c r="G147" s="89">
        <v>81.680000000000007</v>
      </c>
      <c r="H147" s="89">
        <v>80.88</v>
      </c>
      <c r="I147" s="89">
        <v>81.44</v>
      </c>
      <c r="J147" s="89">
        <v>81.23</v>
      </c>
    </row>
    <row r="148" spans="1:10" x14ac:dyDescent="0.25">
      <c r="A148" s="329" t="s">
        <v>697</v>
      </c>
      <c r="B148" s="89">
        <v>81.099999999999994</v>
      </c>
      <c r="C148" s="89">
        <v>81.06</v>
      </c>
      <c r="D148" s="89">
        <v>80.92</v>
      </c>
      <c r="E148" s="330">
        <v>81.14</v>
      </c>
      <c r="F148" s="89">
        <v>81.099999999999994</v>
      </c>
      <c r="G148" s="89">
        <v>81.59</v>
      </c>
      <c r="H148" s="89">
        <v>80.89</v>
      </c>
      <c r="I148" s="89">
        <v>81.34</v>
      </c>
      <c r="J148" s="89">
        <v>81.13</v>
      </c>
    </row>
    <row r="149" spans="1:10" x14ac:dyDescent="0.25">
      <c r="A149" s="329" t="s">
        <v>698</v>
      </c>
      <c r="B149" s="89">
        <v>81.06</v>
      </c>
      <c r="C149" s="89">
        <v>81.02</v>
      </c>
      <c r="D149" s="89">
        <v>80.87</v>
      </c>
      <c r="E149" s="330">
        <v>81.12</v>
      </c>
      <c r="F149" s="89">
        <v>81.069999999999993</v>
      </c>
      <c r="G149" s="89">
        <v>81.58</v>
      </c>
      <c r="H149" s="89">
        <v>80.91</v>
      </c>
      <c r="I149" s="89">
        <v>81.31</v>
      </c>
      <c r="J149" s="89">
        <v>81.09</v>
      </c>
    </row>
    <row r="150" spans="1:10" x14ac:dyDescent="0.25">
      <c r="A150" s="329" t="s">
        <v>699</v>
      </c>
      <c r="B150" s="89">
        <v>81.03</v>
      </c>
      <c r="C150" s="89">
        <v>80.97</v>
      </c>
      <c r="D150" s="89">
        <v>80.900000000000006</v>
      </c>
      <c r="E150" s="330">
        <v>81.040000000000006</v>
      </c>
      <c r="F150" s="89">
        <v>81.05</v>
      </c>
      <c r="G150" s="89">
        <v>81.52</v>
      </c>
      <c r="H150" s="89">
        <v>80.87</v>
      </c>
      <c r="I150" s="89">
        <v>81.23</v>
      </c>
      <c r="J150" s="89">
        <v>81.06</v>
      </c>
    </row>
    <row r="151" spans="1:10" x14ac:dyDescent="0.25">
      <c r="A151" s="329" t="s">
        <v>700</v>
      </c>
      <c r="B151" s="89">
        <v>81.03</v>
      </c>
      <c r="C151" s="89">
        <v>80.959999999999994</v>
      </c>
      <c r="D151" s="89">
        <v>80.87</v>
      </c>
      <c r="E151" s="330">
        <v>81</v>
      </c>
      <c r="F151" s="89">
        <v>80.989999999999995</v>
      </c>
      <c r="G151" s="89">
        <v>81.459999999999994</v>
      </c>
      <c r="H151" s="89">
        <v>80.849999999999994</v>
      </c>
      <c r="I151" s="89">
        <v>81.17</v>
      </c>
      <c r="J151" s="89">
        <v>81.05</v>
      </c>
    </row>
    <row r="152" spans="1:10" x14ac:dyDescent="0.25">
      <c r="A152" s="329" t="s">
        <v>701</v>
      </c>
      <c r="B152" s="89">
        <v>80.98</v>
      </c>
      <c r="C152" s="89">
        <v>80.930000000000007</v>
      </c>
      <c r="D152" s="89">
        <v>80.819999999999993</v>
      </c>
      <c r="E152" s="330">
        <v>80.989999999999995</v>
      </c>
      <c r="F152" s="89">
        <v>80.95</v>
      </c>
      <c r="G152" s="89">
        <v>81.44</v>
      </c>
      <c r="H152" s="89">
        <v>80.88</v>
      </c>
      <c r="I152" s="89">
        <v>81.17</v>
      </c>
      <c r="J152" s="89">
        <v>80.98</v>
      </c>
    </row>
    <row r="153" spans="1:10" x14ac:dyDescent="0.25">
      <c r="A153" s="329" t="s">
        <v>702</v>
      </c>
      <c r="B153" s="89">
        <v>80.97</v>
      </c>
      <c r="C153" s="89">
        <v>80.930000000000007</v>
      </c>
      <c r="D153" s="89">
        <v>80.84</v>
      </c>
      <c r="E153" s="330">
        <v>80.98</v>
      </c>
      <c r="F153" s="89">
        <v>81.02</v>
      </c>
      <c r="G153" s="89">
        <v>81.42</v>
      </c>
      <c r="H153" s="89">
        <v>80.819999999999993</v>
      </c>
      <c r="I153" s="89">
        <v>81.180000000000007</v>
      </c>
      <c r="J153" s="89">
        <v>80.94</v>
      </c>
    </row>
    <row r="154" spans="1:10" x14ac:dyDescent="0.25">
      <c r="A154" s="329" t="s">
        <v>703</v>
      </c>
      <c r="B154" s="89">
        <v>81.010000000000005</v>
      </c>
      <c r="C154" s="89">
        <v>80.95</v>
      </c>
      <c r="D154" s="89">
        <v>80.87</v>
      </c>
      <c r="E154" s="330">
        <v>81.02</v>
      </c>
      <c r="F154" s="89">
        <v>80.959999999999994</v>
      </c>
      <c r="G154" s="89">
        <v>81.489999999999995</v>
      </c>
      <c r="H154" s="89">
        <v>80.86</v>
      </c>
      <c r="I154" s="89">
        <v>81.19</v>
      </c>
      <c r="J154" s="89">
        <v>80.959999999999994</v>
      </c>
    </row>
    <row r="155" spans="1:10" x14ac:dyDescent="0.25">
      <c r="A155" s="329" t="s">
        <v>704</v>
      </c>
      <c r="B155" s="89">
        <v>81</v>
      </c>
      <c r="C155" s="89">
        <v>80.94</v>
      </c>
      <c r="D155" s="89">
        <v>80.86</v>
      </c>
      <c r="E155" s="330">
        <v>80.989999999999995</v>
      </c>
      <c r="F155" s="89">
        <v>80.95</v>
      </c>
      <c r="G155" s="89">
        <v>81.5</v>
      </c>
      <c r="H155" s="89">
        <v>80.88</v>
      </c>
      <c r="I155" s="89">
        <v>81.13</v>
      </c>
      <c r="J155" s="89">
        <v>80.989999999999995</v>
      </c>
    </row>
    <row r="156" spans="1:10" x14ac:dyDescent="0.25">
      <c r="A156" s="329" t="s">
        <v>705</v>
      </c>
      <c r="B156" s="89">
        <v>80.989999999999995</v>
      </c>
      <c r="C156" s="89">
        <v>80.94</v>
      </c>
      <c r="D156" s="89">
        <v>80.81</v>
      </c>
      <c r="E156" s="330">
        <v>80.989999999999995</v>
      </c>
      <c r="F156" s="89">
        <v>80.930000000000007</v>
      </c>
      <c r="G156" s="89">
        <v>81.430000000000007</v>
      </c>
      <c r="H156" s="89">
        <v>80.849999999999994</v>
      </c>
      <c r="I156" s="89">
        <v>81.12</v>
      </c>
      <c r="J156" s="89">
        <v>80.95</v>
      </c>
    </row>
    <row r="157" spans="1:10" x14ac:dyDescent="0.25">
      <c r="A157" s="329" t="s">
        <v>706</v>
      </c>
      <c r="B157" s="89">
        <v>81</v>
      </c>
      <c r="C157" s="89">
        <v>80.900000000000006</v>
      </c>
      <c r="D157" s="89">
        <v>80.83</v>
      </c>
      <c r="E157" s="330">
        <v>80.95</v>
      </c>
      <c r="F157" s="89">
        <v>80.88</v>
      </c>
      <c r="G157" s="89">
        <v>81.36</v>
      </c>
      <c r="H157" s="89">
        <v>80.86</v>
      </c>
      <c r="I157" s="89">
        <v>81.05</v>
      </c>
      <c r="J157" s="89">
        <v>80.930000000000007</v>
      </c>
    </row>
    <row r="158" spans="1:10" x14ac:dyDescent="0.25">
      <c r="A158" s="329" t="s">
        <v>707</v>
      </c>
      <c r="B158" s="89">
        <v>80.95</v>
      </c>
      <c r="C158" s="89">
        <v>80.92</v>
      </c>
      <c r="D158" s="89">
        <v>80.81</v>
      </c>
      <c r="E158" s="330">
        <v>80.91</v>
      </c>
      <c r="F158" s="89">
        <v>80.930000000000007</v>
      </c>
      <c r="G158" s="89">
        <v>81.39</v>
      </c>
      <c r="H158" s="89">
        <v>80.86</v>
      </c>
      <c r="I158" s="89">
        <v>81.069999999999993</v>
      </c>
      <c r="J158" s="89">
        <v>80.94</v>
      </c>
    </row>
    <row r="159" spans="1:10" x14ac:dyDescent="0.25">
      <c r="A159" s="329" t="s">
        <v>708</v>
      </c>
      <c r="B159" s="89">
        <v>81.010000000000005</v>
      </c>
      <c r="C159" s="89">
        <v>80.89</v>
      </c>
      <c r="D159" s="89">
        <v>80.819999999999993</v>
      </c>
      <c r="E159" s="330">
        <v>80.94</v>
      </c>
      <c r="F159" s="89">
        <v>80.900000000000006</v>
      </c>
      <c r="G159" s="89">
        <v>81.37</v>
      </c>
      <c r="H159" s="89">
        <v>80.87</v>
      </c>
      <c r="I159" s="89">
        <v>81.08</v>
      </c>
      <c r="J159" s="89">
        <v>80.94</v>
      </c>
    </row>
    <row r="160" spans="1:10" x14ac:dyDescent="0.25">
      <c r="A160" s="329" t="s">
        <v>709</v>
      </c>
      <c r="B160" s="89">
        <v>80.95</v>
      </c>
      <c r="C160" s="89">
        <v>80.900000000000006</v>
      </c>
      <c r="D160" s="89">
        <v>80.849999999999994</v>
      </c>
      <c r="E160" s="330">
        <v>80.959999999999994</v>
      </c>
      <c r="F160" s="89">
        <v>80.94</v>
      </c>
      <c r="G160" s="89">
        <v>81.41</v>
      </c>
      <c r="H160" s="89">
        <v>80.88</v>
      </c>
      <c r="I160" s="89">
        <v>81.069999999999993</v>
      </c>
      <c r="J160" s="89">
        <v>80.91</v>
      </c>
    </row>
    <row r="161" spans="1:10" x14ac:dyDescent="0.25">
      <c r="A161" s="329" t="s">
        <v>710</v>
      </c>
      <c r="B161" s="89">
        <v>80.930000000000007</v>
      </c>
      <c r="C161" s="89">
        <v>80.88</v>
      </c>
      <c r="D161" s="89">
        <v>80.819999999999993</v>
      </c>
      <c r="E161" s="330">
        <v>80.89</v>
      </c>
      <c r="F161" s="89">
        <v>80.84</v>
      </c>
      <c r="G161" s="89">
        <v>81.37</v>
      </c>
      <c r="H161" s="89">
        <v>80.849999999999994</v>
      </c>
      <c r="I161" s="89">
        <v>80.98</v>
      </c>
      <c r="J161" s="89">
        <v>80.89</v>
      </c>
    </row>
    <row r="162" spans="1:10" x14ac:dyDescent="0.25">
      <c r="A162" s="329" t="s">
        <v>711</v>
      </c>
      <c r="B162" s="89">
        <v>81.040000000000006</v>
      </c>
      <c r="C162" s="89">
        <v>80.930000000000007</v>
      </c>
      <c r="D162" s="89">
        <v>80.89</v>
      </c>
      <c r="E162" s="330">
        <v>80.959999999999994</v>
      </c>
      <c r="F162" s="89">
        <v>80.930000000000007</v>
      </c>
      <c r="G162" s="89">
        <v>81.42</v>
      </c>
      <c r="H162" s="89">
        <v>80.87</v>
      </c>
      <c r="I162" s="89">
        <v>81.08</v>
      </c>
      <c r="J162" s="89">
        <v>80.930000000000007</v>
      </c>
    </row>
    <row r="163" spans="1:10" x14ac:dyDescent="0.25">
      <c r="A163" s="329" t="s">
        <v>712</v>
      </c>
      <c r="B163" s="89">
        <v>81.02</v>
      </c>
      <c r="C163" s="89">
        <v>80.94</v>
      </c>
      <c r="D163" s="89">
        <v>80.89</v>
      </c>
      <c r="E163" s="330">
        <v>80.989999999999995</v>
      </c>
      <c r="F163" s="89">
        <v>80.91</v>
      </c>
      <c r="G163" s="89">
        <v>81.44</v>
      </c>
      <c r="H163" s="89">
        <v>80.89</v>
      </c>
      <c r="I163" s="89">
        <v>81.11</v>
      </c>
      <c r="J163" s="89">
        <v>81.010000000000005</v>
      </c>
    </row>
    <row r="164" spans="1:10" x14ac:dyDescent="0.25">
      <c r="A164" s="329" t="s">
        <v>713</v>
      </c>
      <c r="B164" s="89">
        <v>81.05</v>
      </c>
      <c r="C164" s="89">
        <v>80.94</v>
      </c>
      <c r="D164" s="89">
        <v>80.900000000000006</v>
      </c>
      <c r="E164" s="330">
        <v>80.97</v>
      </c>
      <c r="F164" s="89">
        <v>80.94</v>
      </c>
      <c r="G164" s="89">
        <v>81.400000000000006</v>
      </c>
      <c r="H164" s="89">
        <v>80.88</v>
      </c>
      <c r="I164" s="89">
        <v>81.09</v>
      </c>
      <c r="J164" s="89">
        <v>81</v>
      </c>
    </row>
    <row r="165" spans="1:10" x14ac:dyDescent="0.25">
      <c r="A165" s="329" t="s">
        <v>714</v>
      </c>
      <c r="B165" s="89">
        <v>81.010000000000005</v>
      </c>
      <c r="C165" s="89">
        <v>80.92</v>
      </c>
      <c r="D165" s="89">
        <v>80.86</v>
      </c>
      <c r="E165" s="330">
        <v>80.95</v>
      </c>
      <c r="F165" s="89">
        <v>80.92</v>
      </c>
      <c r="G165" s="89">
        <v>81.400000000000006</v>
      </c>
      <c r="H165" s="89">
        <v>80.87</v>
      </c>
      <c r="I165" s="89">
        <v>81.05</v>
      </c>
      <c r="J165" s="89">
        <v>80.92</v>
      </c>
    </row>
    <row r="166" spans="1:10" x14ac:dyDescent="0.25">
      <c r="A166" s="329" t="s">
        <v>715</v>
      </c>
      <c r="B166" s="89">
        <v>80.98</v>
      </c>
      <c r="C166" s="89">
        <v>80.91</v>
      </c>
      <c r="D166" s="89">
        <v>80.849999999999994</v>
      </c>
      <c r="E166" s="330">
        <v>80.95</v>
      </c>
      <c r="F166" s="89">
        <v>80.89</v>
      </c>
      <c r="G166" s="89">
        <v>81.37</v>
      </c>
      <c r="H166" s="89">
        <v>80.86</v>
      </c>
      <c r="I166" s="89">
        <v>81.040000000000006</v>
      </c>
      <c r="J166" s="89">
        <v>80.92</v>
      </c>
    </row>
    <row r="167" spans="1:10" x14ac:dyDescent="0.25">
      <c r="A167" s="329" t="s">
        <v>716</v>
      </c>
      <c r="B167" s="89">
        <v>80.989999999999995</v>
      </c>
      <c r="C167" s="89">
        <v>80.98</v>
      </c>
      <c r="D167" s="89">
        <v>80.900000000000006</v>
      </c>
      <c r="E167" s="330">
        <v>80.959999999999994</v>
      </c>
      <c r="F167" s="89">
        <v>80.95</v>
      </c>
      <c r="G167" s="89">
        <v>81.37</v>
      </c>
      <c r="H167" s="89">
        <v>80.88</v>
      </c>
      <c r="I167" s="89">
        <v>81.06</v>
      </c>
      <c r="J167" s="89">
        <v>80.91</v>
      </c>
    </row>
    <row r="168" spans="1:10" x14ac:dyDescent="0.25">
      <c r="A168" s="329" t="s">
        <v>717</v>
      </c>
      <c r="B168" s="89">
        <v>81.03</v>
      </c>
      <c r="C168" s="89">
        <v>80.930000000000007</v>
      </c>
      <c r="D168" s="89">
        <v>80.86</v>
      </c>
      <c r="E168" s="330">
        <v>80.92</v>
      </c>
      <c r="F168" s="89">
        <v>80.88</v>
      </c>
      <c r="G168" s="89">
        <v>81.36</v>
      </c>
      <c r="H168" s="89">
        <v>80.849999999999994</v>
      </c>
      <c r="I168" s="89">
        <v>81.03</v>
      </c>
      <c r="J168" s="89">
        <v>80.930000000000007</v>
      </c>
    </row>
    <row r="169" spans="1:10" x14ac:dyDescent="0.25">
      <c r="A169" s="329" t="s">
        <v>718</v>
      </c>
      <c r="B169" s="89">
        <v>80.959999999999994</v>
      </c>
      <c r="C169" s="89">
        <v>80.91</v>
      </c>
      <c r="D169" s="89">
        <v>80.819999999999993</v>
      </c>
      <c r="E169" s="330">
        <v>80.91</v>
      </c>
      <c r="F169" s="89">
        <v>80.91</v>
      </c>
      <c r="G169" s="89">
        <v>81.37</v>
      </c>
      <c r="H169" s="89">
        <v>80.900000000000006</v>
      </c>
      <c r="I169" s="89">
        <v>81.09</v>
      </c>
      <c r="J169" s="89">
        <v>80.98</v>
      </c>
    </row>
    <row r="170" spans="1:10" x14ac:dyDescent="0.25">
      <c r="A170" s="329" t="s">
        <v>719</v>
      </c>
      <c r="B170" s="89">
        <v>80.94</v>
      </c>
      <c r="C170" s="89">
        <v>80.88</v>
      </c>
      <c r="D170" s="89">
        <v>80.84</v>
      </c>
      <c r="E170" s="330">
        <v>80.88</v>
      </c>
      <c r="F170" s="89">
        <v>80.92</v>
      </c>
      <c r="G170" s="89">
        <v>81.37</v>
      </c>
      <c r="H170" s="89">
        <v>80.87</v>
      </c>
      <c r="I170" s="89">
        <v>81.05</v>
      </c>
      <c r="J170" s="89">
        <v>80.900000000000006</v>
      </c>
    </row>
    <row r="171" spans="1:10" x14ac:dyDescent="0.25">
      <c r="A171" s="329" t="s">
        <v>720</v>
      </c>
      <c r="B171" s="89">
        <v>80.97</v>
      </c>
      <c r="C171" s="89">
        <v>80.89</v>
      </c>
      <c r="D171" s="89">
        <v>80.819999999999993</v>
      </c>
      <c r="E171" s="330">
        <v>80.89</v>
      </c>
      <c r="F171" s="89">
        <v>80.89</v>
      </c>
      <c r="G171" s="89">
        <v>81.37</v>
      </c>
      <c r="H171" s="89">
        <v>80.86</v>
      </c>
      <c r="I171" s="89">
        <v>81.02</v>
      </c>
      <c r="J171" s="89">
        <v>80.91</v>
      </c>
    </row>
    <row r="172" spans="1:10" x14ac:dyDescent="0.25">
      <c r="A172" s="329" t="s">
        <v>721</v>
      </c>
      <c r="B172" s="89">
        <v>80.930000000000007</v>
      </c>
      <c r="C172" s="89">
        <v>80.94</v>
      </c>
      <c r="D172" s="89">
        <v>80.819999999999993</v>
      </c>
      <c r="E172" s="330">
        <v>80.87</v>
      </c>
      <c r="F172" s="89">
        <v>80.78</v>
      </c>
      <c r="G172" s="89">
        <v>81.41</v>
      </c>
      <c r="H172" s="89">
        <v>80.88</v>
      </c>
      <c r="I172" s="89">
        <v>81.05</v>
      </c>
      <c r="J172" s="89">
        <v>80.91</v>
      </c>
    </row>
    <row r="173" spans="1:10" x14ac:dyDescent="0.25">
      <c r="A173" s="329" t="s">
        <v>722</v>
      </c>
      <c r="B173" s="89">
        <v>80.989999999999995</v>
      </c>
      <c r="C173" s="89">
        <v>80.900000000000006</v>
      </c>
      <c r="D173" s="89">
        <v>80.849999999999994</v>
      </c>
      <c r="E173" s="330">
        <v>80.89</v>
      </c>
      <c r="F173" s="89">
        <v>80.89</v>
      </c>
      <c r="G173" s="89">
        <v>81.3</v>
      </c>
      <c r="H173" s="89">
        <v>80.849999999999994</v>
      </c>
      <c r="I173" s="89">
        <v>81.010000000000005</v>
      </c>
      <c r="J173" s="89">
        <v>80.89</v>
      </c>
    </row>
    <row r="174" spans="1:10" x14ac:dyDescent="0.25">
      <c r="A174" s="329" t="s">
        <v>723</v>
      </c>
      <c r="B174" s="89">
        <v>80.989999999999995</v>
      </c>
      <c r="C174" s="89">
        <v>80.87</v>
      </c>
      <c r="D174" s="89">
        <v>80.87</v>
      </c>
      <c r="E174" s="330">
        <v>80.900000000000006</v>
      </c>
      <c r="F174" s="89">
        <v>80.91</v>
      </c>
      <c r="G174" s="89">
        <v>81.34</v>
      </c>
      <c r="H174" s="89">
        <v>80.86</v>
      </c>
      <c r="I174" s="89">
        <v>81</v>
      </c>
      <c r="J174" s="89">
        <v>80.88</v>
      </c>
    </row>
    <row r="175" spans="1:10" x14ac:dyDescent="0.25">
      <c r="A175" s="329" t="s">
        <v>724</v>
      </c>
      <c r="B175" s="89">
        <v>80.94</v>
      </c>
      <c r="C175" s="89">
        <v>80.88</v>
      </c>
      <c r="D175" s="89">
        <v>80.81</v>
      </c>
      <c r="E175" s="330">
        <v>80.88</v>
      </c>
      <c r="F175" s="89">
        <v>80.91</v>
      </c>
      <c r="G175" s="89">
        <v>81.33</v>
      </c>
      <c r="H175" s="89">
        <v>80.86</v>
      </c>
      <c r="I175" s="89">
        <v>81.03</v>
      </c>
      <c r="J175" s="89">
        <v>80.87</v>
      </c>
    </row>
    <row r="176" spans="1:10" x14ac:dyDescent="0.25">
      <c r="A176" s="329" t="s">
        <v>725</v>
      </c>
      <c r="B176" s="89">
        <v>80.959999999999994</v>
      </c>
      <c r="C176" s="89">
        <v>80.89</v>
      </c>
      <c r="D176" s="89">
        <v>80.86</v>
      </c>
      <c r="E176" s="330">
        <v>80.88</v>
      </c>
      <c r="F176" s="89">
        <v>80.849999999999994</v>
      </c>
      <c r="G176" s="89">
        <v>81.36</v>
      </c>
      <c r="H176" s="89">
        <v>80.87</v>
      </c>
      <c r="I176" s="89">
        <v>81.040000000000006</v>
      </c>
      <c r="J176" s="89">
        <v>80.88</v>
      </c>
    </row>
    <row r="177" spans="1:10" x14ac:dyDescent="0.25">
      <c r="A177" s="329" t="s">
        <v>726</v>
      </c>
      <c r="B177" s="89">
        <v>81.02</v>
      </c>
      <c r="C177" s="89">
        <v>80.89</v>
      </c>
      <c r="D177" s="89">
        <v>80.86</v>
      </c>
      <c r="E177" s="330">
        <v>80.91</v>
      </c>
      <c r="F177" s="89">
        <v>80.88</v>
      </c>
      <c r="G177" s="89">
        <v>81.38</v>
      </c>
      <c r="H177" s="89">
        <v>80.89</v>
      </c>
      <c r="I177" s="89">
        <v>81.03</v>
      </c>
      <c r="J177" s="89">
        <v>80.930000000000007</v>
      </c>
    </row>
    <row r="178" spans="1:10" x14ac:dyDescent="0.25">
      <c r="A178" s="329" t="s">
        <v>727</v>
      </c>
      <c r="B178" s="89">
        <v>81.02</v>
      </c>
      <c r="C178" s="89">
        <v>80.86</v>
      </c>
      <c r="D178" s="89">
        <v>80.88</v>
      </c>
      <c r="E178" s="330">
        <v>80.89</v>
      </c>
      <c r="F178" s="89">
        <v>80.89</v>
      </c>
      <c r="G178" s="89">
        <v>81.33</v>
      </c>
      <c r="H178" s="89">
        <v>80.88</v>
      </c>
      <c r="I178" s="89">
        <v>80.98</v>
      </c>
      <c r="J178" s="89">
        <v>80.91</v>
      </c>
    </row>
    <row r="179" spans="1:10" x14ac:dyDescent="0.25">
      <c r="A179" s="329" t="s">
        <v>728</v>
      </c>
      <c r="B179" s="89">
        <v>80.989999999999995</v>
      </c>
      <c r="C179" s="89">
        <v>80.92</v>
      </c>
      <c r="D179" s="89">
        <v>80.84</v>
      </c>
      <c r="E179" s="330">
        <v>80.87</v>
      </c>
      <c r="F179" s="89">
        <v>80.92</v>
      </c>
      <c r="G179" s="89">
        <v>81.42</v>
      </c>
      <c r="H179" s="89">
        <v>80.91</v>
      </c>
      <c r="I179" s="89">
        <v>81.010000000000005</v>
      </c>
      <c r="J179" s="89">
        <v>80.92</v>
      </c>
    </row>
    <row r="180" spans="1:10" x14ac:dyDescent="0.25">
      <c r="A180" s="329" t="s">
        <v>729</v>
      </c>
      <c r="B180" s="89">
        <v>80.959999999999994</v>
      </c>
      <c r="C180" s="89">
        <v>80.92</v>
      </c>
      <c r="D180" s="89">
        <v>80.83</v>
      </c>
      <c r="E180" s="330">
        <v>80.88</v>
      </c>
      <c r="F180" s="89">
        <v>80.92</v>
      </c>
      <c r="G180" s="89">
        <v>81.34</v>
      </c>
      <c r="H180" s="89">
        <v>80.87</v>
      </c>
      <c r="I180" s="89">
        <v>81</v>
      </c>
      <c r="J180" s="89">
        <v>80.87</v>
      </c>
    </row>
    <row r="181" spans="1:10" x14ac:dyDescent="0.25">
      <c r="A181" s="329" t="s">
        <v>730</v>
      </c>
      <c r="B181" s="89">
        <v>81.08</v>
      </c>
      <c r="C181" s="89">
        <v>80.930000000000007</v>
      </c>
      <c r="D181" s="89">
        <v>80.88</v>
      </c>
      <c r="E181" s="330">
        <v>80.959999999999994</v>
      </c>
      <c r="F181" s="89">
        <v>81.03</v>
      </c>
      <c r="G181" s="89">
        <v>81.52</v>
      </c>
      <c r="H181" s="89">
        <v>80.91</v>
      </c>
      <c r="I181" s="89">
        <v>81.290000000000006</v>
      </c>
      <c r="J181" s="89">
        <v>80.97</v>
      </c>
    </row>
  </sheetData>
  <sheetProtection algorithmName="SHA-512" hashValue="aRnYp5f8wiQ4FL6KfGYnYIj6BAfxwGuFTDHfjVTd+njDuHcCBkUb5q5D/mmTbmxBbqVlcdcuSA3pMKHpqFGn2Q==" saltValue="sX8Y3fuj8HiQuyteGx1tQw==" spinCount="100000" sheet="1" objects="1" scenarios="1"/>
  <mergeCells count="1">
    <mergeCell ref="L9:O15"/>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63DD4-F79D-4EC3-AE4B-408247F8ABDB}">
  <sheetPr codeName="Feuil42">
    <tabColor rgb="FF002060"/>
  </sheetPr>
  <dimension ref="A1:O98"/>
  <sheetViews>
    <sheetView topLeftCell="A60" workbookViewId="0">
      <selection activeCell="D98" sqref="D69:D98"/>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17" t="s">
        <v>731</v>
      </c>
      <c r="B2">
        <v>163.13</v>
      </c>
      <c r="C2">
        <v>163.51</v>
      </c>
      <c r="D2">
        <v>159.65</v>
      </c>
      <c r="E2">
        <v>165.95</v>
      </c>
      <c r="F2">
        <v>165.79</v>
      </c>
      <c r="G2">
        <v>166.71</v>
      </c>
      <c r="H2">
        <v>149.13</v>
      </c>
      <c r="I2">
        <v>169.38</v>
      </c>
      <c r="J2">
        <v>164.55</v>
      </c>
    </row>
    <row r="3" spans="1:15" x14ac:dyDescent="0.25">
      <c r="A3" s="329" t="s">
        <v>732</v>
      </c>
      <c r="B3" s="89">
        <v>167.17</v>
      </c>
      <c r="C3" s="89">
        <v>167.41</v>
      </c>
      <c r="D3" s="89">
        <v>164.07</v>
      </c>
      <c r="E3" s="89">
        <v>170.34</v>
      </c>
      <c r="F3" s="89">
        <v>170.05</v>
      </c>
      <c r="G3" s="89">
        <v>171.2</v>
      </c>
      <c r="H3" s="89">
        <v>153.75</v>
      </c>
      <c r="I3" s="89">
        <v>173.71</v>
      </c>
      <c r="J3" s="89">
        <v>168.51</v>
      </c>
    </row>
    <row r="4" spans="1:15" x14ac:dyDescent="0.25">
      <c r="A4" s="329" t="s">
        <v>733</v>
      </c>
      <c r="B4" s="89">
        <v>171.44</v>
      </c>
      <c r="C4" s="89">
        <v>172.08</v>
      </c>
      <c r="D4" s="89">
        <v>168.3</v>
      </c>
      <c r="E4" s="89">
        <v>174.62</v>
      </c>
      <c r="F4" s="89">
        <v>174.4</v>
      </c>
      <c r="G4" s="89">
        <v>175.49</v>
      </c>
      <c r="H4" s="89">
        <v>158.44</v>
      </c>
      <c r="I4" s="89">
        <v>178.02</v>
      </c>
      <c r="J4" s="89">
        <v>172.82</v>
      </c>
    </row>
    <row r="5" spans="1:15" x14ac:dyDescent="0.25">
      <c r="A5" s="329" t="s">
        <v>734</v>
      </c>
      <c r="B5" s="89">
        <v>175.88</v>
      </c>
      <c r="C5" s="89">
        <v>176.39</v>
      </c>
      <c r="D5" s="89">
        <v>172.91</v>
      </c>
      <c r="E5" s="89">
        <v>178.8</v>
      </c>
      <c r="F5" s="89">
        <v>178.58</v>
      </c>
      <c r="G5" s="89">
        <v>179.7</v>
      </c>
      <c r="H5" s="89">
        <v>162.55000000000001</v>
      </c>
      <c r="I5" s="89">
        <v>182.17</v>
      </c>
      <c r="J5" s="89">
        <v>177.29</v>
      </c>
    </row>
    <row r="6" spans="1:15" x14ac:dyDescent="0.25">
      <c r="A6" s="329" t="s">
        <v>735</v>
      </c>
      <c r="B6" s="89">
        <v>180.2</v>
      </c>
      <c r="C6" s="89">
        <v>180.15</v>
      </c>
      <c r="D6" s="89">
        <v>177.07</v>
      </c>
      <c r="E6" s="89">
        <v>183.03</v>
      </c>
      <c r="F6" s="89">
        <v>182.83</v>
      </c>
      <c r="G6" s="89">
        <v>184.18</v>
      </c>
      <c r="H6" s="89">
        <v>166.83</v>
      </c>
      <c r="I6" s="89">
        <v>186.35</v>
      </c>
      <c r="J6" s="89">
        <v>181.44</v>
      </c>
    </row>
    <row r="7" spans="1:15" x14ac:dyDescent="0.25">
      <c r="A7" s="329" t="s">
        <v>736</v>
      </c>
      <c r="B7" s="89">
        <v>184.61</v>
      </c>
      <c r="C7" s="89">
        <v>184.68</v>
      </c>
      <c r="D7" s="89">
        <v>181.28</v>
      </c>
      <c r="E7" s="89">
        <v>187.17</v>
      </c>
      <c r="F7" s="89">
        <v>187.14</v>
      </c>
      <c r="G7" s="89">
        <v>188.46</v>
      </c>
      <c r="H7" s="89">
        <v>171.71</v>
      </c>
      <c r="I7" s="89">
        <v>190.44</v>
      </c>
      <c r="J7" s="89">
        <v>185.58</v>
      </c>
    </row>
    <row r="8" spans="1:15" ht="15.75" thickBot="1" x14ac:dyDescent="0.3">
      <c r="A8" s="329" t="s">
        <v>737</v>
      </c>
      <c r="B8" s="89">
        <v>188.2</v>
      </c>
      <c r="C8" s="89">
        <v>188.8</v>
      </c>
      <c r="D8" s="89">
        <v>185.37</v>
      </c>
      <c r="E8" s="89">
        <v>191.39</v>
      </c>
      <c r="F8" s="89">
        <v>190.95</v>
      </c>
      <c r="G8" s="89">
        <v>192.71</v>
      </c>
      <c r="H8" s="89">
        <v>175.64</v>
      </c>
      <c r="I8" s="89">
        <v>194.71</v>
      </c>
      <c r="J8" s="89">
        <v>189.75</v>
      </c>
    </row>
    <row r="9" spans="1:15" ht="14.45" customHeight="1" x14ac:dyDescent="0.25">
      <c r="A9" s="329" t="s">
        <v>738</v>
      </c>
      <c r="B9" s="89">
        <v>191.69</v>
      </c>
      <c r="C9" s="89">
        <v>192.37</v>
      </c>
      <c r="D9" s="89">
        <v>188.84</v>
      </c>
      <c r="E9" s="89">
        <v>194.52</v>
      </c>
      <c r="F9" s="89">
        <v>194.24</v>
      </c>
      <c r="G9" s="89">
        <v>195.48</v>
      </c>
      <c r="H9" s="89">
        <v>180.03</v>
      </c>
      <c r="I9" s="89">
        <v>197.6</v>
      </c>
      <c r="J9" s="89">
        <v>192.97</v>
      </c>
      <c r="L9" s="363" t="s">
        <v>540</v>
      </c>
      <c r="M9" s="364"/>
      <c r="N9" s="364"/>
      <c r="O9" s="365"/>
    </row>
    <row r="10" spans="1:15" ht="14.45" customHeight="1" x14ac:dyDescent="0.25">
      <c r="A10" s="329" t="s">
        <v>739</v>
      </c>
      <c r="B10" s="89">
        <v>192.59</v>
      </c>
      <c r="C10" s="89">
        <v>192.99</v>
      </c>
      <c r="D10" s="89">
        <v>190.12</v>
      </c>
      <c r="E10" s="89">
        <v>194.9</v>
      </c>
      <c r="F10" s="89">
        <v>194.68</v>
      </c>
      <c r="G10" s="89">
        <v>196.11</v>
      </c>
      <c r="H10" s="89">
        <v>182.31</v>
      </c>
      <c r="I10" s="89">
        <v>197.52</v>
      </c>
      <c r="J10" s="89">
        <v>193.71</v>
      </c>
      <c r="L10" s="366"/>
      <c r="M10" s="367"/>
      <c r="N10" s="367"/>
      <c r="O10" s="368"/>
    </row>
    <row r="11" spans="1:15" ht="14.45" customHeight="1" x14ac:dyDescent="0.25">
      <c r="A11" s="329" t="s">
        <v>740</v>
      </c>
      <c r="B11" s="89">
        <v>192.62</v>
      </c>
      <c r="C11" s="89">
        <v>192.81</v>
      </c>
      <c r="D11" s="89">
        <v>190.46</v>
      </c>
      <c r="E11" s="89">
        <v>194.69</v>
      </c>
      <c r="F11" s="89">
        <v>194.42</v>
      </c>
      <c r="G11" s="89">
        <v>195.85</v>
      </c>
      <c r="H11" s="89">
        <v>184.18</v>
      </c>
      <c r="I11" s="89">
        <v>196.94</v>
      </c>
      <c r="J11" s="89">
        <v>193.76</v>
      </c>
      <c r="L11" s="366"/>
      <c r="M11" s="367"/>
      <c r="N11" s="367"/>
      <c r="O11" s="368"/>
    </row>
    <row r="12" spans="1:15" ht="14.45" customHeight="1" x14ac:dyDescent="0.25">
      <c r="A12" s="329" t="s">
        <v>741</v>
      </c>
      <c r="B12" s="89">
        <v>192.61</v>
      </c>
      <c r="C12" s="89">
        <v>192.79</v>
      </c>
      <c r="D12" s="89">
        <v>190.73</v>
      </c>
      <c r="E12" s="89">
        <v>194.33</v>
      </c>
      <c r="F12" s="89">
        <v>194.25</v>
      </c>
      <c r="G12" s="89">
        <v>195.5</v>
      </c>
      <c r="H12" s="89">
        <v>185.47</v>
      </c>
      <c r="I12" s="89">
        <v>196.39</v>
      </c>
      <c r="J12" s="89">
        <v>193.49</v>
      </c>
      <c r="L12" s="366"/>
      <c r="M12" s="367"/>
      <c r="N12" s="367"/>
      <c r="O12" s="368"/>
    </row>
    <row r="13" spans="1:15" ht="14.45" customHeight="1" x14ac:dyDescent="0.25">
      <c r="A13" s="329" t="s">
        <v>742</v>
      </c>
      <c r="B13" s="89">
        <v>192.43</v>
      </c>
      <c r="C13" s="89">
        <v>192.27</v>
      </c>
      <c r="D13" s="89">
        <v>190.7</v>
      </c>
      <c r="E13" s="89">
        <v>193.55</v>
      </c>
      <c r="F13" s="89">
        <v>193.82</v>
      </c>
      <c r="G13" s="89">
        <v>194.99</v>
      </c>
      <c r="H13" s="89">
        <v>186.49</v>
      </c>
      <c r="I13" s="89">
        <v>195.2</v>
      </c>
      <c r="J13" s="89">
        <v>193.13</v>
      </c>
      <c r="L13" s="366"/>
      <c r="M13" s="367"/>
      <c r="N13" s="367"/>
      <c r="O13" s="368"/>
    </row>
    <row r="14" spans="1:15" ht="14.45" customHeight="1" x14ac:dyDescent="0.25">
      <c r="A14" s="329" t="s">
        <v>743</v>
      </c>
      <c r="B14" s="89">
        <v>191.96</v>
      </c>
      <c r="C14" s="89">
        <v>192.04</v>
      </c>
      <c r="D14" s="89">
        <v>190.57</v>
      </c>
      <c r="E14" s="89">
        <v>193.15</v>
      </c>
      <c r="F14" s="89">
        <v>193.22</v>
      </c>
      <c r="G14" s="89">
        <v>194.42</v>
      </c>
      <c r="H14" s="89">
        <v>187.23</v>
      </c>
      <c r="I14" s="89">
        <v>194.71</v>
      </c>
      <c r="J14" s="89">
        <v>192.72</v>
      </c>
      <c r="L14" s="366"/>
      <c r="M14" s="367"/>
      <c r="N14" s="367"/>
      <c r="O14" s="368"/>
    </row>
    <row r="15" spans="1:15" ht="15.75" thickBot="1" x14ac:dyDescent="0.3">
      <c r="A15" s="329" t="s">
        <v>744</v>
      </c>
      <c r="B15" s="89">
        <v>191.79</v>
      </c>
      <c r="C15" s="89">
        <v>191.96</v>
      </c>
      <c r="D15" s="89">
        <v>190.65</v>
      </c>
      <c r="E15" s="89">
        <v>192.89</v>
      </c>
      <c r="F15" s="89">
        <v>192.94</v>
      </c>
      <c r="G15" s="89">
        <v>194.14</v>
      </c>
      <c r="H15" s="89">
        <v>187.9</v>
      </c>
      <c r="I15" s="89">
        <v>194.3</v>
      </c>
      <c r="J15" s="89">
        <v>192.52</v>
      </c>
      <c r="L15" s="369"/>
      <c r="M15" s="370"/>
      <c r="N15" s="370"/>
      <c r="O15" s="371"/>
    </row>
    <row r="16" spans="1:15" x14ac:dyDescent="0.25">
      <c r="A16" s="329" t="s">
        <v>745</v>
      </c>
      <c r="B16" s="89">
        <v>191.75</v>
      </c>
      <c r="C16" s="89">
        <v>191.83</v>
      </c>
      <c r="D16" s="89">
        <v>190.64</v>
      </c>
      <c r="E16" s="89">
        <v>192.62</v>
      </c>
      <c r="F16" s="89">
        <v>192.77</v>
      </c>
      <c r="G16" s="89">
        <v>193.89</v>
      </c>
      <c r="H16" s="89">
        <v>188.45</v>
      </c>
      <c r="I16" s="89">
        <v>193.86</v>
      </c>
      <c r="J16" s="89">
        <v>192.27</v>
      </c>
    </row>
    <row r="17" spans="1:10" x14ac:dyDescent="0.25">
      <c r="A17" s="329" t="s">
        <v>746</v>
      </c>
      <c r="B17" s="89">
        <v>191.62</v>
      </c>
      <c r="C17" s="89">
        <v>191.61</v>
      </c>
      <c r="D17" s="89">
        <v>190.67</v>
      </c>
      <c r="E17" s="89">
        <v>192.35</v>
      </c>
      <c r="F17" s="89">
        <v>192.49</v>
      </c>
      <c r="G17" s="89">
        <v>193.62</v>
      </c>
      <c r="H17" s="89">
        <v>188.95</v>
      </c>
      <c r="I17" s="89">
        <v>193.4</v>
      </c>
      <c r="J17" s="89">
        <v>192.08</v>
      </c>
    </row>
    <row r="18" spans="1:10" x14ac:dyDescent="0.25">
      <c r="A18" s="329" t="s">
        <v>747</v>
      </c>
      <c r="B18" s="89">
        <v>191.5</v>
      </c>
      <c r="C18" s="89">
        <v>191.29</v>
      </c>
      <c r="D18" s="89">
        <v>190.64</v>
      </c>
      <c r="E18" s="89">
        <v>192.05</v>
      </c>
      <c r="F18" s="89">
        <v>192.31</v>
      </c>
      <c r="G18" s="89">
        <v>193.37</v>
      </c>
      <c r="H18" s="89">
        <v>189.15</v>
      </c>
      <c r="I18" s="89">
        <v>193.08</v>
      </c>
      <c r="J18" s="89">
        <v>191.9</v>
      </c>
    </row>
    <row r="19" spans="1:10" x14ac:dyDescent="0.25">
      <c r="A19" s="329" t="s">
        <v>748</v>
      </c>
      <c r="B19" s="89">
        <v>191.32</v>
      </c>
      <c r="C19" s="89">
        <v>191.23</v>
      </c>
      <c r="D19" s="89">
        <v>190.52</v>
      </c>
      <c r="E19" s="89">
        <v>191.8</v>
      </c>
      <c r="F19" s="89">
        <v>191.95</v>
      </c>
      <c r="G19" s="89">
        <v>193.04</v>
      </c>
      <c r="H19" s="89">
        <v>189.45</v>
      </c>
      <c r="I19" s="89">
        <v>192.71</v>
      </c>
      <c r="J19" s="89">
        <v>191.64</v>
      </c>
    </row>
    <row r="20" spans="1:10" x14ac:dyDescent="0.25">
      <c r="A20" s="329" t="s">
        <v>749</v>
      </c>
      <c r="B20" s="89">
        <v>191.34</v>
      </c>
      <c r="C20" s="89">
        <v>191.19</v>
      </c>
      <c r="D20" s="89">
        <v>190.52</v>
      </c>
      <c r="E20" s="89">
        <v>191.72</v>
      </c>
      <c r="F20" s="89">
        <v>191.91</v>
      </c>
      <c r="G20" s="89">
        <v>192.97</v>
      </c>
      <c r="H20" s="89">
        <v>189.78</v>
      </c>
      <c r="I20" s="89">
        <v>192.51</v>
      </c>
      <c r="J20" s="89">
        <v>191.53</v>
      </c>
    </row>
    <row r="21" spans="1:10" x14ac:dyDescent="0.25">
      <c r="A21" s="329" t="s">
        <v>750</v>
      </c>
      <c r="B21" s="89">
        <v>191.24</v>
      </c>
      <c r="C21" s="89">
        <v>191.14</v>
      </c>
      <c r="D21" s="89">
        <v>190.61</v>
      </c>
      <c r="E21" s="89">
        <v>191.6</v>
      </c>
      <c r="F21" s="89">
        <v>191.87</v>
      </c>
      <c r="G21" s="89">
        <v>192.87</v>
      </c>
      <c r="H21" s="89">
        <v>189.86</v>
      </c>
      <c r="I21" s="89">
        <v>192.42</v>
      </c>
      <c r="J21" s="89">
        <v>191.46</v>
      </c>
    </row>
    <row r="22" spans="1:10" x14ac:dyDescent="0.25">
      <c r="A22" s="329" t="s">
        <v>751</v>
      </c>
      <c r="B22" s="89">
        <v>191.38</v>
      </c>
      <c r="C22" s="89">
        <v>191.22</v>
      </c>
      <c r="D22" s="89">
        <v>190.75</v>
      </c>
      <c r="E22" s="89">
        <v>191.68</v>
      </c>
      <c r="F22" s="89">
        <v>191.84</v>
      </c>
      <c r="G22" s="89">
        <v>192.91</v>
      </c>
      <c r="H22" s="89">
        <v>190.06</v>
      </c>
      <c r="I22" s="89">
        <v>192.44</v>
      </c>
      <c r="J22" s="89">
        <v>191.54</v>
      </c>
    </row>
    <row r="23" spans="1:10" x14ac:dyDescent="0.25">
      <c r="A23" s="329" t="s">
        <v>752</v>
      </c>
      <c r="B23" s="89">
        <v>191.3</v>
      </c>
      <c r="C23" s="89">
        <v>191.19</v>
      </c>
      <c r="D23" s="89">
        <v>190.74</v>
      </c>
      <c r="E23" s="89">
        <v>191.58</v>
      </c>
      <c r="F23" s="89">
        <v>191.78</v>
      </c>
      <c r="G23" s="89">
        <v>192.8</v>
      </c>
      <c r="H23" s="89">
        <v>190.21</v>
      </c>
      <c r="I23" s="89">
        <v>192.23</v>
      </c>
      <c r="J23" s="89">
        <v>191.43</v>
      </c>
    </row>
    <row r="24" spans="1:10" x14ac:dyDescent="0.25">
      <c r="A24" s="329" t="s">
        <v>753</v>
      </c>
      <c r="B24" s="89">
        <v>191.26</v>
      </c>
      <c r="C24" s="89">
        <v>191.1</v>
      </c>
      <c r="D24" s="89">
        <v>190.69</v>
      </c>
      <c r="E24" s="89">
        <v>191.42</v>
      </c>
      <c r="F24" s="89">
        <v>191.48</v>
      </c>
      <c r="G24" s="89">
        <v>192.53</v>
      </c>
      <c r="H24" s="89">
        <v>190.32</v>
      </c>
      <c r="I24" s="89">
        <v>191.92</v>
      </c>
      <c r="J24" s="89">
        <v>191.29</v>
      </c>
    </row>
    <row r="25" spans="1:10" x14ac:dyDescent="0.25">
      <c r="A25" s="329" t="s">
        <v>754</v>
      </c>
      <c r="B25" s="89">
        <v>191.08</v>
      </c>
      <c r="C25" s="89">
        <v>190.93</v>
      </c>
      <c r="D25" s="89">
        <v>190.64</v>
      </c>
      <c r="E25" s="89">
        <v>191.29</v>
      </c>
      <c r="F25" s="89">
        <v>191.43</v>
      </c>
      <c r="G25" s="89">
        <v>192.49</v>
      </c>
      <c r="H25" s="89">
        <v>190.29</v>
      </c>
      <c r="I25" s="89">
        <v>191.86</v>
      </c>
      <c r="J25" s="89">
        <v>191.2</v>
      </c>
    </row>
    <row r="26" spans="1:10" x14ac:dyDescent="0.25">
      <c r="A26" s="329" t="s">
        <v>755</v>
      </c>
      <c r="B26" s="89">
        <v>191.18</v>
      </c>
      <c r="C26" s="89">
        <v>191.03</v>
      </c>
      <c r="D26" s="89">
        <v>190.76</v>
      </c>
      <c r="E26" s="89">
        <v>191.34</v>
      </c>
      <c r="F26" s="89">
        <v>191.48</v>
      </c>
      <c r="G26" s="89">
        <v>192.46</v>
      </c>
      <c r="H26" s="89">
        <v>190.45</v>
      </c>
      <c r="I26" s="89">
        <v>191.86</v>
      </c>
      <c r="J26" s="89">
        <v>191.22</v>
      </c>
    </row>
    <row r="27" spans="1:10" x14ac:dyDescent="0.25">
      <c r="A27" s="329" t="s">
        <v>756</v>
      </c>
      <c r="B27" s="89">
        <v>191.13</v>
      </c>
      <c r="C27" s="89">
        <v>190.99</v>
      </c>
      <c r="D27" s="89">
        <v>190.67</v>
      </c>
      <c r="E27" s="89">
        <v>191.22</v>
      </c>
      <c r="F27" s="89">
        <v>191.36</v>
      </c>
      <c r="G27" s="89">
        <v>192.4</v>
      </c>
      <c r="H27" s="89">
        <v>190.45</v>
      </c>
      <c r="I27" s="89">
        <v>191.75</v>
      </c>
      <c r="J27" s="89">
        <v>191.15</v>
      </c>
    </row>
    <row r="28" spans="1:10" x14ac:dyDescent="0.25">
      <c r="A28" s="329" t="s">
        <v>757</v>
      </c>
      <c r="B28" s="89">
        <v>191.12</v>
      </c>
      <c r="C28" s="89">
        <v>190.99</v>
      </c>
      <c r="D28" s="89">
        <v>190.69</v>
      </c>
      <c r="E28" s="89">
        <v>191.18</v>
      </c>
      <c r="F28" s="89">
        <v>191.25</v>
      </c>
      <c r="G28" s="89">
        <v>192.25</v>
      </c>
      <c r="H28" s="89">
        <v>190.5</v>
      </c>
      <c r="I28" s="89">
        <v>191.65</v>
      </c>
      <c r="J28" s="89">
        <v>191.08</v>
      </c>
    </row>
    <row r="29" spans="1:10" x14ac:dyDescent="0.25">
      <c r="A29" s="329" t="s">
        <v>758</v>
      </c>
      <c r="B29" s="89">
        <v>191.2</v>
      </c>
      <c r="C29" s="89">
        <v>191.1</v>
      </c>
      <c r="D29" s="89">
        <v>190.85</v>
      </c>
      <c r="E29" s="89">
        <v>191.29</v>
      </c>
      <c r="F29" s="89">
        <v>191.38</v>
      </c>
      <c r="G29" s="89">
        <v>192.42</v>
      </c>
      <c r="H29" s="89">
        <v>190.57</v>
      </c>
      <c r="I29" s="89">
        <v>191.72</v>
      </c>
      <c r="J29" s="89">
        <v>191.2</v>
      </c>
    </row>
    <row r="30" spans="1:10" x14ac:dyDescent="0.25">
      <c r="A30" s="329" t="s">
        <v>759</v>
      </c>
      <c r="B30" s="89">
        <v>191.2</v>
      </c>
      <c r="C30" s="89">
        <v>191.11</v>
      </c>
      <c r="D30" s="89">
        <v>190.84</v>
      </c>
      <c r="E30" s="89">
        <v>191.22</v>
      </c>
      <c r="F30" s="89">
        <v>191.42</v>
      </c>
      <c r="G30" s="89">
        <v>192.28</v>
      </c>
      <c r="H30" s="89">
        <v>190.55</v>
      </c>
      <c r="I30" s="89">
        <v>191.57</v>
      </c>
      <c r="J30" s="89">
        <v>191.08</v>
      </c>
    </row>
    <row r="31" spans="1:10" x14ac:dyDescent="0.25">
      <c r="A31" s="329" t="s">
        <v>760</v>
      </c>
      <c r="B31" s="89">
        <v>191.32</v>
      </c>
      <c r="C31" s="89">
        <v>191.13</v>
      </c>
      <c r="D31" s="89">
        <v>190.89</v>
      </c>
      <c r="E31" s="89">
        <v>191.3</v>
      </c>
      <c r="F31" s="89">
        <v>191.39</v>
      </c>
      <c r="G31" s="89">
        <v>192.42</v>
      </c>
      <c r="H31" s="89">
        <v>190.78</v>
      </c>
      <c r="I31" s="89">
        <v>191.78</v>
      </c>
      <c r="J31" s="89">
        <v>191.23</v>
      </c>
    </row>
    <row r="32" spans="1:10" x14ac:dyDescent="0.25">
      <c r="A32" s="329" t="s">
        <v>761</v>
      </c>
      <c r="B32" s="89">
        <v>191.21</v>
      </c>
      <c r="C32" s="89">
        <v>191.09</v>
      </c>
      <c r="D32" s="89">
        <v>190.87</v>
      </c>
      <c r="E32" s="89">
        <v>191.23</v>
      </c>
      <c r="F32" s="89">
        <v>191.27</v>
      </c>
      <c r="G32" s="89">
        <v>192.25</v>
      </c>
      <c r="H32" s="89">
        <v>190.65</v>
      </c>
      <c r="I32" s="89">
        <v>191.54</v>
      </c>
      <c r="J32" s="89">
        <v>191.09</v>
      </c>
    </row>
    <row r="33" spans="1:10" x14ac:dyDescent="0.25">
      <c r="A33" s="329" t="s">
        <v>762</v>
      </c>
      <c r="B33" s="89">
        <v>191.22</v>
      </c>
      <c r="C33" s="89">
        <v>191.04</v>
      </c>
      <c r="D33" s="89">
        <v>190.85</v>
      </c>
      <c r="E33" s="89">
        <v>191.19</v>
      </c>
      <c r="F33" s="89">
        <v>191.35</v>
      </c>
      <c r="G33" s="89">
        <v>192.18</v>
      </c>
      <c r="H33" s="89">
        <v>190.66</v>
      </c>
      <c r="I33" s="89">
        <v>191.54</v>
      </c>
      <c r="J33" s="89">
        <v>191.05</v>
      </c>
    </row>
    <row r="34" spans="1:10" x14ac:dyDescent="0.25">
      <c r="A34" s="329" t="s">
        <v>763</v>
      </c>
      <c r="B34" s="89">
        <v>191.16</v>
      </c>
      <c r="C34" s="89">
        <v>190.98</v>
      </c>
      <c r="D34" s="89">
        <v>190.83</v>
      </c>
      <c r="E34" s="89">
        <v>191.1</v>
      </c>
      <c r="F34" s="89">
        <v>191.17</v>
      </c>
      <c r="G34" s="89">
        <v>192.08</v>
      </c>
      <c r="H34" s="89">
        <v>190.65</v>
      </c>
      <c r="I34" s="89">
        <v>191.41</v>
      </c>
      <c r="J34" s="89">
        <v>191.04</v>
      </c>
    </row>
    <row r="35" spans="1:10" x14ac:dyDescent="0.25">
      <c r="A35" s="329" t="s">
        <v>764</v>
      </c>
      <c r="B35" s="89">
        <v>191.28</v>
      </c>
      <c r="C35" s="89">
        <v>191.09</v>
      </c>
      <c r="D35" s="89">
        <v>190.91</v>
      </c>
      <c r="E35" s="89">
        <v>191.26</v>
      </c>
      <c r="F35" s="89">
        <v>191.34</v>
      </c>
      <c r="G35" s="89">
        <v>192.24</v>
      </c>
      <c r="H35" s="89">
        <v>190.71</v>
      </c>
      <c r="I35" s="89">
        <v>191.56</v>
      </c>
      <c r="J35" s="89">
        <v>191.13</v>
      </c>
    </row>
    <row r="36" spans="1:10" x14ac:dyDescent="0.25">
      <c r="A36" s="329" t="s">
        <v>765</v>
      </c>
      <c r="B36" s="89">
        <v>191.44</v>
      </c>
      <c r="C36" s="89">
        <v>191.27</v>
      </c>
      <c r="D36" s="89">
        <v>191.1</v>
      </c>
      <c r="E36" s="89">
        <v>191.42</v>
      </c>
      <c r="F36" s="89">
        <v>191.49</v>
      </c>
      <c r="G36" s="89">
        <v>192.38</v>
      </c>
      <c r="H36" s="89">
        <v>190.86</v>
      </c>
      <c r="I36" s="89">
        <v>191.72</v>
      </c>
      <c r="J36" s="89">
        <v>191.28</v>
      </c>
    </row>
    <row r="37" spans="1:10" x14ac:dyDescent="0.25">
      <c r="A37" s="329" t="s">
        <v>766</v>
      </c>
      <c r="B37" s="89">
        <v>191.21</v>
      </c>
      <c r="C37" s="89">
        <v>191.02</v>
      </c>
      <c r="D37" s="89">
        <v>190.92</v>
      </c>
      <c r="E37" s="89">
        <v>191.15</v>
      </c>
      <c r="F37" s="89">
        <v>191.33</v>
      </c>
      <c r="G37" s="89">
        <v>192.15</v>
      </c>
      <c r="H37" s="89">
        <v>190.71</v>
      </c>
      <c r="I37" s="89">
        <v>191.46</v>
      </c>
      <c r="J37" s="89">
        <v>191.11</v>
      </c>
    </row>
    <row r="38" spans="1:10" x14ac:dyDescent="0.25">
      <c r="A38" s="329" t="s">
        <v>767</v>
      </c>
      <c r="B38" s="89">
        <v>191.19</v>
      </c>
      <c r="C38" s="89">
        <v>191.03</v>
      </c>
      <c r="D38" s="89">
        <v>190.92</v>
      </c>
      <c r="E38" s="89">
        <v>191.16</v>
      </c>
      <c r="F38" s="89">
        <v>191.21</v>
      </c>
      <c r="G38" s="89">
        <v>192.18</v>
      </c>
      <c r="H38" s="89">
        <v>190.7</v>
      </c>
      <c r="I38" s="89">
        <v>191.45</v>
      </c>
      <c r="J38" s="89">
        <v>191.07</v>
      </c>
    </row>
    <row r="39" spans="1:10" x14ac:dyDescent="0.25">
      <c r="A39" s="329" t="s">
        <v>768</v>
      </c>
      <c r="B39" s="89">
        <v>191.35</v>
      </c>
      <c r="C39" s="89">
        <v>191.17</v>
      </c>
      <c r="D39" s="89">
        <v>191.02</v>
      </c>
      <c r="E39" s="89">
        <v>191.27</v>
      </c>
      <c r="F39" s="89">
        <v>191.4</v>
      </c>
      <c r="G39" s="89">
        <v>192.24</v>
      </c>
      <c r="H39" s="89">
        <v>190.76</v>
      </c>
      <c r="I39" s="89">
        <v>191.49</v>
      </c>
      <c r="J39" s="89">
        <v>191.17</v>
      </c>
    </row>
    <row r="40" spans="1:10" x14ac:dyDescent="0.25">
      <c r="A40" s="329" t="s">
        <v>769</v>
      </c>
      <c r="B40" s="89">
        <v>191.35</v>
      </c>
      <c r="C40" s="89">
        <v>191.2</v>
      </c>
      <c r="D40" s="89">
        <v>191.05</v>
      </c>
      <c r="E40" s="89">
        <v>191.31</v>
      </c>
      <c r="F40" s="89">
        <v>191.52</v>
      </c>
      <c r="G40" s="89">
        <v>192.39</v>
      </c>
      <c r="H40" s="89">
        <v>190.83</v>
      </c>
      <c r="I40" s="89">
        <v>191.63</v>
      </c>
      <c r="J40" s="89">
        <v>191.2</v>
      </c>
    </row>
    <row r="41" spans="1:10" x14ac:dyDescent="0.25">
      <c r="A41" s="329" t="s">
        <v>770</v>
      </c>
      <c r="B41" s="89">
        <v>192.39</v>
      </c>
      <c r="C41" s="89">
        <v>192.17</v>
      </c>
      <c r="D41" s="89">
        <v>191.96</v>
      </c>
      <c r="E41" s="89">
        <v>192.38</v>
      </c>
      <c r="F41" s="89">
        <v>192.43</v>
      </c>
      <c r="G41" s="89">
        <v>193.54</v>
      </c>
      <c r="H41" s="89">
        <v>191.44</v>
      </c>
      <c r="I41" s="89">
        <v>192.94</v>
      </c>
      <c r="J41" s="89">
        <v>192.2</v>
      </c>
    </row>
    <row r="42" spans="1:10" x14ac:dyDescent="0.25">
      <c r="A42" s="329" t="s">
        <v>771</v>
      </c>
      <c r="B42" s="89">
        <v>193.88</v>
      </c>
      <c r="C42" s="89">
        <v>193.68</v>
      </c>
      <c r="D42" s="89">
        <v>193.31</v>
      </c>
      <c r="E42" s="89">
        <v>194.03</v>
      </c>
      <c r="F42" s="89">
        <v>193.98</v>
      </c>
      <c r="G42" s="89">
        <v>195.19</v>
      </c>
      <c r="H42" s="89">
        <v>192.32</v>
      </c>
      <c r="I42" s="89">
        <v>194.69</v>
      </c>
      <c r="J42" s="89">
        <v>193.78</v>
      </c>
    </row>
    <row r="43" spans="1:10" x14ac:dyDescent="0.25">
      <c r="A43" s="329" t="s">
        <v>772</v>
      </c>
      <c r="B43" s="89">
        <v>195.32</v>
      </c>
      <c r="C43" s="89">
        <v>195.06</v>
      </c>
      <c r="D43" s="89">
        <v>194.62</v>
      </c>
      <c r="E43" s="89">
        <v>195.52</v>
      </c>
      <c r="F43" s="89">
        <v>195.5</v>
      </c>
      <c r="G43" s="89">
        <v>196.65</v>
      </c>
      <c r="H43" s="89">
        <v>193.38</v>
      </c>
      <c r="I43" s="89">
        <v>196.22</v>
      </c>
      <c r="J43" s="89">
        <v>195.14</v>
      </c>
    </row>
    <row r="44" spans="1:10" x14ac:dyDescent="0.25">
      <c r="A44" s="329" t="s">
        <v>773</v>
      </c>
      <c r="B44" s="89">
        <v>196.38</v>
      </c>
      <c r="C44" s="89">
        <v>196.23</v>
      </c>
      <c r="D44" s="89">
        <v>195.68</v>
      </c>
      <c r="E44" s="89">
        <v>196.68</v>
      </c>
      <c r="F44" s="89">
        <v>196.61</v>
      </c>
      <c r="G44" s="89">
        <v>197.82</v>
      </c>
      <c r="H44" s="89">
        <v>194.13</v>
      </c>
      <c r="I44" s="89">
        <v>197.42</v>
      </c>
      <c r="J44" s="89">
        <v>196.29</v>
      </c>
    </row>
    <row r="45" spans="1:10" x14ac:dyDescent="0.25">
      <c r="A45" s="329" t="s">
        <v>774</v>
      </c>
      <c r="B45" s="89">
        <v>197.61</v>
      </c>
      <c r="C45" s="89">
        <v>197.53</v>
      </c>
      <c r="D45" s="89">
        <v>196.8</v>
      </c>
      <c r="E45" s="89">
        <v>197.91</v>
      </c>
      <c r="F45" s="89">
        <v>197.85</v>
      </c>
      <c r="G45" s="89">
        <v>198.98</v>
      </c>
      <c r="H45" s="89">
        <v>195.2</v>
      </c>
      <c r="I45" s="89">
        <v>198.72</v>
      </c>
      <c r="J45" s="89">
        <v>197.51</v>
      </c>
    </row>
    <row r="46" spans="1:10" x14ac:dyDescent="0.25">
      <c r="A46" s="329" t="s">
        <v>775</v>
      </c>
      <c r="B46" s="89">
        <v>198.69</v>
      </c>
      <c r="C46" s="89">
        <v>198.58</v>
      </c>
      <c r="D46" s="89">
        <v>197.87</v>
      </c>
      <c r="E46" s="89">
        <v>199.11</v>
      </c>
      <c r="F46" s="89">
        <v>199.02</v>
      </c>
      <c r="G46" s="89">
        <v>200.29</v>
      </c>
      <c r="H46" s="89">
        <v>196.14</v>
      </c>
      <c r="I46" s="89">
        <v>199.9</v>
      </c>
      <c r="J46" s="89">
        <v>198.75</v>
      </c>
    </row>
    <row r="47" spans="1:10" x14ac:dyDescent="0.25">
      <c r="A47" s="329" t="s">
        <v>776</v>
      </c>
      <c r="B47" s="89">
        <v>199.86</v>
      </c>
      <c r="C47" s="89">
        <v>199.68</v>
      </c>
      <c r="D47" s="89">
        <v>198.97</v>
      </c>
      <c r="E47" s="89">
        <v>200.22</v>
      </c>
      <c r="F47" s="89">
        <v>200.09</v>
      </c>
      <c r="G47" s="89">
        <v>201.33</v>
      </c>
      <c r="H47" s="89">
        <v>197.12</v>
      </c>
      <c r="I47" s="89">
        <v>201.12</v>
      </c>
      <c r="J47" s="89">
        <v>199.78</v>
      </c>
    </row>
    <row r="48" spans="1:10" x14ac:dyDescent="0.25">
      <c r="A48" s="329" t="s">
        <v>777</v>
      </c>
      <c r="B48" s="89">
        <v>200.76</v>
      </c>
      <c r="C48" s="89">
        <v>200.62</v>
      </c>
      <c r="D48" s="89">
        <v>199.97</v>
      </c>
      <c r="E48" s="89">
        <v>201.19</v>
      </c>
      <c r="F48" s="89">
        <v>201.03</v>
      </c>
      <c r="G48" s="89">
        <v>202.2</v>
      </c>
      <c r="H48" s="89">
        <v>197.91</v>
      </c>
      <c r="I48" s="89">
        <v>202.01</v>
      </c>
      <c r="J48" s="89">
        <v>200.73</v>
      </c>
    </row>
    <row r="49" spans="1:10" x14ac:dyDescent="0.25">
      <c r="A49" s="329" t="s">
        <v>778</v>
      </c>
      <c r="B49" s="89">
        <v>201.18</v>
      </c>
      <c r="C49" s="89">
        <v>201.13</v>
      </c>
      <c r="D49" s="89">
        <v>200.45</v>
      </c>
      <c r="E49" s="89">
        <v>201.56</v>
      </c>
      <c r="F49" s="89">
        <v>201.44</v>
      </c>
      <c r="G49" s="89">
        <v>202.62</v>
      </c>
      <c r="H49" s="89">
        <v>198.6</v>
      </c>
      <c r="I49" s="89">
        <v>202.32</v>
      </c>
      <c r="J49" s="89">
        <v>201.16</v>
      </c>
    </row>
    <row r="50" spans="1:10" x14ac:dyDescent="0.25">
      <c r="A50" s="329" t="s">
        <v>779</v>
      </c>
      <c r="B50" s="89">
        <v>201.25</v>
      </c>
      <c r="C50" s="89">
        <v>201.17</v>
      </c>
      <c r="D50" s="89">
        <v>200.62</v>
      </c>
      <c r="E50" s="89">
        <v>201.62</v>
      </c>
      <c r="F50" s="89">
        <v>201.56</v>
      </c>
      <c r="G50" s="89">
        <v>202.57</v>
      </c>
      <c r="H50" s="89">
        <v>199.2</v>
      </c>
      <c r="I50" s="89">
        <v>202.24</v>
      </c>
      <c r="J50" s="89">
        <v>201.29</v>
      </c>
    </row>
    <row r="51" spans="1:10" x14ac:dyDescent="0.25">
      <c r="A51" s="329" t="s">
        <v>780</v>
      </c>
      <c r="B51" s="89">
        <v>201.33</v>
      </c>
      <c r="C51" s="89">
        <v>201.29</v>
      </c>
      <c r="D51" s="89">
        <v>200.77</v>
      </c>
      <c r="E51" s="89">
        <v>201.64</v>
      </c>
      <c r="F51" s="89">
        <v>201.62</v>
      </c>
      <c r="G51" s="89">
        <v>202.62</v>
      </c>
      <c r="H51" s="89">
        <v>199.42</v>
      </c>
      <c r="I51" s="89">
        <v>202.24</v>
      </c>
      <c r="J51" s="89">
        <v>201.34</v>
      </c>
    </row>
    <row r="52" spans="1:10" x14ac:dyDescent="0.25">
      <c r="A52" s="329" t="s">
        <v>781</v>
      </c>
      <c r="B52" s="89">
        <v>201.62</v>
      </c>
      <c r="C52" s="89">
        <v>201.52</v>
      </c>
      <c r="D52" s="89">
        <v>201.01</v>
      </c>
      <c r="E52" s="89">
        <v>201.85</v>
      </c>
      <c r="F52" s="89">
        <v>201.75</v>
      </c>
      <c r="G52" s="89">
        <v>202.77</v>
      </c>
      <c r="H52" s="89">
        <v>199.84</v>
      </c>
      <c r="I52" s="89">
        <v>202.42</v>
      </c>
      <c r="J52" s="89">
        <v>201.55</v>
      </c>
    </row>
    <row r="53" spans="1:10" x14ac:dyDescent="0.25">
      <c r="A53" s="329" t="s">
        <v>782</v>
      </c>
      <c r="B53" s="89">
        <v>201.86</v>
      </c>
      <c r="C53" s="89">
        <v>201.77</v>
      </c>
      <c r="D53" s="89">
        <v>201.28</v>
      </c>
      <c r="E53" s="89">
        <v>202.12</v>
      </c>
      <c r="F53" s="89">
        <v>202.06</v>
      </c>
      <c r="G53" s="89">
        <v>203.12</v>
      </c>
      <c r="H53" s="89">
        <v>200.28</v>
      </c>
      <c r="I53" s="89">
        <v>202.67</v>
      </c>
      <c r="J53" s="89">
        <v>201.83</v>
      </c>
    </row>
    <row r="54" spans="1:10" x14ac:dyDescent="0.25">
      <c r="A54" s="329" t="s">
        <v>783</v>
      </c>
      <c r="B54" s="89">
        <v>202.06</v>
      </c>
      <c r="C54" s="89">
        <v>201.99</v>
      </c>
      <c r="D54" s="89">
        <v>201.57</v>
      </c>
      <c r="E54" s="89">
        <v>202.3</v>
      </c>
      <c r="F54" s="89">
        <v>202.26</v>
      </c>
      <c r="G54" s="89">
        <v>203.3</v>
      </c>
      <c r="H54" s="89">
        <v>200.47</v>
      </c>
      <c r="I54" s="89">
        <v>202.86</v>
      </c>
      <c r="J54" s="89">
        <v>202.08</v>
      </c>
    </row>
    <row r="55" spans="1:10" x14ac:dyDescent="0.25">
      <c r="A55" s="329" t="s">
        <v>784</v>
      </c>
      <c r="B55" s="89">
        <v>202.16</v>
      </c>
      <c r="C55" s="89">
        <v>202.04</v>
      </c>
      <c r="D55" s="89">
        <v>201.66</v>
      </c>
      <c r="E55" s="89">
        <v>202.31</v>
      </c>
      <c r="F55" s="89">
        <v>202.36</v>
      </c>
      <c r="G55" s="89">
        <v>203.27</v>
      </c>
      <c r="H55" s="89">
        <v>200.71</v>
      </c>
      <c r="I55" s="89">
        <v>202.78</v>
      </c>
      <c r="J55" s="89">
        <v>202.15</v>
      </c>
    </row>
    <row r="56" spans="1:10" x14ac:dyDescent="0.25">
      <c r="A56" s="329" t="s">
        <v>785</v>
      </c>
      <c r="B56" s="89">
        <v>201.94</v>
      </c>
      <c r="C56" s="89">
        <v>201.84</v>
      </c>
      <c r="D56" s="89">
        <v>201.54</v>
      </c>
      <c r="E56" s="89">
        <v>201.99</v>
      </c>
      <c r="F56" s="89">
        <v>202.1</v>
      </c>
      <c r="G56" s="89">
        <v>202.98</v>
      </c>
      <c r="H56" s="89">
        <v>200.77</v>
      </c>
      <c r="I56" s="89">
        <v>202.41</v>
      </c>
      <c r="J56" s="89">
        <v>201.89</v>
      </c>
    </row>
    <row r="57" spans="1:10" x14ac:dyDescent="0.25">
      <c r="A57" s="329" t="s">
        <v>786</v>
      </c>
      <c r="B57" s="89">
        <v>201.71</v>
      </c>
      <c r="C57" s="89">
        <v>201.55</v>
      </c>
      <c r="D57" s="89">
        <v>201.37</v>
      </c>
      <c r="E57" s="89">
        <v>201.76</v>
      </c>
      <c r="F57" s="89">
        <v>201.8</v>
      </c>
      <c r="G57" s="89">
        <v>202.7</v>
      </c>
      <c r="H57" s="89">
        <v>200.77</v>
      </c>
      <c r="I57" s="89">
        <v>202.08</v>
      </c>
      <c r="J57" s="89">
        <v>201.62</v>
      </c>
    </row>
    <row r="58" spans="1:10" x14ac:dyDescent="0.25">
      <c r="A58" s="329" t="s">
        <v>787</v>
      </c>
      <c r="B58" s="89">
        <v>201.6</v>
      </c>
      <c r="C58" s="89">
        <v>201.47</v>
      </c>
      <c r="D58" s="89">
        <v>201.27</v>
      </c>
      <c r="E58" s="89">
        <v>201.62</v>
      </c>
      <c r="F58" s="89">
        <v>201.69</v>
      </c>
      <c r="G58" s="89">
        <v>202.57</v>
      </c>
      <c r="H58" s="89">
        <v>200.82</v>
      </c>
      <c r="I58" s="89">
        <v>201.96</v>
      </c>
      <c r="J58" s="89">
        <v>201.52</v>
      </c>
    </row>
    <row r="59" spans="1:10" x14ac:dyDescent="0.25">
      <c r="A59" s="329" t="s">
        <v>788</v>
      </c>
      <c r="B59" s="89">
        <v>201.51</v>
      </c>
      <c r="C59" s="89">
        <v>201.35</v>
      </c>
      <c r="D59" s="89">
        <v>201.15</v>
      </c>
      <c r="E59" s="89">
        <v>201.47</v>
      </c>
      <c r="F59" s="89">
        <v>201.52</v>
      </c>
      <c r="G59" s="89">
        <v>202.41</v>
      </c>
      <c r="H59" s="89">
        <v>200.72</v>
      </c>
      <c r="I59" s="89">
        <v>201.8</v>
      </c>
      <c r="J59" s="89">
        <v>201.36</v>
      </c>
    </row>
    <row r="60" spans="1:10" x14ac:dyDescent="0.25">
      <c r="A60" s="329" t="s">
        <v>789</v>
      </c>
      <c r="B60" s="89">
        <v>201.45</v>
      </c>
      <c r="C60" s="89">
        <v>201.26</v>
      </c>
      <c r="D60" s="89">
        <v>201.14</v>
      </c>
      <c r="E60" s="89">
        <v>201.42</v>
      </c>
      <c r="F60" s="89">
        <v>201.57</v>
      </c>
      <c r="G60" s="89">
        <v>202.36</v>
      </c>
      <c r="H60" s="89">
        <v>200.79</v>
      </c>
      <c r="I60" s="89">
        <v>201.77</v>
      </c>
      <c r="J60" s="89">
        <v>201.29</v>
      </c>
    </row>
    <row r="61" spans="1:10" x14ac:dyDescent="0.25">
      <c r="A61" s="329" t="s">
        <v>790</v>
      </c>
      <c r="B61" s="89">
        <v>201.51</v>
      </c>
      <c r="C61" s="89">
        <v>201.31</v>
      </c>
      <c r="D61" s="89">
        <v>201.18</v>
      </c>
      <c r="E61" s="89">
        <v>201.47</v>
      </c>
      <c r="F61" s="89">
        <v>201.54</v>
      </c>
      <c r="G61" s="89">
        <v>202.42</v>
      </c>
      <c r="H61" s="89">
        <v>200.84</v>
      </c>
      <c r="I61" s="89">
        <v>201.74</v>
      </c>
      <c r="J61" s="89">
        <v>201.36</v>
      </c>
    </row>
    <row r="62" spans="1:10" x14ac:dyDescent="0.25">
      <c r="A62" s="329" t="s">
        <v>791</v>
      </c>
      <c r="B62" s="89">
        <v>201.46</v>
      </c>
      <c r="C62" s="89">
        <v>201.29</v>
      </c>
      <c r="D62" s="89">
        <v>201.19</v>
      </c>
      <c r="E62" s="89">
        <v>201.38</v>
      </c>
      <c r="F62" s="89">
        <v>201.47</v>
      </c>
      <c r="G62" s="89">
        <v>202.3</v>
      </c>
      <c r="H62" s="89">
        <v>200.83</v>
      </c>
      <c r="I62" s="89">
        <v>201.67</v>
      </c>
      <c r="J62" s="89">
        <v>201.28</v>
      </c>
    </row>
    <row r="63" spans="1:10" x14ac:dyDescent="0.25">
      <c r="A63" s="329" t="s">
        <v>792</v>
      </c>
      <c r="B63" s="89">
        <v>201.5</v>
      </c>
      <c r="C63" s="89">
        <v>201.3</v>
      </c>
      <c r="D63" s="89">
        <v>201.21</v>
      </c>
      <c r="E63" s="89">
        <v>201.41</v>
      </c>
      <c r="F63" s="89">
        <v>201.43</v>
      </c>
      <c r="G63" s="89">
        <v>202.39</v>
      </c>
      <c r="H63" s="89">
        <v>200.9</v>
      </c>
      <c r="I63" s="89">
        <v>201.65</v>
      </c>
      <c r="J63" s="89">
        <v>201.33</v>
      </c>
    </row>
    <row r="64" spans="1:10" x14ac:dyDescent="0.25">
      <c r="A64" s="329" t="s">
        <v>793</v>
      </c>
      <c r="B64" s="89">
        <v>201.42</v>
      </c>
      <c r="C64" s="89">
        <v>201.22</v>
      </c>
      <c r="D64" s="89">
        <v>201.12</v>
      </c>
      <c r="E64" s="89">
        <v>201.32</v>
      </c>
      <c r="F64" s="89">
        <v>201.45</v>
      </c>
      <c r="G64" s="89">
        <v>202.26</v>
      </c>
      <c r="H64" s="89">
        <v>200.87</v>
      </c>
      <c r="I64" s="89">
        <v>201.51</v>
      </c>
      <c r="J64" s="89">
        <v>201.25</v>
      </c>
    </row>
    <row r="65" spans="1:10" x14ac:dyDescent="0.25">
      <c r="A65" s="329" t="s">
        <v>794</v>
      </c>
      <c r="B65" s="89">
        <v>201.39</v>
      </c>
      <c r="C65" s="89">
        <v>201.19</v>
      </c>
      <c r="D65" s="89">
        <v>201.09</v>
      </c>
      <c r="E65" s="89">
        <v>201.27</v>
      </c>
      <c r="F65" s="89">
        <v>201.28</v>
      </c>
      <c r="G65" s="89">
        <v>202.16</v>
      </c>
      <c r="H65" s="89">
        <v>200.84</v>
      </c>
      <c r="I65" s="89">
        <v>201.45</v>
      </c>
      <c r="J65" s="89">
        <v>201.18</v>
      </c>
    </row>
    <row r="66" spans="1:10" x14ac:dyDescent="0.25">
      <c r="A66" s="329" t="s">
        <v>795</v>
      </c>
      <c r="B66" s="89">
        <v>201.36</v>
      </c>
      <c r="C66" s="89">
        <v>201.19</v>
      </c>
      <c r="D66" s="89">
        <v>201.08</v>
      </c>
      <c r="E66" s="89">
        <v>201.24</v>
      </c>
      <c r="F66" s="89">
        <v>201.37</v>
      </c>
      <c r="G66" s="89">
        <v>202.15</v>
      </c>
      <c r="H66" s="89">
        <v>200.79</v>
      </c>
      <c r="I66" s="89">
        <v>201.48</v>
      </c>
      <c r="J66" s="89">
        <v>201.15</v>
      </c>
    </row>
    <row r="67" spans="1:10" x14ac:dyDescent="0.25">
      <c r="A67" s="329" t="s">
        <v>796</v>
      </c>
      <c r="B67" s="89">
        <v>201.49</v>
      </c>
      <c r="C67" s="89">
        <v>201.31</v>
      </c>
      <c r="D67" s="89">
        <v>201.22</v>
      </c>
      <c r="E67" s="89">
        <v>201.39</v>
      </c>
      <c r="F67" s="89">
        <v>201.52</v>
      </c>
      <c r="G67" s="89">
        <v>202.32</v>
      </c>
      <c r="H67" s="89">
        <v>200.9</v>
      </c>
      <c r="I67" s="89">
        <v>201.63</v>
      </c>
      <c r="J67" s="89">
        <v>201.28</v>
      </c>
    </row>
    <row r="68" spans="1:10" x14ac:dyDescent="0.25">
      <c r="A68" s="329" t="s">
        <v>797</v>
      </c>
      <c r="B68" s="89">
        <v>201.46</v>
      </c>
      <c r="C68" s="89">
        <v>201.26</v>
      </c>
      <c r="D68" s="89">
        <v>201.21</v>
      </c>
      <c r="E68" s="89">
        <v>201.35</v>
      </c>
      <c r="F68" s="89">
        <v>201.34</v>
      </c>
      <c r="G68" s="89">
        <v>202.23</v>
      </c>
      <c r="H68" s="89">
        <v>200.92</v>
      </c>
      <c r="I68" s="89">
        <v>201.54</v>
      </c>
      <c r="J68" s="89">
        <v>201.28</v>
      </c>
    </row>
    <row r="69" spans="1:10" x14ac:dyDescent="0.25">
      <c r="A69" s="329" t="s">
        <v>798</v>
      </c>
      <c r="B69" s="89">
        <v>201.36</v>
      </c>
      <c r="C69" s="89">
        <v>201.19</v>
      </c>
      <c r="D69" s="89">
        <v>201.18</v>
      </c>
      <c r="E69" s="89">
        <v>201.25</v>
      </c>
      <c r="F69" s="89">
        <v>201.45</v>
      </c>
      <c r="G69" s="89">
        <v>202.14</v>
      </c>
      <c r="H69" s="89">
        <v>200.92</v>
      </c>
      <c r="I69" s="89">
        <v>201.42</v>
      </c>
      <c r="J69" s="89">
        <v>201.22</v>
      </c>
    </row>
    <row r="70" spans="1:10" x14ac:dyDescent="0.25">
      <c r="A70" s="329" t="s">
        <v>799</v>
      </c>
      <c r="B70" s="89">
        <v>201.33</v>
      </c>
      <c r="C70" s="89">
        <v>201.18</v>
      </c>
      <c r="D70" s="89">
        <v>201.12</v>
      </c>
      <c r="E70" s="89">
        <v>201.27</v>
      </c>
      <c r="F70" s="89">
        <v>201.33</v>
      </c>
      <c r="G70" s="89">
        <v>202.09</v>
      </c>
      <c r="H70" s="89">
        <v>200.87</v>
      </c>
      <c r="I70" s="89">
        <v>201.43</v>
      </c>
      <c r="J70" s="89">
        <v>201.17</v>
      </c>
    </row>
    <row r="71" spans="1:10" x14ac:dyDescent="0.25">
      <c r="A71" s="329" t="s">
        <v>800</v>
      </c>
      <c r="B71" s="89">
        <v>201.4</v>
      </c>
      <c r="C71" s="89">
        <v>201.18</v>
      </c>
      <c r="D71" s="89">
        <v>201.14</v>
      </c>
      <c r="E71" s="89">
        <v>201.23</v>
      </c>
      <c r="F71" s="89">
        <v>201.17</v>
      </c>
      <c r="G71" s="89">
        <v>202.09</v>
      </c>
      <c r="H71" s="89">
        <v>200.87</v>
      </c>
      <c r="I71" s="89">
        <v>201.42</v>
      </c>
      <c r="J71" s="89">
        <v>201.11</v>
      </c>
    </row>
    <row r="72" spans="1:10" x14ac:dyDescent="0.25">
      <c r="A72" s="329" t="s">
        <v>801</v>
      </c>
      <c r="B72" s="89">
        <v>201.47</v>
      </c>
      <c r="C72" s="89">
        <v>201.26</v>
      </c>
      <c r="D72" s="89">
        <v>201.19</v>
      </c>
      <c r="E72" s="89">
        <v>201.32</v>
      </c>
      <c r="F72" s="89">
        <v>201.36</v>
      </c>
      <c r="G72" s="89">
        <v>202.21</v>
      </c>
      <c r="H72" s="89">
        <v>200.9</v>
      </c>
      <c r="I72" s="89">
        <v>201.48</v>
      </c>
      <c r="J72" s="89">
        <v>201.23</v>
      </c>
    </row>
    <row r="73" spans="1:10" x14ac:dyDescent="0.25">
      <c r="A73" s="329" t="s">
        <v>802</v>
      </c>
      <c r="B73" s="89">
        <v>201.43</v>
      </c>
      <c r="C73" s="89">
        <v>201.27</v>
      </c>
      <c r="D73" s="89">
        <v>201.21</v>
      </c>
      <c r="E73" s="89">
        <v>201.33</v>
      </c>
      <c r="F73" s="89">
        <v>201.33</v>
      </c>
      <c r="G73" s="89">
        <v>202.18</v>
      </c>
      <c r="H73" s="89">
        <v>200.91</v>
      </c>
      <c r="I73" s="89">
        <v>201.47</v>
      </c>
      <c r="J73" s="89">
        <v>201.22</v>
      </c>
    </row>
    <row r="74" spans="1:10" x14ac:dyDescent="0.25">
      <c r="A74" s="329" t="s">
        <v>803</v>
      </c>
      <c r="B74" s="89">
        <v>201.41</v>
      </c>
      <c r="C74" s="89">
        <v>201.24</v>
      </c>
      <c r="D74" s="89">
        <v>201.19</v>
      </c>
      <c r="E74" s="89">
        <v>201.28</v>
      </c>
      <c r="F74" s="89">
        <v>201.36</v>
      </c>
      <c r="G74" s="89">
        <v>202.15</v>
      </c>
      <c r="H74" s="89">
        <v>200.91</v>
      </c>
      <c r="I74" s="89">
        <v>201.5</v>
      </c>
      <c r="J74" s="89">
        <v>201.2</v>
      </c>
    </row>
    <row r="75" spans="1:10" x14ac:dyDescent="0.25">
      <c r="A75" s="329" t="s">
        <v>804</v>
      </c>
      <c r="B75" s="89">
        <v>201.44</v>
      </c>
      <c r="C75" s="89">
        <v>201.24</v>
      </c>
      <c r="D75" s="89">
        <v>201.2</v>
      </c>
      <c r="E75" s="89">
        <v>201.27</v>
      </c>
      <c r="F75" s="89">
        <v>201.42</v>
      </c>
      <c r="G75" s="89">
        <v>202.14</v>
      </c>
      <c r="H75" s="89">
        <v>200.92</v>
      </c>
      <c r="I75" s="89">
        <v>201.46</v>
      </c>
      <c r="J75" s="89">
        <v>201.21</v>
      </c>
    </row>
    <row r="76" spans="1:10" x14ac:dyDescent="0.25">
      <c r="A76" s="329" t="s">
        <v>805</v>
      </c>
      <c r="B76" s="89">
        <v>201.39</v>
      </c>
      <c r="C76" s="89">
        <v>201.16</v>
      </c>
      <c r="D76" s="89">
        <v>201.16</v>
      </c>
      <c r="E76" s="89">
        <v>201.23</v>
      </c>
      <c r="F76" s="89">
        <v>201.3</v>
      </c>
      <c r="G76" s="89">
        <v>202.11</v>
      </c>
      <c r="H76" s="89">
        <v>200.88</v>
      </c>
      <c r="I76" s="89">
        <v>201.4</v>
      </c>
      <c r="J76" s="89">
        <v>201.16</v>
      </c>
    </row>
    <row r="77" spans="1:10" x14ac:dyDescent="0.25">
      <c r="A77" s="329" t="s">
        <v>806</v>
      </c>
      <c r="B77" s="89">
        <v>201.44</v>
      </c>
      <c r="C77" s="89">
        <v>201.3</v>
      </c>
      <c r="D77" s="89">
        <v>201.22</v>
      </c>
      <c r="E77" s="89">
        <v>201.34</v>
      </c>
      <c r="F77" s="89">
        <v>201.33</v>
      </c>
      <c r="G77" s="89">
        <v>202.18</v>
      </c>
      <c r="H77" s="89">
        <v>200.94</v>
      </c>
      <c r="I77" s="89">
        <v>201.44</v>
      </c>
      <c r="J77" s="89">
        <v>201.22</v>
      </c>
    </row>
    <row r="78" spans="1:10" x14ac:dyDescent="0.25">
      <c r="A78" s="329" t="s">
        <v>807</v>
      </c>
      <c r="B78" s="89">
        <v>201.39</v>
      </c>
      <c r="C78" s="89">
        <v>201.23</v>
      </c>
      <c r="D78" s="89">
        <v>201.18</v>
      </c>
      <c r="E78" s="89">
        <v>201.29</v>
      </c>
      <c r="F78" s="89">
        <v>201.29</v>
      </c>
      <c r="G78" s="89">
        <v>202.1</v>
      </c>
      <c r="H78" s="89">
        <v>200.94</v>
      </c>
      <c r="I78" s="89">
        <v>201.46</v>
      </c>
      <c r="J78" s="89">
        <v>201.15</v>
      </c>
    </row>
    <row r="79" spans="1:10" x14ac:dyDescent="0.25">
      <c r="A79" s="329" t="s">
        <v>808</v>
      </c>
      <c r="B79" s="89">
        <v>201.46</v>
      </c>
      <c r="C79" s="89">
        <v>201.32</v>
      </c>
      <c r="D79" s="89">
        <v>201.21</v>
      </c>
      <c r="E79" s="89">
        <v>201.37</v>
      </c>
      <c r="F79" s="89">
        <v>201.4</v>
      </c>
      <c r="G79" s="89">
        <v>202.19</v>
      </c>
      <c r="H79" s="89">
        <v>201</v>
      </c>
      <c r="I79" s="89">
        <v>201.57</v>
      </c>
      <c r="J79" s="89">
        <v>201.25</v>
      </c>
    </row>
    <row r="80" spans="1:10" x14ac:dyDescent="0.25">
      <c r="A80" s="329" t="s">
        <v>809</v>
      </c>
      <c r="B80" s="89">
        <v>201.48</v>
      </c>
      <c r="C80" s="89">
        <v>201.32</v>
      </c>
      <c r="D80" s="89">
        <v>201.27</v>
      </c>
      <c r="E80" s="89">
        <v>201.39</v>
      </c>
      <c r="F80" s="89">
        <v>201.42</v>
      </c>
      <c r="G80" s="89">
        <v>202.23</v>
      </c>
      <c r="H80" s="89">
        <v>200.99</v>
      </c>
      <c r="I80" s="89">
        <v>201.53</v>
      </c>
      <c r="J80" s="89">
        <v>201.28</v>
      </c>
    </row>
    <row r="81" spans="1:10" x14ac:dyDescent="0.25">
      <c r="A81" s="329" t="s">
        <v>810</v>
      </c>
      <c r="B81" s="89">
        <v>201.45</v>
      </c>
      <c r="C81" s="89">
        <v>201.27</v>
      </c>
      <c r="D81" s="89">
        <v>201.2</v>
      </c>
      <c r="E81" s="89">
        <v>201.29</v>
      </c>
      <c r="F81" s="89">
        <v>201.33</v>
      </c>
      <c r="G81" s="89">
        <v>202.14</v>
      </c>
      <c r="H81" s="89">
        <v>200.96</v>
      </c>
      <c r="I81" s="89">
        <v>201.48</v>
      </c>
      <c r="J81" s="89">
        <v>201.22</v>
      </c>
    </row>
    <row r="82" spans="1:10" x14ac:dyDescent="0.25">
      <c r="A82" s="329" t="s">
        <v>811</v>
      </c>
      <c r="B82" s="89">
        <v>201.47</v>
      </c>
      <c r="C82" s="89">
        <v>201.27</v>
      </c>
      <c r="D82" s="89">
        <v>201.23</v>
      </c>
      <c r="E82" s="89">
        <v>201.31</v>
      </c>
      <c r="F82" s="89">
        <v>201.33</v>
      </c>
      <c r="G82" s="89">
        <v>202.15</v>
      </c>
      <c r="H82" s="89">
        <v>200.95</v>
      </c>
      <c r="I82" s="89">
        <v>201.45</v>
      </c>
      <c r="J82" s="89">
        <v>201.18</v>
      </c>
    </row>
    <row r="83" spans="1:10" x14ac:dyDescent="0.25">
      <c r="A83" s="329" t="s">
        <v>812</v>
      </c>
      <c r="B83" s="89">
        <v>201.5</v>
      </c>
      <c r="C83" s="89">
        <v>201.36</v>
      </c>
      <c r="D83" s="89">
        <v>201.29</v>
      </c>
      <c r="E83" s="89">
        <v>201.4</v>
      </c>
      <c r="F83" s="89">
        <v>201.43</v>
      </c>
      <c r="G83" s="89">
        <v>202.29</v>
      </c>
      <c r="H83" s="89">
        <v>200.98</v>
      </c>
      <c r="I83" s="89">
        <v>201.53</v>
      </c>
      <c r="J83" s="89">
        <v>201.32</v>
      </c>
    </row>
    <row r="84" spans="1:10" x14ac:dyDescent="0.25">
      <c r="A84" s="329" t="s">
        <v>813</v>
      </c>
      <c r="B84" s="89">
        <v>201.43</v>
      </c>
      <c r="C84" s="89">
        <v>201.25</v>
      </c>
      <c r="D84" s="89">
        <v>201.2</v>
      </c>
      <c r="E84" s="89">
        <v>201.27</v>
      </c>
      <c r="F84" s="89">
        <v>201.36</v>
      </c>
      <c r="G84" s="89">
        <v>202.1</v>
      </c>
      <c r="H84" s="89">
        <v>200.97</v>
      </c>
      <c r="I84" s="89">
        <v>201.42</v>
      </c>
      <c r="J84" s="89">
        <v>201.16</v>
      </c>
    </row>
    <row r="85" spans="1:10" x14ac:dyDescent="0.25">
      <c r="A85" s="329" t="s">
        <v>814</v>
      </c>
      <c r="B85" s="89">
        <v>201.36</v>
      </c>
      <c r="C85" s="89">
        <v>201.18</v>
      </c>
      <c r="D85" s="89">
        <v>201.18</v>
      </c>
      <c r="E85" s="89">
        <v>201.22</v>
      </c>
      <c r="F85" s="89">
        <v>201.3</v>
      </c>
      <c r="G85" s="89">
        <v>202.07</v>
      </c>
      <c r="H85" s="89">
        <v>200.92</v>
      </c>
      <c r="I85" s="89">
        <v>201.37</v>
      </c>
      <c r="J85" s="89">
        <v>201.16</v>
      </c>
    </row>
    <row r="86" spans="1:10" x14ac:dyDescent="0.25">
      <c r="A86" s="329" t="s">
        <v>815</v>
      </c>
      <c r="B86" s="89">
        <v>201.38</v>
      </c>
      <c r="C86" s="89">
        <v>201.14</v>
      </c>
      <c r="D86" s="89">
        <v>201.13</v>
      </c>
      <c r="E86" s="89">
        <v>201.22</v>
      </c>
      <c r="F86" s="89">
        <v>201.24</v>
      </c>
      <c r="G86" s="89">
        <v>202.01</v>
      </c>
      <c r="H86" s="89">
        <v>200.9</v>
      </c>
      <c r="I86" s="89">
        <v>201.33</v>
      </c>
      <c r="J86" s="89">
        <v>201.12</v>
      </c>
    </row>
    <row r="87" spans="1:10" x14ac:dyDescent="0.25">
      <c r="A87" s="329" t="s">
        <v>816</v>
      </c>
      <c r="B87" s="89">
        <v>201.46</v>
      </c>
      <c r="C87" s="89">
        <v>201.3</v>
      </c>
      <c r="D87" s="89">
        <v>201.25</v>
      </c>
      <c r="E87" s="89">
        <v>201.31</v>
      </c>
      <c r="F87" s="89">
        <v>201.44</v>
      </c>
      <c r="G87" s="89">
        <v>202.15</v>
      </c>
      <c r="H87" s="89">
        <v>200.99</v>
      </c>
      <c r="I87" s="89">
        <v>201.5</v>
      </c>
      <c r="J87" s="89">
        <v>201.2</v>
      </c>
    </row>
    <row r="88" spans="1:10" x14ac:dyDescent="0.25">
      <c r="A88" s="329" t="s">
        <v>817</v>
      </c>
      <c r="B88" s="89">
        <v>201.47</v>
      </c>
      <c r="C88" s="89">
        <v>201.29</v>
      </c>
      <c r="D88" s="89">
        <v>201.26</v>
      </c>
      <c r="E88" s="89">
        <v>201.31</v>
      </c>
      <c r="F88" s="89">
        <v>201.07</v>
      </c>
      <c r="G88" s="89">
        <v>202.11</v>
      </c>
      <c r="H88" s="89">
        <v>201.01</v>
      </c>
      <c r="I88" s="89">
        <v>201.38</v>
      </c>
      <c r="J88" s="89">
        <v>201.17</v>
      </c>
    </row>
    <row r="89" spans="1:10" x14ac:dyDescent="0.25">
      <c r="A89" s="329" t="s">
        <v>818</v>
      </c>
      <c r="B89" s="89">
        <v>201.48</v>
      </c>
      <c r="C89" s="89">
        <v>201.26</v>
      </c>
      <c r="D89" s="89">
        <v>201.23</v>
      </c>
      <c r="E89" s="89">
        <v>201.29</v>
      </c>
      <c r="F89" s="89">
        <v>201.34</v>
      </c>
      <c r="G89" s="89">
        <v>202.17</v>
      </c>
      <c r="H89" s="89">
        <v>200.99</v>
      </c>
      <c r="I89" s="89">
        <v>201.43</v>
      </c>
      <c r="J89" s="89">
        <v>201.21</v>
      </c>
    </row>
    <row r="90" spans="1:10" x14ac:dyDescent="0.25">
      <c r="A90" s="329" t="s">
        <v>819</v>
      </c>
      <c r="B90" s="89">
        <v>201.41</v>
      </c>
      <c r="C90" s="89">
        <v>201.22</v>
      </c>
      <c r="D90" s="89">
        <v>201.21</v>
      </c>
      <c r="E90" s="89">
        <v>201.3</v>
      </c>
      <c r="F90" s="89">
        <v>201.26</v>
      </c>
      <c r="G90" s="89">
        <v>202.12</v>
      </c>
      <c r="H90" s="89">
        <v>201</v>
      </c>
      <c r="I90" s="89">
        <v>201.41</v>
      </c>
      <c r="J90" s="89">
        <v>201.21</v>
      </c>
    </row>
    <row r="91" spans="1:10" x14ac:dyDescent="0.25">
      <c r="A91" s="329" t="s">
        <v>820</v>
      </c>
      <c r="B91" s="89">
        <v>201.51</v>
      </c>
      <c r="C91" s="89">
        <v>201.31</v>
      </c>
      <c r="D91" s="89">
        <v>201.27</v>
      </c>
      <c r="E91" s="89">
        <v>201.35</v>
      </c>
      <c r="F91" s="89">
        <v>201.34</v>
      </c>
      <c r="G91" s="89">
        <v>202.11</v>
      </c>
      <c r="H91" s="89">
        <v>200.97</v>
      </c>
      <c r="I91" s="89">
        <v>201.4</v>
      </c>
      <c r="J91" s="89">
        <v>201.18</v>
      </c>
    </row>
    <row r="92" spans="1:10" x14ac:dyDescent="0.25">
      <c r="A92" s="329" t="s">
        <v>821</v>
      </c>
      <c r="B92" s="89">
        <v>201.46</v>
      </c>
      <c r="C92" s="89">
        <v>201.27</v>
      </c>
      <c r="D92" s="89">
        <v>201.25</v>
      </c>
      <c r="E92" s="89">
        <v>201.31</v>
      </c>
      <c r="F92" s="89">
        <v>201.41</v>
      </c>
      <c r="G92" s="89">
        <v>202.1</v>
      </c>
      <c r="H92" s="89">
        <v>201</v>
      </c>
      <c r="I92" s="89">
        <v>201.43</v>
      </c>
      <c r="J92" s="89">
        <v>201.21</v>
      </c>
    </row>
    <row r="93" spans="1:10" x14ac:dyDescent="0.25">
      <c r="A93" s="329" t="s">
        <v>822</v>
      </c>
      <c r="B93" s="89">
        <v>201.52</v>
      </c>
      <c r="C93" s="89">
        <v>201.33</v>
      </c>
      <c r="D93" s="89">
        <v>201.29</v>
      </c>
      <c r="E93" s="89">
        <v>201.37</v>
      </c>
      <c r="F93" s="89">
        <v>201.34</v>
      </c>
      <c r="G93" s="89">
        <v>202.14</v>
      </c>
      <c r="H93" s="89">
        <v>201.01</v>
      </c>
      <c r="I93" s="89">
        <v>201.51</v>
      </c>
      <c r="J93" s="89">
        <v>201.29</v>
      </c>
    </row>
    <row r="94" spans="1:10" x14ac:dyDescent="0.25">
      <c r="A94" s="329" t="s">
        <v>823</v>
      </c>
      <c r="B94" s="89">
        <v>201.4</v>
      </c>
      <c r="C94" s="89">
        <v>201.21</v>
      </c>
      <c r="D94" s="89">
        <v>201.22</v>
      </c>
      <c r="E94" s="89">
        <v>201.27</v>
      </c>
      <c r="F94" s="89">
        <v>201.32</v>
      </c>
      <c r="G94" s="89">
        <v>202.07</v>
      </c>
      <c r="H94" s="89">
        <v>200.95</v>
      </c>
      <c r="I94" s="89">
        <v>201.4</v>
      </c>
      <c r="J94" s="89">
        <v>201.17</v>
      </c>
    </row>
    <row r="95" spans="1:10" x14ac:dyDescent="0.25">
      <c r="A95" s="329" t="s">
        <v>824</v>
      </c>
      <c r="B95" s="89">
        <v>201.52</v>
      </c>
      <c r="C95" s="89">
        <v>201.31</v>
      </c>
      <c r="D95" s="89">
        <v>201.27</v>
      </c>
      <c r="E95" s="89">
        <v>201.34</v>
      </c>
      <c r="F95" s="89">
        <v>201.37</v>
      </c>
      <c r="G95" s="89">
        <v>202.12</v>
      </c>
      <c r="H95" s="89">
        <v>201.05</v>
      </c>
      <c r="I95" s="89">
        <v>201.49</v>
      </c>
      <c r="J95" s="89">
        <v>201.23</v>
      </c>
    </row>
    <row r="96" spans="1:10" x14ac:dyDescent="0.25">
      <c r="A96" s="329" t="s">
        <v>825</v>
      </c>
      <c r="B96" s="89">
        <v>201.38</v>
      </c>
      <c r="C96" s="89">
        <v>201.21</v>
      </c>
      <c r="D96" s="89">
        <v>201.18</v>
      </c>
      <c r="E96" s="89">
        <v>201.23</v>
      </c>
      <c r="F96" s="89">
        <v>201.36</v>
      </c>
      <c r="G96" s="89">
        <v>202.02</v>
      </c>
      <c r="H96" s="89">
        <v>201</v>
      </c>
      <c r="I96" s="89">
        <v>201.36</v>
      </c>
      <c r="J96" s="89">
        <v>201.14</v>
      </c>
    </row>
    <row r="97" spans="1:10" x14ac:dyDescent="0.25">
      <c r="A97" s="329" t="s">
        <v>826</v>
      </c>
      <c r="B97" s="89">
        <v>201.42</v>
      </c>
      <c r="C97" s="89">
        <v>201.21</v>
      </c>
      <c r="D97" s="89">
        <v>201.21</v>
      </c>
      <c r="E97" s="89">
        <v>201.26</v>
      </c>
      <c r="F97" s="89">
        <v>201.31</v>
      </c>
      <c r="G97" s="89">
        <v>202.04</v>
      </c>
      <c r="H97" s="89">
        <v>200.95</v>
      </c>
      <c r="I97" s="89">
        <v>201.35</v>
      </c>
      <c r="J97" s="89">
        <v>201.18</v>
      </c>
    </row>
    <row r="98" spans="1:10" x14ac:dyDescent="0.25">
      <c r="A98" s="329" t="s">
        <v>827</v>
      </c>
      <c r="B98" s="89">
        <v>201.38</v>
      </c>
      <c r="C98" s="89">
        <v>201.22</v>
      </c>
      <c r="D98" s="89">
        <v>201.21</v>
      </c>
      <c r="E98" s="89">
        <v>201.23</v>
      </c>
      <c r="F98" s="89">
        <v>201.33</v>
      </c>
      <c r="G98" s="89">
        <v>201.98</v>
      </c>
      <c r="H98" s="89">
        <v>200.96</v>
      </c>
      <c r="I98" s="89">
        <v>201.35</v>
      </c>
      <c r="J98" s="89">
        <v>201.15</v>
      </c>
    </row>
  </sheetData>
  <sheetProtection algorithmName="SHA-512" hashValue="v2pn4bEYt33c6pIsMXoxyPnr//S8fcQ0+vfAcIO6HftNO2K0QzHwN9GXZ2ZhyF7e5t5OaTOmvs4gLkDYSzrCKA==" saltValue="O48KPthZpeP1m5/XZxrF3Q==" spinCount="100000" sheet="1" objects="1" scenarios="1"/>
  <mergeCells count="1">
    <mergeCell ref="L9:O15"/>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410A-ED73-40CE-837C-366DBA6ED45C}">
  <sheetPr codeName="Feuil39">
    <tabColor rgb="FF002060"/>
  </sheetPr>
  <dimension ref="A1:O61"/>
  <sheetViews>
    <sheetView topLeftCell="A29" workbookViewId="0">
      <selection activeCell="B5" sqref="B5:G5"/>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17" t="s">
        <v>828</v>
      </c>
      <c r="B2">
        <v>343.14</v>
      </c>
      <c r="C2">
        <v>341.83</v>
      </c>
      <c r="D2">
        <v>340.21</v>
      </c>
      <c r="E2">
        <v>344.7</v>
      </c>
      <c r="F2">
        <v>344.75</v>
      </c>
      <c r="G2">
        <v>348.01</v>
      </c>
      <c r="H2">
        <v>335.86</v>
      </c>
      <c r="I2">
        <v>347.94</v>
      </c>
      <c r="J2">
        <v>343.69</v>
      </c>
    </row>
    <row r="3" spans="1:15" x14ac:dyDescent="0.25">
      <c r="A3" s="329" t="s">
        <v>829</v>
      </c>
      <c r="B3" s="89">
        <v>346.21</v>
      </c>
      <c r="C3" s="89">
        <v>345.27</v>
      </c>
      <c r="D3" s="89">
        <v>343.37</v>
      </c>
      <c r="E3" s="89">
        <v>347.75</v>
      </c>
      <c r="F3" s="89">
        <v>348.12</v>
      </c>
      <c r="G3" s="89">
        <v>351</v>
      </c>
      <c r="H3" s="89">
        <v>338.91</v>
      </c>
      <c r="I3" s="89">
        <v>350.98</v>
      </c>
      <c r="J3" s="89">
        <v>346.84</v>
      </c>
    </row>
    <row r="4" spans="1:15" x14ac:dyDescent="0.25">
      <c r="A4" s="329" t="s">
        <v>830</v>
      </c>
      <c r="B4" s="89">
        <v>349.37</v>
      </c>
      <c r="C4" s="89">
        <v>348.13</v>
      </c>
      <c r="D4" s="89">
        <v>346.48</v>
      </c>
      <c r="E4" s="89">
        <v>350.94</v>
      </c>
      <c r="F4" s="89">
        <v>350.95</v>
      </c>
      <c r="G4" s="89">
        <v>354.16</v>
      </c>
      <c r="H4" s="89">
        <v>342.24</v>
      </c>
      <c r="I4" s="89">
        <v>354.22</v>
      </c>
      <c r="J4" s="89">
        <v>350.12</v>
      </c>
    </row>
    <row r="5" spans="1:15" x14ac:dyDescent="0.25">
      <c r="A5" s="329" t="s">
        <v>831</v>
      </c>
      <c r="B5" s="89">
        <v>352.54</v>
      </c>
      <c r="C5" s="89">
        <v>351.35</v>
      </c>
      <c r="D5" s="89">
        <v>349.58</v>
      </c>
      <c r="E5" s="89">
        <v>353.99</v>
      </c>
      <c r="F5" s="89">
        <v>354.17</v>
      </c>
      <c r="G5" s="89">
        <v>357.07</v>
      </c>
      <c r="H5" s="89">
        <v>345.51</v>
      </c>
      <c r="I5" s="89">
        <v>357.16</v>
      </c>
      <c r="J5" s="89">
        <v>353.08</v>
      </c>
    </row>
    <row r="6" spans="1:15" x14ac:dyDescent="0.25">
      <c r="A6" s="329" t="s">
        <v>832</v>
      </c>
      <c r="B6" s="89">
        <v>355.6</v>
      </c>
      <c r="C6" s="89">
        <v>354.24</v>
      </c>
      <c r="D6" s="89">
        <v>352.66</v>
      </c>
      <c r="E6" s="89">
        <v>357.01</v>
      </c>
      <c r="F6" s="89">
        <v>356.91</v>
      </c>
      <c r="G6" s="89">
        <v>360.28</v>
      </c>
      <c r="H6" s="89">
        <v>348.41</v>
      </c>
      <c r="I6" s="89">
        <v>360.14</v>
      </c>
      <c r="J6" s="89">
        <v>356.21</v>
      </c>
    </row>
    <row r="7" spans="1:15" x14ac:dyDescent="0.25">
      <c r="A7" s="329" t="s">
        <v>833</v>
      </c>
      <c r="B7" s="89">
        <v>358.47</v>
      </c>
      <c r="C7" s="89">
        <v>357.05</v>
      </c>
      <c r="D7" s="89">
        <v>355.68</v>
      </c>
      <c r="E7" s="89">
        <v>359.97</v>
      </c>
      <c r="F7" s="89">
        <v>360.16</v>
      </c>
      <c r="G7" s="89">
        <v>363.32</v>
      </c>
      <c r="H7" s="89">
        <v>351.69</v>
      </c>
      <c r="I7" s="89">
        <v>363.13</v>
      </c>
      <c r="J7" s="89">
        <v>359.07</v>
      </c>
    </row>
    <row r="8" spans="1:15" ht="15.75" thickBot="1" x14ac:dyDescent="0.3">
      <c r="A8" s="329" t="s">
        <v>834</v>
      </c>
      <c r="B8" s="89">
        <v>361.68</v>
      </c>
      <c r="C8" s="89">
        <v>360.17</v>
      </c>
      <c r="D8" s="89">
        <v>358.78</v>
      </c>
      <c r="E8" s="89">
        <v>363.09</v>
      </c>
      <c r="F8" s="89">
        <v>363.2</v>
      </c>
      <c r="G8" s="89">
        <v>366.18</v>
      </c>
      <c r="H8" s="89">
        <v>354.6</v>
      </c>
      <c r="I8" s="89">
        <v>366.06</v>
      </c>
      <c r="J8" s="89">
        <v>362.08</v>
      </c>
    </row>
    <row r="9" spans="1:15" x14ac:dyDescent="0.25">
      <c r="A9" s="329" t="s">
        <v>835</v>
      </c>
      <c r="B9" s="89">
        <v>364.74</v>
      </c>
      <c r="C9" s="89">
        <v>363.23</v>
      </c>
      <c r="D9" s="89">
        <v>361.72</v>
      </c>
      <c r="E9" s="89">
        <v>365.83</v>
      </c>
      <c r="F9" s="89">
        <v>365.85</v>
      </c>
      <c r="G9" s="89">
        <v>369.07</v>
      </c>
      <c r="H9" s="89">
        <v>357.74</v>
      </c>
      <c r="I9" s="89">
        <v>369.13</v>
      </c>
      <c r="J9" s="89">
        <v>364.99</v>
      </c>
      <c r="L9" s="363" t="s">
        <v>540</v>
      </c>
      <c r="M9" s="364"/>
      <c r="N9" s="364"/>
      <c r="O9" s="365"/>
    </row>
    <row r="10" spans="1:15" x14ac:dyDescent="0.25">
      <c r="A10" s="329" t="s">
        <v>836</v>
      </c>
      <c r="B10" s="89">
        <v>367.49</v>
      </c>
      <c r="C10" s="89">
        <v>365.93</v>
      </c>
      <c r="D10" s="89">
        <v>364.73</v>
      </c>
      <c r="E10" s="89">
        <v>368.91</v>
      </c>
      <c r="F10" s="89">
        <v>369.06</v>
      </c>
      <c r="G10" s="89">
        <v>372.09</v>
      </c>
      <c r="H10" s="89">
        <v>360.51</v>
      </c>
      <c r="I10" s="89">
        <v>371.95</v>
      </c>
      <c r="J10" s="89">
        <v>367.99</v>
      </c>
      <c r="L10" s="366"/>
      <c r="M10" s="367"/>
      <c r="N10" s="367"/>
      <c r="O10" s="368"/>
    </row>
    <row r="11" spans="1:15" x14ac:dyDescent="0.25">
      <c r="A11" s="329" t="s">
        <v>837</v>
      </c>
      <c r="B11" s="89">
        <v>370.5</v>
      </c>
      <c r="C11" s="89">
        <v>369.05</v>
      </c>
      <c r="D11" s="89">
        <v>367.77</v>
      </c>
      <c r="E11" s="89">
        <v>371.8</v>
      </c>
      <c r="F11" s="89">
        <v>372.13</v>
      </c>
      <c r="G11" s="89">
        <v>375.03</v>
      </c>
      <c r="H11" s="89">
        <v>363.03</v>
      </c>
      <c r="I11" s="89">
        <v>374.93</v>
      </c>
      <c r="J11" s="89">
        <v>370.97</v>
      </c>
      <c r="L11" s="366"/>
      <c r="M11" s="367"/>
      <c r="N11" s="367"/>
      <c r="O11" s="368"/>
    </row>
    <row r="12" spans="1:15" x14ac:dyDescent="0.25">
      <c r="A12" s="329" t="s">
        <v>838</v>
      </c>
      <c r="B12" s="89">
        <v>373.41</v>
      </c>
      <c r="C12" s="89">
        <v>371.79</v>
      </c>
      <c r="D12" s="89">
        <v>370.6</v>
      </c>
      <c r="E12" s="89">
        <v>374.65</v>
      </c>
      <c r="F12" s="89">
        <v>375.05</v>
      </c>
      <c r="G12" s="89">
        <v>377.77</v>
      </c>
      <c r="H12" s="89">
        <v>366.81</v>
      </c>
      <c r="I12" s="89">
        <v>377.71</v>
      </c>
      <c r="J12" s="89">
        <v>373.83</v>
      </c>
      <c r="L12" s="366"/>
      <c r="M12" s="367"/>
      <c r="N12" s="367"/>
      <c r="O12" s="368"/>
    </row>
    <row r="13" spans="1:15" x14ac:dyDescent="0.25">
      <c r="A13" s="329" t="s">
        <v>839</v>
      </c>
      <c r="B13" s="89">
        <v>376.48</v>
      </c>
      <c r="C13" s="89">
        <v>374.77</v>
      </c>
      <c r="D13" s="89">
        <v>373.6</v>
      </c>
      <c r="E13" s="89">
        <v>377.61</v>
      </c>
      <c r="F13" s="89">
        <v>377.86</v>
      </c>
      <c r="G13" s="89">
        <v>380.84</v>
      </c>
      <c r="H13" s="89">
        <v>369.54</v>
      </c>
      <c r="I13" s="89">
        <v>380.7</v>
      </c>
      <c r="J13" s="89">
        <v>376.77</v>
      </c>
      <c r="L13" s="366"/>
      <c r="M13" s="367"/>
      <c r="N13" s="367"/>
      <c r="O13" s="368"/>
    </row>
    <row r="14" spans="1:15" x14ac:dyDescent="0.25">
      <c r="A14" s="329" t="s">
        <v>840</v>
      </c>
      <c r="B14" s="89">
        <v>379.35</v>
      </c>
      <c r="C14" s="89">
        <v>378.01</v>
      </c>
      <c r="D14" s="89">
        <v>376.5</v>
      </c>
      <c r="E14" s="89">
        <v>380.55</v>
      </c>
      <c r="F14" s="89">
        <v>380.82</v>
      </c>
      <c r="G14" s="89">
        <v>383.55</v>
      </c>
      <c r="H14" s="89">
        <v>372.41</v>
      </c>
      <c r="I14" s="89">
        <v>383.68</v>
      </c>
      <c r="J14" s="89">
        <v>379.78</v>
      </c>
      <c r="L14" s="366"/>
      <c r="M14" s="367"/>
      <c r="N14" s="367"/>
      <c r="O14" s="368"/>
    </row>
    <row r="15" spans="1:15" ht="15.75" thickBot="1" x14ac:dyDescent="0.3">
      <c r="A15" s="329" t="s">
        <v>841</v>
      </c>
      <c r="B15" s="89">
        <v>382.08</v>
      </c>
      <c r="C15" s="89">
        <v>380.64</v>
      </c>
      <c r="D15" s="89">
        <v>379.47</v>
      </c>
      <c r="E15" s="89">
        <v>383.33</v>
      </c>
      <c r="F15" s="89">
        <v>383.71</v>
      </c>
      <c r="G15" s="89">
        <v>386.47</v>
      </c>
      <c r="H15" s="89">
        <v>375.04</v>
      </c>
      <c r="I15" s="89">
        <v>386.34</v>
      </c>
      <c r="J15" s="89">
        <v>382.42</v>
      </c>
      <c r="L15" s="369"/>
      <c r="M15" s="370"/>
      <c r="N15" s="370"/>
      <c r="O15" s="371"/>
    </row>
    <row r="16" spans="1:15" x14ac:dyDescent="0.25">
      <c r="A16" s="329" t="s">
        <v>842</v>
      </c>
      <c r="B16" s="89">
        <v>383.49</v>
      </c>
      <c r="C16" s="89">
        <v>382.27</v>
      </c>
      <c r="D16" s="89">
        <v>381.1</v>
      </c>
      <c r="E16" s="89">
        <v>384.61</v>
      </c>
      <c r="F16" s="89">
        <v>384.77</v>
      </c>
      <c r="G16" s="89">
        <v>387.62</v>
      </c>
      <c r="H16" s="89">
        <v>377.32</v>
      </c>
      <c r="I16" s="89">
        <v>387.38</v>
      </c>
      <c r="J16" s="89">
        <v>383.99</v>
      </c>
    </row>
    <row r="17" spans="1:10" x14ac:dyDescent="0.25">
      <c r="A17" s="329" t="s">
        <v>843</v>
      </c>
      <c r="B17" s="89">
        <v>384.75</v>
      </c>
      <c r="C17" s="89">
        <v>383.57</v>
      </c>
      <c r="D17" s="89">
        <v>382.42</v>
      </c>
      <c r="E17" s="89">
        <v>385.61</v>
      </c>
      <c r="F17" s="89">
        <v>385.67</v>
      </c>
      <c r="G17" s="89">
        <v>388.58</v>
      </c>
      <c r="H17" s="89">
        <v>379.26</v>
      </c>
      <c r="I17" s="89">
        <v>388.14</v>
      </c>
      <c r="J17" s="89">
        <v>385.01</v>
      </c>
    </row>
    <row r="18" spans="1:10" x14ac:dyDescent="0.25">
      <c r="A18" s="329" t="s">
        <v>844</v>
      </c>
      <c r="B18" s="89">
        <v>385.32</v>
      </c>
      <c r="C18" s="89">
        <v>384.37</v>
      </c>
      <c r="D18" s="89">
        <v>383.36</v>
      </c>
      <c r="E18" s="89">
        <v>386.13</v>
      </c>
      <c r="F18" s="89">
        <v>386.46</v>
      </c>
      <c r="G18" s="89">
        <v>389.01</v>
      </c>
      <c r="H18" s="89">
        <v>380.63</v>
      </c>
      <c r="I18" s="89">
        <v>388.36</v>
      </c>
      <c r="J18" s="89">
        <v>385.7</v>
      </c>
    </row>
    <row r="19" spans="1:10" x14ac:dyDescent="0.25">
      <c r="A19" s="329" t="s">
        <v>845</v>
      </c>
      <c r="B19" s="89">
        <v>385.78</v>
      </c>
      <c r="C19" s="89">
        <v>384.69</v>
      </c>
      <c r="D19" s="89">
        <v>384.02</v>
      </c>
      <c r="E19" s="89">
        <v>386.27</v>
      </c>
      <c r="F19" s="89">
        <v>386.44</v>
      </c>
      <c r="G19" s="89">
        <v>389.02</v>
      </c>
      <c r="H19" s="89">
        <v>381.54</v>
      </c>
      <c r="I19" s="89">
        <v>388.29</v>
      </c>
      <c r="J19" s="89">
        <v>385.85</v>
      </c>
    </row>
    <row r="20" spans="1:10" x14ac:dyDescent="0.25">
      <c r="A20" s="329" t="s">
        <v>846</v>
      </c>
      <c r="B20" s="89">
        <v>386.18</v>
      </c>
      <c r="C20" s="89">
        <v>385.34</v>
      </c>
      <c r="D20" s="89">
        <v>384.6</v>
      </c>
      <c r="E20" s="89">
        <v>386.6</v>
      </c>
      <c r="F20" s="89">
        <v>387.03</v>
      </c>
      <c r="G20" s="89">
        <v>389.4</v>
      </c>
      <c r="H20" s="89">
        <v>382.57</v>
      </c>
      <c r="I20" s="89">
        <v>388.53</v>
      </c>
      <c r="J20" s="89">
        <v>386.26</v>
      </c>
    </row>
    <row r="21" spans="1:10" x14ac:dyDescent="0.25">
      <c r="A21" s="329" t="s">
        <v>847</v>
      </c>
      <c r="B21" s="89">
        <v>386.33</v>
      </c>
      <c r="C21" s="89">
        <v>385.56</v>
      </c>
      <c r="D21" s="89">
        <v>384.92</v>
      </c>
      <c r="E21" s="89">
        <v>386.66</v>
      </c>
      <c r="F21" s="89">
        <v>386.9</v>
      </c>
      <c r="G21" s="89">
        <v>389.24</v>
      </c>
      <c r="H21" s="89">
        <v>383.24</v>
      </c>
      <c r="I21" s="89">
        <v>388.31</v>
      </c>
      <c r="J21" s="89">
        <v>386.36</v>
      </c>
    </row>
    <row r="22" spans="1:10" x14ac:dyDescent="0.25">
      <c r="A22" s="329" t="s">
        <v>848</v>
      </c>
      <c r="B22" s="89">
        <v>386.33</v>
      </c>
      <c r="C22" s="89">
        <v>385.69</v>
      </c>
      <c r="D22" s="89">
        <v>385.16</v>
      </c>
      <c r="E22" s="89">
        <v>386.56</v>
      </c>
      <c r="F22" s="89">
        <v>386.68</v>
      </c>
      <c r="G22" s="89">
        <v>389.08</v>
      </c>
      <c r="H22" s="89">
        <v>383.47</v>
      </c>
      <c r="I22" s="89">
        <v>387.96</v>
      </c>
      <c r="J22" s="89">
        <v>386.34</v>
      </c>
    </row>
    <row r="23" spans="1:10" x14ac:dyDescent="0.25">
      <c r="A23" s="329" t="s">
        <v>849</v>
      </c>
      <c r="B23" s="89">
        <v>386.54</v>
      </c>
      <c r="C23" s="89">
        <v>385.89</v>
      </c>
      <c r="D23" s="89">
        <v>385.41</v>
      </c>
      <c r="E23" s="89">
        <v>386.66</v>
      </c>
      <c r="F23" s="89">
        <v>386.78</v>
      </c>
      <c r="G23" s="89">
        <v>389.04</v>
      </c>
      <c r="H23" s="89">
        <v>384</v>
      </c>
      <c r="I23" s="89">
        <v>387.97</v>
      </c>
      <c r="J23" s="89">
        <v>386.48</v>
      </c>
    </row>
    <row r="24" spans="1:10" x14ac:dyDescent="0.25">
      <c r="A24" s="329" t="s">
        <v>850</v>
      </c>
      <c r="B24" s="89">
        <v>386.59</v>
      </c>
      <c r="C24" s="89">
        <v>386</v>
      </c>
      <c r="D24" s="89">
        <v>385.56</v>
      </c>
      <c r="E24" s="89">
        <v>386.64</v>
      </c>
      <c r="F24" s="89">
        <v>386.84</v>
      </c>
      <c r="G24" s="89">
        <v>388.95</v>
      </c>
      <c r="H24" s="89">
        <v>384.25</v>
      </c>
      <c r="I24" s="89">
        <v>387.65</v>
      </c>
      <c r="J24" s="89">
        <v>386.47</v>
      </c>
    </row>
    <row r="25" spans="1:10" x14ac:dyDescent="0.25">
      <c r="A25" s="329" t="s">
        <v>851</v>
      </c>
      <c r="B25" s="89">
        <v>386.58</v>
      </c>
      <c r="C25" s="89">
        <v>386.05</v>
      </c>
      <c r="D25" s="89">
        <v>385.69</v>
      </c>
      <c r="E25" s="89">
        <v>386.61</v>
      </c>
      <c r="F25" s="89">
        <v>386.71</v>
      </c>
      <c r="G25" s="89">
        <v>388.86</v>
      </c>
      <c r="H25" s="89">
        <v>384.49</v>
      </c>
      <c r="I25" s="89">
        <v>387.55</v>
      </c>
      <c r="J25" s="89">
        <v>386.41</v>
      </c>
    </row>
    <row r="26" spans="1:10" x14ac:dyDescent="0.25">
      <c r="A26" s="329" t="s">
        <v>852</v>
      </c>
      <c r="B26" s="89">
        <v>386.56</v>
      </c>
      <c r="C26" s="89">
        <v>386.03</v>
      </c>
      <c r="D26" s="89">
        <v>385.68</v>
      </c>
      <c r="E26" s="89">
        <v>386.43</v>
      </c>
      <c r="F26" s="89">
        <v>386.52</v>
      </c>
      <c r="G26" s="89">
        <v>388.65</v>
      </c>
      <c r="H26" s="89">
        <v>384.62</v>
      </c>
      <c r="I26" s="89">
        <v>387.34</v>
      </c>
      <c r="J26" s="89">
        <v>386.33</v>
      </c>
    </row>
    <row r="27" spans="1:10" x14ac:dyDescent="0.25">
      <c r="A27" s="329" t="s">
        <v>853</v>
      </c>
      <c r="B27" s="89">
        <v>386.62</v>
      </c>
      <c r="C27" s="89">
        <v>386.15</v>
      </c>
      <c r="D27" s="89">
        <v>385.83</v>
      </c>
      <c r="E27" s="89">
        <v>386.52</v>
      </c>
      <c r="F27" s="89">
        <v>386.54</v>
      </c>
      <c r="G27" s="89">
        <v>388.61</v>
      </c>
      <c r="H27" s="89">
        <v>384.81</v>
      </c>
      <c r="I27" s="89">
        <v>387.32</v>
      </c>
      <c r="J27" s="89">
        <v>386.43</v>
      </c>
    </row>
    <row r="28" spans="1:10" x14ac:dyDescent="0.25">
      <c r="A28" s="329" t="s">
        <v>854</v>
      </c>
      <c r="B28" s="89">
        <v>386.64</v>
      </c>
      <c r="C28" s="89">
        <v>386.16</v>
      </c>
      <c r="D28" s="89">
        <v>385.87</v>
      </c>
      <c r="E28" s="89">
        <v>386.48</v>
      </c>
      <c r="F28" s="89">
        <v>386.69</v>
      </c>
      <c r="G28" s="89">
        <v>388.59</v>
      </c>
      <c r="H28" s="89">
        <v>384.81</v>
      </c>
      <c r="I28" s="89">
        <v>387.21</v>
      </c>
      <c r="J28" s="89">
        <v>386.34</v>
      </c>
    </row>
    <row r="29" spans="1:10" x14ac:dyDescent="0.25">
      <c r="A29" s="329" t="s">
        <v>855</v>
      </c>
      <c r="B29" s="89">
        <v>386.66</v>
      </c>
      <c r="C29" s="89">
        <v>386.21</v>
      </c>
      <c r="D29" s="89">
        <v>385.92</v>
      </c>
      <c r="E29" s="89">
        <v>386.45</v>
      </c>
      <c r="F29" s="89">
        <v>386.41</v>
      </c>
      <c r="G29" s="89">
        <v>388.46</v>
      </c>
      <c r="H29" s="89">
        <v>384.89</v>
      </c>
      <c r="I29" s="89">
        <v>386.94</v>
      </c>
      <c r="J29" s="89">
        <v>386.33</v>
      </c>
    </row>
    <row r="30" spans="1:10" x14ac:dyDescent="0.25">
      <c r="A30" s="329" t="s">
        <v>856</v>
      </c>
      <c r="B30" s="89">
        <v>386.63</v>
      </c>
      <c r="C30" s="89">
        <v>386.17</v>
      </c>
      <c r="D30" s="89">
        <v>385.94</v>
      </c>
      <c r="E30" s="89">
        <v>386.4</v>
      </c>
      <c r="F30" s="89">
        <v>386.33</v>
      </c>
      <c r="G30" s="89">
        <v>388.31</v>
      </c>
      <c r="H30" s="89">
        <v>384.89</v>
      </c>
      <c r="I30" s="89">
        <v>386.95</v>
      </c>
      <c r="J30" s="89">
        <v>386.27</v>
      </c>
    </row>
    <row r="31" spans="1:10" x14ac:dyDescent="0.25">
      <c r="A31" s="329" t="s">
        <v>857</v>
      </c>
      <c r="B31" s="89">
        <v>386.6</v>
      </c>
      <c r="C31" s="89">
        <v>386.22</v>
      </c>
      <c r="D31" s="89">
        <v>385.92</v>
      </c>
      <c r="E31" s="89">
        <v>386.3</v>
      </c>
      <c r="F31" s="89">
        <v>386.3</v>
      </c>
      <c r="G31" s="89">
        <v>388.2</v>
      </c>
      <c r="H31" s="89">
        <v>385.01</v>
      </c>
      <c r="I31" s="89">
        <v>386.93</v>
      </c>
      <c r="J31" s="89">
        <v>386.21</v>
      </c>
    </row>
    <row r="32" spans="1:10" x14ac:dyDescent="0.25">
      <c r="A32" s="329" t="s">
        <v>858</v>
      </c>
      <c r="B32" s="89">
        <v>386.71</v>
      </c>
      <c r="C32" s="89">
        <v>386.24</v>
      </c>
      <c r="D32" s="89">
        <v>386.07</v>
      </c>
      <c r="E32" s="89">
        <v>386.49</v>
      </c>
      <c r="F32" s="89">
        <v>386.32</v>
      </c>
      <c r="G32" s="89">
        <v>388.38</v>
      </c>
      <c r="H32" s="89">
        <v>385.06</v>
      </c>
      <c r="I32" s="89">
        <v>387.03</v>
      </c>
      <c r="J32" s="89">
        <v>386.33</v>
      </c>
    </row>
    <row r="33" spans="1:10" x14ac:dyDescent="0.25">
      <c r="A33" s="329" t="s">
        <v>859</v>
      </c>
      <c r="B33" s="89">
        <v>386.72</v>
      </c>
      <c r="C33" s="89">
        <v>386.3</v>
      </c>
      <c r="D33" s="89">
        <v>386.1</v>
      </c>
      <c r="E33" s="89">
        <v>386.42</v>
      </c>
      <c r="F33" s="89">
        <v>386.21</v>
      </c>
      <c r="G33" s="89">
        <v>388.28</v>
      </c>
      <c r="H33" s="89">
        <v>385.04</v>
      </c>
      <c r="I33" s="89">
        <v>386.93</v>
      </c>
      <c r="J33" s="89">
        <v>386.26</v>
      </c>
    </row>
    <row r="34" spans="1:10" x14ac:dyDescent="0.25">
      <c r="A34" s="329" t="s">
        <v>860</v>
      </c>
      <c r="B34" s="89">
        <v>386.7</v>
      </c>
      <c r="C34" s="89">
        <v>386.32</v>
      </c>
      <c r="D34" s="89">
        <v>386.07</v>
      </c>
      <c r="E34" s="89">
        <v>386.37</v>
      </c>
      <c r="F34" s="89">
        <v>386.18</v>
      </c>
      <c r="G34" s="89">
        <v>388.24</v>
      </c>
      <c r="H34" s="89">
        <v>385.15</v>
      </c>
      <c r="I34" s="89">
        <v>386.8</v>
      </c>
      <c r="J34" s="89">
        <v>386.26</v>
      </c>
    </row>
    <row r="35" spans="1:10" x14ac:dyDescent="0.25">
      <c r="A35" s="329" t="s">
        <v>861</v>
      </c>
      <c r="B35" s="89">
        <v>386.71</v>
      </c>
      <c r="C35" s="89">
        <v>386.39</v>
      </c>
      <c r="D35" s="89">
        <v>386.17</v>
      </c>
      <c r="E35" s="89">
        <v>386.38</v>
      </c>
      <c r="F35" s="89">
        <v>386.47</v>
      </c>
      <c r="G35" s="89">
        <v>388.14</v>
      </c>
      <c r="H35" s="89">
        <v>384.99</v>
      </c>
      <c r="I35" s="89">
        <v>386.8</v>
      </c>
      <c r="J35" s="89">
        <v>386.24</v>
      </c>
    </row>
    <row r="36" spans="1:10" x14ac:dyDescent="0.25">
      <c r="A36" s="329" t="s">
        <v>862</v>
      </c>
      <c r="B36" s="89">
        <v>386.76</v>
      </c>
      <c r="C36" s="89">
        <v>386.39</v>
      </c>
      <c r="D36" s="89">
        <v>386.21</v>
      </c>
      <c r="E36" s="89">
        <v>386.44</v>
      </c>
      <c r="F36" s="89">
        <v>386.4</v>
      </c>
      <c r="G36" s="89">
        <v>388.24</v>
      </c>
      <c r="H36" s="89">
        <v>385.03</v>
      </c>
      <c r="I36" s="89">
        <v>386.9</v>
      </c>
      <c r="J36" s="89">
        <v>386.31</v>
      </c>
    </row>
    <row r="37" spans="1:10" x14ac:dyDescent="0.25">
      <c r="A37" s="329" t="s">
        <v>863</v>
      </c>
      <c r="B37" s="89">
        <v>386.77</v>
      </c>
      <c r="C37" s="89">
        <v>386.5</v>
      </c>
      <c r="D37" s="89">
        <v>386.19</v>
      </c>
      <c r="E37" s="89">
        <v>386.46</v>
      </c>
      <c r="F37" s="89">
        <v>386.39</v>
      </c>
      <c r="G37" s="89">
        <v>388.26</v>
      </c>
      <c r="H37" s="89">
        <v>385.12</v>
      </c>
      <c r="I37" s="89">
        <v>386.74</v>
      </c>
      <c r="J37" s="89">
        <v>386.26</v>
      </c>
    </row>
    <row r="38" spans="1:10" x14ac:dyDescent="0.25">
      <c r="A38" s="329" t="s">
        <v>864</v>
      </c>
      <c r="B38" s="89">
        <v>387.09</v>
      </c>
      <c r="C38" s="89">
        <v>386.66</v>
      </c>
      <c r="D38" s="89">
        <v>386.46</v>
      </c>
      <c r="E38" s="89">
        <v>386.74</v>
      </c>
      <c r="F38" s="89">
        <v>386.39</v>
      </c>
      <c r="G38" s="89">
        <v>388.47</v>
      </c>
      <c r="H38" s="89">
        <v>385.27</v>
      </c>
      <c r="I38" s="89">
        <v>387.1</v>
      </c>
      <c r="J38" s="89">
        <v>386.57</v>
      </c>
    </row>
    <row r="39" spans="1:10" x14ac:dyDescent="0.25">
      <c r="A39" s="329" t="s">
        <v>865</v>
      </c>
      <c r="B39" s="89">
        <v>386.88</v>
      </c>
      <c r="C39" s="89">
        <v>386.52</v>
      </c>
      <c r="D39" s="89">
        <v>386.34</v>
      </c>
      <c r="E39" s="89">
        <v>386.55</v>
      </c>
      <c r="F39" s="89">
        <v>386.25</v>
      </c>
      <c r="G39" s="89">
        <v>388.24</v>
      </c>
      <c r="H39" s="89">
        <v>385.19</v>
      </c>
      <c r="I39" s="89">
        <v>386.81</v>
      </c>
      <c r="J39" s="89">
        <v>386.39</v>
      </c>
    </row>
    <row r="40" spans="1:10" x14ac:dyDescent="0.25">
      <c r="A40" s="329" t="s">
        <v>866</v>
      </c>
      <c r="B40" s="89">
        <v>386.84</v>
      </c>
      <c r="C40" s="89">
        <v>386.49</v>
      </c>
      <c r="D40" s="89">
        <v>386.39</v>
      </c>
      <c r="E40" s="89">
        <v>386.54</v>
      </c>
      <c r="F40" s="89">
        <v>386.23</v>
      </c>
      <c r="G40" s="89">
        <v>388.15</v>
      </c>
      <c r="H40" s="89">
        <v>385.15</v>
      </c>
      <c r="I40" s="89">
        <v>386.86</v>
      </c>
      <c r="J40" s="89">
        <v>386.36</v>
      </c>
    </row>
    <row r="41" spans="1:10" x14ac:dyDescent="0.25">
      <c r="A41" s="329" t="s">
        <v>867</v>
      </c>
      <c r="B41" s="89">
        <v>386.95</v>
      </c>
      <c r="C41" s="89">
        <v>386.57</v>
      </c>
      <c r="D41" s="89">
        <v>386.38</v>
      </c>
      <c r="E41" s="89">
        <v>386.55</v>
      </c>
      <c r="F41" s="89">
        <v>386.52</v>
      </c>
      <c r="G41" s="89">
        <v>388.3</v>
      </c>
      <c r="H41" s="89">
        <v>385.21</v>
      </c>
      <c r="I41" s="89">
        <v>386.9</v>
      </c>
      <c r="J41" s="89">
        <v>386.43</v>
      </c>
    </row>
    <row r="42" spans="1:10" x14ac:dyDescent="0.25">
      <c r="A42" s="329" t="s">
        <v>868</v>
      </c>
      <c r="B42" s="89">
        <v>386.85</v>
      </c>
      <c r="C42" s="89">
        <v>386.47</v>
      </c>
      <c r="D42" s="89">
        <v>386.35</v>
      </c>
      <c r="E42" s="89">
        <v>386.46</v>
      </c>
      <c r="F42" s="89">
        <v>386.14</v>
      </c>
      <c r="G42" s="89">
        <v>388.15</v>
      </c>
      <c r="H42" s="89">
        <v>385.29</v>
      </c>
      <c r="I42" s="89">
        <v>386.76</v>
      </c>
      <c r="J42" s="89">
        <v>386.35</v>
      </c>
    </row>
    <row r="43" spans="1:10" x14ac:dyDescent="0.25">
      <c r="A43" s="329" t="s">
        <v>869</v>
      </c>
      <c r="B43" s="89">
        <v>386.71</v>
      </c>
      <c r="C43" s="89">
        <v>386.37</v>
      </c>
      <c r="D43" s="89">
        <v>386.27</v>
      </c>
      <c r="E43" s="89">
        <v>386.35</v>
      </c>
      <c r="F43" s="89">
        <v>385.92</v>
      </c>
      <c r="G43" s="89">
        <v>388.06</v>
      </c>
      <c r="H43" s="89">
        <v>385.11</v>
      </c>
      <c r="I43" s="89">
        <v>386.58</v>
      </c>
      <c r="J43" s="89">
        <v>386.17</v>
      </c>
    </row>
    <row r="44" spans="1:10" x14ac:dyDescent="0.25">
      <c r="A44" s="329" t="s">
        <v>870</v>
      </c>
      <c r="B44" s="89">
        <v>386.82</v>
      </c>
      <c r="C44" s="89">
        <v>386.44</v>
      </c>
      <c r="D44" s="89">
        <v>386.34</v>
      </c>
      <c r="E44" s="89">
        <v>386.44</v>
      </c>
      <c r="F44" s="89">
        <v>386.03</v>
      </c>
      <c r="G44" s="89">
        <v>388.12</v>
      </c>
      <c r="H44" s="89">
        <v>385.2</v>
      </c>
      <c r="I44" s="89">
        <v>386.76</v>
      </c>
      <c r="J44" s="89">
        <v>386.28</v>
      </c>
    </row>
    <row r="45" spans="1:10" x14ac:dyDescent="0.25">
      <c r="A45" s="329" t="s">
        <v>871</v>
      </c>
      <c r="B45" s="89">
        <v>387.05</v>
      </c>
      <c r="C45" s="89">
        <v>386.67</v>
      </c>
      <c r="D45" s="89">
        <v>386.53</v>
      </c>
      <c r="E45" s="89">
        <v>386.66</v>
      </c>
      <c r="F45" s="89">
        <v>386.41</v>
      </c>
      <c r="G45" s="89">
        <v>388.33</v>
      </c>
      <c r="H45" s="89">
        <v>385.3</v>
      </c>
      <c r="I45" s="89">
        <v>386.91</v>
      </c>
      <c r="J45" s="89">
        <v>386.46</v>
      </c>
    </row>
    <row r="46" spans="1:10" x14ac:dyDescent="0.25">
      <c r="A46" s="329" t="s">
        <v>872</v>
      </c>
      <c r="B46" s="89">
        <v>386.91</v>
      </c>
      <c r="C46" s="89">
        <v>386.64</v>
      </c>
      <c r="D46" s="89">
        <v>386.45</v>
      </c>
      <c r="E46" s="89">
        <v>386.53</v>
      </c>
      <c r="F46" s="89">
        <v>386.14</v>
      </c>
      <c r="G46" s="89">
        <v>388.11</v>
      </c>
      <c r="H46" s="89">
        <v>385.32</v>
      </c>
      <c r="I46" s="89">
        <v>386.74</v>
      </c>
      <c r="J46" s="89">
        <v>386.32</v>
      </c>
    </row>
    <row r="47" spans="1:10" x14ac:dyDescent="0.25">
      <c r="A47" s="329" t="s">
        <v>873</v>
      </c>
      <c r="B47" s="89">
        <v>386.87</v>
      </c>
      <c r="C47" s="89">
        <v>386.48</v>
      </c>
      <c r="D47" s="89">
        <v>386.41</v>
      </c>
      <c r="E47" s="89">
        <v>386.49</v>
      </c>
      <c r="F47" s="89">
        <v>386.1</v>
      </c>
      <c r="G47" s="89">
        <v>388.02</v>
      </c>
      <c r="H47" s="89">
        <v>385.18</v>
      </c>
      <c r="I47" s="89">
        <v>386.71</v>
      </c>
      <c r="J47" s="89">
        <v>386.3</v>
      </c>
    </row>
    <row r="48" spans="1:10" x14ac:dyDescent="0.25">
      <c r="A48" s="329" t="s">
        <v>874</v>
      </c>
      <c r="B48" s="89">
        <v>387.01</v>
      </c>
      <c r="C48" s="89">
        <v>386.65</v>
      </c>
      <c r="D48" s="89">
        <v>386.51</v>
      </c>
      <c r="E48" s="89">
        <v>386.65</v>
      </c>
      <c r="F48" s="89">
        <v>386.23</v>
      </c>
      <c r="G48" s="89">
        <v>388.22</v>
      </c>
      <c r="H48" s="89">
        <v>385.33</v>
      </c>
      <c r="I48" s="89">
        <v>386.88</v>
      </c>
      <c r="J48" s="89">
        <v>386.46</v>
      </c>
    </row>
    <row r="49" spans="1:10" x14ac:dyDescent="0.25">
      <c r="A49" s="329" t="s">
        <v>875</v>
      </c>
      <c r="B49" s="89">
        <v>386.97</v>
      </c>
      <c r="C49" s="89">
        <v>386.62</v>
      </c>
      <c r="D49" s="89">
        <v>386.47</v>
      </c>
      <c r="E49" s="89">
        <v>386.61</v>
      </c>
      <c r="F49" s="89">
        <v>386.32</v>
      </c>
      <c r="G49" s="89">
        <v>388.19</v>
      </c>
      <c r="H49" s="89">
        <v>385.25</v>
      </c>
      <c r="I49" s="89">
        <v>386.9</v>
      </c>
      <c r="J49" s="89">
        <v>386.45</v>
      </c>
    </row>
    <row r="50" spans="1:10" x14ac:dyDescent="0.25">
      <c r="A50" s="329" t="s">
        <v>876</v>
      </c>
      <c r="B50" s="89">
        <v>386.87</v>
      </c>
      <c r="C50" s="89">
        <v>386.58</v>
      </c>
      <c r="D50" s="89">
        <v>386.41</v>
      </c>
      <c r="E50" s="89">
        <v>386.46</v>
      </c>
      <c r="F50" s="89">
        <v>386.09</v>
      </c>
      <c r="G50" s="89">
        <v>388.09</v>
      </c>
      <c r="H50" s="89">
        <v>385.25</v>
      </c>
      <c r="I50" s="89">
        <v>386.62</v>
      </c>
      <c r="J50" s="89">
        <v>386.28</v>
      </c>
    </row>
    <row r="51" spans="1:10" x14ac:dyDescent="0.25">
      <c r="A51" s="329" t="s">
        <v>877</v>
      </c>
      <c r="B51" s="89">
        <v>386.85</v>
      </c>
      <c r="C51" s="89">
        <v>386.58</v>
      </c>
      <c r="D51" s="89">
        <v>386.4</v>
      </c>
      <c r="E51" s="89">
        <v>386.49</v>
      </c>
      <c r="F51" s="89">
        <v>385.99</v>
      </c>
      <c r="G51" s="89">
        <v>387.98</v>
      </c>
      <c r="H51" s="89">
        <v>385.33</v>
      </c>
      <c r="I51" s="89">
        <v>386.61</v>
      </c>
      <c r="J51" s="89">
        <v>386.29</v>
      </c>
    </row>
    <row r="52" spans="1:10" x14ac:dyDescent="0.25">
      <c r="A52" s="329" t="s">
        <v>878</v>
      </c>
      <c r="B52" s="89">
        <v>386.94</v>
      </c>
      <c r="C52" s="89">
        <v>386.56</v>
      </c>
      <c r="D52" s="89">
        <v>386.45</v>
      </c>
      <c r="E52" s="89">
        <v>386.54</v>
      </c>
      <c r="F52" s="89">
        <v>386.15</v>
      </c>
      <c r="G52" s="89">
        <v>388.07</v>
      </c>
      <c r="H52" s="89">
        <v>385.34</v>
      </c>
      <c r="I52" s="89">
        <v>386.69</v>
      </c>
      <c r="J52" s="89">
        <v>386.35</v>
      </c>
    </row>
    <row r="53" spans="1:10" x14ac:dyDescent="0.25">
      <c r="A53" s="329" t="s">
        <v>879</v>
      </c>
      <c r="B53" s="89">
        <v>386.85</v>
      </c>
      <c r="C53" s="89">
        <v>386.59</v>
      </c>
      <c r="D53" s="89">
        <v>386.44</v>
      </c>
      <c r="E53" s="89">
        <v>386.45</v>
      </c>
      <c r="F53" s="89">
        <v>386.15</v>
      </c>
      <c r="G53" s="89">
        <v>388</v>
      </c>
      <c r="H53" s="89">
        <v>385.17</v>
      </c>
      <c r="I53" s="89">
        <v>386.65</v>
      </c>
      <c r="J53" s="89">
        <v>386.21</v>
      </c>
    </row>
    <row r="54" spans="1:10" x14ac:dyDescent="0.25">
      <c r="A54" s="329" t="s">
        <v>880</v>
      </c>
      <c r="B54" s="89">
        <v>387</v>
      </c>
      <c r="C54" s="89">
        <v>386.69</v>
      </c>
      <c r="D54" s="89">
        <v>386.53</v>
      </c>
      <c r="E54" s="89">
        <v>386.61</v>
      </c>
      <c r="F54" s="89">
        <v>386.32</v>
      </c>
      <c r="G54" s="89">
        <v>388.18</v>
      </c>
      <c r="H54" s="89">
        <v>385.4</v>
      </c>
      <c r="I54" s="89">
        <v>386.77</v>
      </c>
      <c r="J54" s="89">
        <v>386.41</v>
      </c>
    </row>
    <row r="55" spans="1:10" x14ac:dyDescent="0.25">
      <c r="A55" s="329" t="s">
        <v>881</v>
      </c>
      <c r="B55" s="89">
        <v>386.83</v>
      </c>
      <c r="C55" s="89">
        <v>386.55</v>
      </c>
      <c r="D55" s="89">
        <v>386.45</v>
      </c>
      <c r="E55" s="89">
        <v>386.48</v>
      </c>
      <c r="F55" s="89">
        <v>386.08</v>
      </c>
      <c r="G55" s="89">
        <v>388.02</v>
      </c>
      <c r="H55" s="89">
        <v>385.3</v>
      </c>
      <c r="I55" s="89">
        <v>386.67</v>
      </c>
      <c r="J55" s="89">
        <v>386.28</v>
      </c>
    </row>
    <row r="56" spans="1:10" x14ac:dyDescent="0.25">
      <c r="A56" s="329" t="s">
        <v>882</v>
      </c>
      <c r="B56" s="89">
        <v>386.78</v>
      </c>
      <c r="C56" s="89">
        <v>386.45</v>
      </c>
      <c r="D56" s="89">
        <v>386.38</v>
      </c>
      <c r="E56" s="89">
        <v>386.4</v>
      </c>
      <c r="F56" s="89">
        <v>385.75</v>
      </c>
      <c r="G56" s="89">
        <v>387.9</v>
      </c>
      <c r="H56" s="89">
        <v>385.19</v>
      </c>
      <c r="I56" s="89">
        <v>386.51</v>
      </c>
      <c r="J56" s="89">
        <v>386.2</v>
      </c>
    </row>
    <row r="57" spans="1:10" x14ac:dyDescent="0.25">
      <c r="A57" s="329" t="s">
        <v>883</v>
      </c>
      <c r="B57" s="89">
        <v>386.78</v>
      </c>
      <c r="C57" s="89">
        <v>386.46</v>
      </c>
      <c r="D57" s="89">
        <v>386.33</v>
      </c>
      <c r="E57" s="89">
        <v>386.39</v>
      </c>
      <c r="F57" s="89">
        <v>385.99</v>
      </c>
      <c r="G57" s="89">
        <v>387.96</v>
      </c>
      <c r="H57" s="89">
        <v>385.21</v>
      </c>
      <c r="I57" s="89">
        <v>386.56</v>
      </c>
      <c r="J57" s="89">
        <v>386.21</v>
      </c>
    </row>
    <row r="58" spans="1:10" x14ac:dyDescent="0.25">
      <c r="A58" s="329" t="s">
        <v>884</v>
      </c>
      <c r="B58" s="89">
        <v>386.86</v>
      </c>
      <c r="C58" s="89">
        <v>386.51</v>
      </c>
      <c r="D58" s="89">
        <v>386.44</v>
      </c>
      <c r="E58" s="89">
        <v>386.47</v>
      </c>
      <c r="F58" s="89">
        <v>386</v>
      </c>
      <c r="G58" s="89">
        <v>387.9</v>
      </c>
      <c r="H58" s="89">
        <v>385.24</v>
      </c>
      <c r="I58" s="89">
        <v>386.66</v>
      </c>
      <c r="J58" s="89">
        <v>386.26</v>
      </c>
    </row>
    <row r="59" spans="1:10" x14ac:dyDescent="0.25">
      <c r="A59" s="329" t="s">
        <v>885</v>
      </c>
      <c r="B59" s="89">
        <v>386.92</v>
      </c>
      <c r="C59" s="89">
        <v>386.57</v>
      </c>
      <c r="D59" s="89">
        <v>386.45</v>
      </c>
      <c r="E59" s="89">
        <v>386.55</v>
      </c>
      <c r="F59" s="89">
        <v>385.88</v>
      </c>
      <c r="G59" s="89">
        <v>387.99</v>
      </c>
      <c r="H59" s="89">
        <v>385.33</v>
      </c>
      <c r="I59" s="89">
        <v>386.7</v>
      </c>
      <c r="J59" s="89">
        <v>386.32</v>
      </c>
    </row>
    <row r="60" spans="1:10" x14ac:dyDescent="0.25">
      <c r="A60" s="329" t="s">
        <v>886</v>
      </c>
      <c r="B60" s="89">
        <v>386.97</v>
      </c>
      <c r="C60" s="89">
        <v>386.67</v>
      </c>
      <c r="D60" s="89">
        <v>386.48</v>
      </c>
      <c r="E60" s="89">
        <v>386.55</v>
      </c>
      <c r="F60" s="89">
        <v>386.38</v>
      </c>
      <c r="G60" s="89">
        <v>388.09</v>
      </c>
      <c r="H60" s="89">
        <v>385.29</v>
      </c>
      <c r="I60" s="89">
        <v>386.71</v>
      </c>
      <c r="J60" s="89">
        <v>386.33</v>
      </c>
    </row>
    <row r="61" spans="1:10" x14ac:dyDescent="0.25">
      <c r="A61" s="329" t="s">
        <v>887</v>
      </c>
      <c r="B61" s="89">
        <v>386.93</v>
      </c>
      <c r="C61" s="89">
        <v>386.62</v>
      </c>
      <c r="D61" s="89">
        <v>386.48</v>
      </c>
      <c r="E61" s="89">
        <v>386.5</v>
      </c>
      <c r="F61" s="89">
        <v>386.08</v>
      </c>
      <c r="G61" s="89">
        <v>387.98</v>
      </c>
      <c r="H61" s="89">
        <v>385.34</v>
      </c>
      <c r="I61" s="89">
        <v>386.62</v>
      </c>
      <c r="J61" s="89">
        <v>386.31</v>
      </c>
    </row>
  </sheetData>
  <sheetProtection algorithmName="SHA-512" hashValue="5D2cxcZ9TtZ9HdOpCz4vlDVSAjTtbiDVyaXfIrP3z93cmHI/5/qAPIj/g1J+/M5pRH/pIykmvlGn32MIXw9ENw==" saltValue="5ciwnLbGjetO0/Rjl7I9dw==" spinCount="100000" sheet="1" objects="1" scenarios="1"/>
  <mergeCells count="1">
    <mergeCell ref="L9:O15"/>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DE1A-3907-45B0-86F7-4F3CD996ACD5}">
  <sheetPr codeName="Feuil40">
    <tabColor rgb="FF002060"/>
  </sheetPr>
  <dimension ref="A1:O46"/>
  <sheetViews>
    <sheetView topLeftCell="A12" workbookViewId="0">
      <selection activeCell="B17" sqref="B17:J17"/>
    </sheetView>
  </sheetViews>
  <sheetFormatPr baseColWidth="10" defaultRowHeight="15" x14ac:dyDescent="0.25"/>
  <cols>
    <col min="1" max="1" width="16.7109375" customWidth="1"/>
    <col min="2" max="10" width="14.42578125" bestFit="1" customWidth="1"/>
  </cols>
  <sheetData>
    <row r="1" spans="1:15" x14ac:dyDescent="0.25">
      <c r="A1" t="s">
        <v>36</v>
      </c>
      <c r="B1" t="s">
        <v>37</v>
      </c>
      <c r="C1" t="s">
        <v>38</v>
      </c>
      <c r="D1" t="s">
        <v>39</v>
      </c>
      <c r="E1" t="s">
        <v>40</v>
      </c>
      <c r="F1" t="s">
        <v>41</v>
      </c>
      <c r="G1" t="s">
        <v>42</v>
      </c>
      <c r="H1" t="s">
        <v>43</v>
      </c>
      <c r="I1" t="s">
        <v>44</v>
      </c>
      <c r="J1" t="s">
        <v>45</v>
      </c>
    </row>
    <row r="2" spans="1:15" x14ac:dyDescent="0.25">
      <c r="A2" s="317" t="s">
        <v>888</v>
      </c>
      <c r="B2">
        <v>492.76</v>
      </c>
      <c r="C2">
        <v>491.31</v>
      </c>
      <c r="D2">
        <v>490.8</v>
      </c>
      <c r="E2">
        <v>493.46</v>
      </c>
      <c r="F2">
        <v>493.45</v>
      </c>
      <c r="G2">
        <v>496.02</v>
      </c>
      <c r="H2">
        <v>487.86</v>
      </c>
      <c r="I2">
        <v>496.34</v>
      </c>
      <c r="J2">
        <v>493.07</v>
      </c>
    </row>
    <row r="3" spans="1:15" x14ac:dyDescent="0.25">
      <c r="A3" s="329" t="s">
        <v>889</v>
      </c>
      <c r="B3" s="89">
        <v>495.21</v>
      </c>
      <c r="C3" s="89">
        <v>493.72</v>
      </c>
      <c r="D3" s="89">
        <v>493.16</v>
      </c>
      <c r="E3" s="89">
        <v>495.83</v>
      </c>
      <c r="F3" s="89">
        <v>495.73</v>
      </c>
      <c r="G3" s="89">
        <v>498.3</v>
      </c>
      <c r="H3" s="89">
        <v>490.18</v>
      </c>
      <c r="I3" s="89">
        <v>498.68</v>
      </c>
      <c r="J3" s="89">
        <v>495.37</v>
      </c>
    </row>
    <row r="4" spans="1:15" x14ac:dyDescent="0.25">
      <c r="A4" s="329" t="s">
        <v>890</v>
      </c>
      <c r="B4" s="89">
        <v>497.7</v>
      </c>
      <c r="C4" s="89">
        <v>496.12</v>
      </c>
      <c r="D4" s="89">
        <v>495.56</v>
      </c>
      <c r="E4" s="89">
        <v>498.16</v>
      </c>
      <c r="F4" s="89">
        <v>498.03</v>
      </c>
      <c r="G4" s="89">
        <v>500.51</v>
      </c>
      <c r="H4" s="89">
        <v>492.41</v>
      </c>
      <c r="I4" s="89">
        <v>501.11</v>
      </c>
      <c r="J4" s="89">
        <v>497.81</v>
      </c>
    </row>
    <row r="5" spans="1:15" x14ac:dyDescent="0.25">
      <c r="A5" s="329" t="s">
        <v>891</v>
      </c>
      <c r="B5" s="89">
        <v>499.98</v>
      </c>
      <c r="C5" s="89">
        <v>498.48</v>
      </c>
      <c r="D5" s="89">
        <v>497.95</v>
      </c>
      <c r="E5" s="89">
        <v>500.54</v>
      </c>
      <c r="F5" s="89">
        <v>500.45</v>
      </c>
      <c r="G5" s="89">
        <v>502.95</v>
      </c>
      <c r="H5" s="89">
        <v>495.04</v>
      </c>
      <c r="I5" s="89">
        <v>503.57</v>
      </c>
      <c r="J5" s="89">
        <v>500.15</v>
      </c>
    </row>
    <row r="6" spans="1:15" x14ac:dyDescent="0.25">
      <c r="A6" s="329" t="s">
        <v>892</v>
      </c>
      <c r="B6" s="89">
        <v>502.39</v>
      </c>
      <c r="C6" s="89">
        <v>500.96</v>
      </c>
      <c r="D6" s="89">
        <v>500.28</v>
      </c>
      <c r="E6" s="89">
        <v>502.86</v>
      </c>
      <c r="F6" s="89">
        <v>502.7</v>
      </c>
      <c r="G6" s="89">
        <v>505.16</v>
      </c>
      <c r="H6" s="89">
        <v>497.1</v>
      </c>
      <c r="I6" s="89">
        <v>505.74</v>
      </c>
      <c r="J6" s="89">
        <v>502.62</v>
      </c>
    </row>
    <row r="7" spans="1:15" x14ac:dyDescent="0.25">
      <c r="A7" s="329" t="s">
        <v>893</v>
      </c>
      <c r="B7" s="89">
        <v>504.72</v>
      </c>
      <c r="C7" s="89">
        <v>503.26</v>
      </c>
      <c r="D7" s="89">
        <v>502.63</v>
      </c>
      <c r="E7" s="89">
        <v>505.17</v>
      </c>
      <c r="F7" s="89">
        <v>504.95</v>
      </c>
      <c r="G7" s="89">
        <v>507.56</v>
      </c>
      <c r="H7" s="89">
        <v>499.84</v>
      </c>
      <c r="I7" s="89">
        <v>508.16</v>
      </c>
      <c r="J7" s="89">
        <v>504.88</v>
      </c>
    </row>
    <row r="8" spans="1:15" ht="15.75" thickBot="1" x14ac:dyDescent="0.3">
      <c r="A8" s="329" t="s">
        <v>894</v>
      </c>
      <c r="B8" s="89">
        <v>506.99</v>
      </c>
      <c r="C8" s="89">
        <v>505.48</v>
      </c>
      <c r="D8" s="89">
        <v>504.93</v>
      </c>
      <c r="E8" s="89">
        <v>507.47</v>
      </c>
      <c r="F8" s="89">
        <v>507.23</v>
      </c>
      <c r="G8" s="89">
        <v>509.79</v>
      </c>
      <c r="H8" s="89">
        <v>501.93</v>
      </c>
      <c r="I8" s="89">
        <v>510.39</v>
      </c>
      <c r="J8" s="89">
        <v>507.2</v>
      </c>
    </row>
    <row r="9" spans="1:15" x14ac:dyDescent="0.25">
      <c r="A9" s="329" t="s">
        <v>895</v>
      </c>
      <c r="B9" s="89">
        <v>509.34</v>
      </c>
      <c r="C9" s="89">
        <v>507.98</v>
      </c>
      <c r="D9" s="89">
        <v>507.28</v>
      </c>
      <c r="E9" s="89">
        <v>509.73</v>
      </c>
      <c r="F9" s="89">
        <v>509.45</v>
      </c>
      <c r="G9" s="89">
        <v>512.17999999999995</v>
      </c>
      <c r="H9" s="89">
        <v>504.19</v>
      </c>
      <c r="I9" s="89">
        <v>512.67999999999995</v>
      </c>
      <c r="J9" s="89">
        <v>509.45</v>
      </c>
      <c r="L9" s="363" t="s">
        <v>540</v>
      </c>
      <c r="M9" s="364"/>
      <c r="N9" s="364"/>
      <c r="O9" s="365"/>
    </row>
    <row r="10" spans="1:15" x14ac:dyDescent="0.25">
      <c r="A10" s="329" t="s">
        <v>896</v>
      </c>
      <c r="B10" s="89">
        <v>511.66</v>
      </c>
      <c r="C10" s="89">
        <v>510.15</v>
      </c>
      <c r="D10" s="89">
        <v>509.56</v>
      </c>
      <c r="E10" s="89">
        <v>512.09</v>
      </c>
      <c r="F10" s="89">
        <v>511.94</v>
      </c>
      <c r="G10" s="89">
        <v>514.36</v>
      </c>
      <c r="H10" s="89">
        <v>506.52</v>
      </c>
      <c r="I10" s="89">
        <v>514.77</v>
      </c>
      <c r="J10" s="89">
        <v>511.83</v>
      </c>
      <c r="L10" s="366"/>
      <c r="M10" s="367"/>
      <c r="N10" s="367"/>
      <c r="O10" s="368"/>
    </row>
    <row r="11" spans="1:15" x14ac:dyDescent="0.25">
      <c r="A11" s="329" t="s">
        <v>897</v>
      </c>
      <c r="B11" s="89">
        <v>513.89</v>
      </c>
      <c r="C11" s="89">
        <v>512.41</v>
      </c>
      <c r="D11" s="89">
        <v>511.9</v>
      </c>
      <c r="E11" s="89">
        <v>514.28</v>
      </c>
      <c r="F11" s="89">
        <v>513.95000000000005</v>
      </c>
      <c r="G11" s="89">
        <v>516.65</v>
      </c>
      <c r="H11" s="89">
        <v>508.87</v>
      </c>
      <c r="I11" s="89">
        <v>517.13</v>
      </c>
      <c r="J11" s="89">
        <v>513.99</v>
      </c>
      <c r="L11" s="366"/>
      <c r="M11" s="367"/>
      <c r="N11" s="367"/>
      <c r="O11" s="368"/>
    </row>
    <row r="12" spans="1:15" x14ac:dyDescent="0.25">
      <c r="A12" s="329" t="s">
        <v>898</v>
      </c>
      <c r="B12" s="89">
        <v>516.13</v>
      </c>
      <c r="C12" s="89">
        <v>514.71</v>
      </c>
      <c r="D12" s="89">
        <v>514.07000000000005</v>
      </c>
      <c r="E12" s="89">
        <v>516.5</v>
      </c>
      <c r="F12" s="89">
        <v>516.29</v>
      </c>
      <c r="G12" s="89">
        <v>518.75</v>
      </c>
      <c r="H12" s="89">
        <v>510.82</v>
      </c>
      <c r="I12" s="89">
        <v>519.27</v>
      </c>
      <c r="J12" s="89">
        <v>516.29</v>
      </c>
      <c r="L12" s="366"/>
      <c r="M12" s="367"/>
      <c r="N12" s="367"/>
      <c r="O12" s="368"/>
    </row>
    <row r="13" spans="1:15" x14ac:dyDescent="0.25">
      <c r="A13" s="329" t="s">
        <v>899</v>
      </c>
      <c r="B13" s="89">
        <v>518.30999999999995</v>
      </c>
      <c r="C13" s="89">
        <v>516.96</v>
      </c>
      <c r="D13" s="89">
        <v>516.41999999999996</v>
      </c>
      <c r="E13" s="89">
        <v>518.78</v>
      </c>
      <c r="F13" s="89">
        <v>518.63</v>
      </c>
      <c r="G13" s="89">
        <v>520.98</v>
      </c>
      <c r="H13" s="89">
        <v>513.5</v>
      </c>
      <c r="I13" s="89">
        <v>521.53</v>
      </c>
      <c r="J13" s="89">
        <v>518.52</v>
      </c>
      <c r="L13" s="366"/>
      <c r="M13" s="367"/>
      <c r="N13" s="367"/>
      <c r="O13" s="368"/>
    </row>
    <row r="14" spans="1:15" x14ac:dyDescent="0.25">
      <c r="A14" s="329" t="s">
        <v>900</v>
      </c>
      <c r="B14" s="89">
        <v>520.54</v>
      </c>
      <c r="C14" s="89">
        <v>519.15</v>
      </c>
      <c r="D14" s="89">
        <v>518.58000000000004</v>
      </c>
      <c r="E14" s="89">
        <v>520.98</v>
      </c>
      <c r="F14" s="89">
        <v>520.87</v>
      </c>
      <c r="G14" s="89">
        <v>523.4</v>
      </c>
      <c r="H14" s="89">
        <v>515.70000000000005</v>
      </c>
      <c r="I14" s="89">
        <v>523.64</v>
      </c>
      <c r="J14" s="89">
        <v>520.71</v>
      </c>
      <c r="L14" s="366"/>
      <c r="M14" s="367"/>
      <c r="N14" s="367"/>
      <c r="O14" s="368"/>
    </row>
    <row r="15" spans="1:15" ht="15.75" thickBot="1" x14ac:dyDescent="0.3">
      <c r="A15" s="329" t="s">
        <v>901</v>
      </c>
      <c r="B15" s="89">
        <v>522.84</v>
      </c>
      <c r="C15" s="89">
        <v>521.48</v>
      </c>
      <c r="D15" s="89">
        <v>520.83000000000004</v>
      </c>
      <c r="E15" s="89">
        <v>523.16999999999996</v>
      </c>
      <c r="F15" s="89">
        <v>523</v>
      </c>
      <c r="G15" s="89">
        <v>525.57000000000005</v>
      </c>
      <c r="H15" s="89">
        <v>517.80999999999995</v>
      </c>
      <c r="I15" s="89">
        <v>525.96</v>
      </c>
      <c r="J15" s="89">
        <v>522.88</v>
      </c>
      <c r="L15" s="369"/>
      <c r="M15" s="370"/>
      <c r="N15" s="370"/>
      <c r="O15" s="371"/>
    </row>
    <row r="16" spans="1:15" x14ac:dyDescent="0.25">
      <c r="A16" s="329" t="s">
        <v>902</v>
      </c>
      <c r="B16" s="89">
        <v>524.95000000000005</v>
      </c>
      <c r="C16" s="89">
        <v>523.72</v>
      </c>
      <c r="D16" s="89">
        <v>523.04999999999995</v>
      </c>
      <c r="E16" s="89">
        <v>525.36</v>
      </c>
      <c r="F16" s="89">
        <v>525.37</v>
      </c>
      <c r="G16" s="89">
        <v>527.41</v>
      </c>
      <c r="H16" s="89">
        <v>519.94000000000005</v>
      </c>
      <c r="I16" s="89">
        <v>528.04999999999995</v>
      </c>
      <c r="J16" s="89">
        <v>525.12</v>
      </c>
    </row>
    <row r="17" spans="1:10" x14ac:dyDescent="0.25">
      <c r="A17" s="329" t="s">
        <v>903</v>
      </c>
      <c r="B17" s="89">
        <v>527.17999999999995</v>
      </c>
      <c r="C17" s="89">
        <v>525.74</v>
      </c>
      <c r="D17" s="89">
        <v>525.25</v>
      </c>
      <c r="E17" s="89">
        <v>527.6</v>
      </c>
      <c r="F17" s="89">
        <v>527.34</v>
      </c>
      <c r="G17" s="89">
        <v>529.70000000000005</v>
      </c>
      <c r="H17" s="89">
        <v>522.28</v>
      </c>
      <c r="I17" s="89">
        <v>530.20000000000005</v>
      </c>
      <c r="J17" s="89">
        <v>527.32000000000005</v>
      </c>
    </row>
    <row r="18" spans="1:10" x14ac:dyDescent="0.25">
      <c r="A18" s="329" t="s">
        <v>904</v>
      </c>
      <c r="B18" s="89">
        <v>529.38</v>
      </c>
      <c r="C18" s="89">
        <v>527.87</v>
      </c>
      <c r="D18" s="89">
        <v>527.42999999999995</v>
      </c>
      <c r="E18" s="89">
        <v>529.62</v>
      </c>
      <c r="F18" s="89">
        <v>529.44000000000005</v>
      </c>
      <c r="G18" s="89">
        <v>531.76</v>
      </c>
      <c r="H18" s="89">
        <v>524.32000000000005</v>
      </c>
      <c r="I18" s="89">
        <v>532.34</v>
      </c>
      <c r="J18" s="89">
        <v>529.5</v>
      </c>
    </row>
    <row r="19" spans="1:10" x14ac:dyDescent="0.25">
      <c r="A19" s="329" t="s">
        <v>905</v>
      </c>
      <c r="B19" s="89">
        <v>531.36</v>
      </c>
      <c r="C19" s="89">
        <v>530.21</v>
      </c>
      <c r="D19" s="89">
        <v>529.52</v>
      </c>
      <c r="E19" s="89">
        <v>531.70000000000005</v>
      </c>
      <c r="F19" s="89">
        <v>531.52</v>
      </c>
      <c r="G19" s="89">
        <v>533.80999999999995</v>
      </c>
      <c r="H19" s="89">
        <v>526.65</v>
      </c>
      <c r="I19" s="89">
        <v>534.27</v>
      </c>
      <c r="J19" s="89">
        <v>531.58000000000004</v>
      </c>
    </row>
    <row r="20" spans="1:10" x14ac:dyDescent="0.25">
      <c r="A20" s="329" t="s">
        <v>906</v>
      </c>
      <c r="B20" s="89">
        <v>532.80999999999995</v>
      </c>
      <c r="C20" s="89">
        <v>531.63</v>
      </c>
      <c r="D20" s="89">
        <v>531.11</v>
      </c>
      <c r="E20" s="89">
        <v>533.13</v>
      </c>
      <c r="F20" s="89">
        <v>533.02</v>
      </c>
      <c r="G20" s="89">
        <v>535.11</v>
      </c>
      <c r="H20" s="89">
        <v>528.54</v>
      </c>
      <c r="I20" s="89">
        <v>535.55999999999995</v>
      </c>
      <c r="J20" s="89">
        <v>533.09</v>
      </c>
    </row>
    <row r="21" spans="1:10" x14ac:dyDescent="0.25">
      <c r="A21" s="329" t="s">
        <v>907</v>
      </c>
      <c r="B21" s="89">
        <v>534.07000000000005</v>
      </c>
      <c r="C21" s="89">
        <v>532.97</v>
      </c>
      <c r="D21" s="89">
        <v>532.4</v>
      </c>
      <c r="E21" s="89">
        <v>534.22</v>
      </c>
      <c r="F21" s="89">
        <v>533.82000000000005</v>
      </c>
      <c r="G21" s="89">
        <v>536.13</v>
      </c>
      <c r="H21" s="89">
        <v>529.97</v>
      </c>
      <c r="I21" s="89">
        <v>536.45000000000005</v>
      </c>
      <c r="J21" s="89">
        <v>534.17999999999995</v>
      </c>
    </row>
    <row r="22" spans="1:10" x14ac:dyDescent="0.25">
      <c r="A22" s="329" t="s">
        <v>908</v>
      </c>
      <c r="B22" s="89">
        <v>535.15</v>
      </c>
      <c r="C22" s="89">
        <v>534.1</v>
      </c>
      <c r="D22" s="89">
        <v>533.63</v>
      </c>
      <c r="E22" s="89">
        <v>535.25</v>
      </c>
      <c r="F22" s="89">
        <v>535.13</v>
      </c>
      <c r="G22" s="89">
        <v>537.11</v>
      </c>
      <c r="H22" s="89">
        <v>531.4</v>
      </c>
      <c r="I22" s="89">
        <v>537.4</v>
      </c>
      <c r="J22" s="89">
        <v>535.23</v>
      </c>
    </row>
    <row r="23" spans="1:10" x14ac:dyDescent="0.25">
      <c r="A23" s="329" t="s">
        <v>909</v>
      </c>
      <c r="B23" s="89">
        <v>535.82000000000005</v>
      </c>
      <c r="C23" s="89">
        <v>535</v>
      </c>
      <c r="D23" s="89">
        <v>534.5</v>
      </c>
      <c r="E23" s="89">
        <v>535.88</v>
      </c>
      <c r="F23" s="89">
        <v>535.66999999999996</v>
      </c>
      <c r="G23" s="89">
        <v>537.77</v>
      </c>
      <c r="H23" s="89">
        <v>532.49</v>
      </c>
      <c r="I23" s="89">
        <v>537.73</v>
      </c>
      <c r="J23" s="89">
        <v>535.97</v>
      </c>
    </row>
    <row r="24" spans="1:10" x14ac:dyDescent="0.25">
      <c r="A24" s="329" t="s">
        <v>910</v>
      </c>
      <c r="B24" s="89">
        <v>536.41</v>
      </c>
      <c r="C24" s="89">
        <v>535.66</v>
      </c>
      <c r="D24" s="89">
        <v>535.16999999999996</v>
      </c>
      <c r="E24" s="89">
        <v>536.41</v>
      </c>
      <c r="F24" s="89">
        <v>536.1</v>
      </c>
      <c r="G24" s="89">
        <v>538.26</v>
      </c>
      <c r="H24" s="89">
        <v>533.05999999999995</v>
      </c>
      <c r="I24" s="89">
        <v>538.04</v>
      </c>
      <c r="J24" s="89">
        <v>536.46</v>
      </c>
    </row>
    <row r="25" spans="1:10" x14ac:dyDescent="0.25">
      <c r="A25" s="329" t="s">
        <v>911</v>
      </c>
      <c r="B25" s="89">
        <v>536.73</v>
      </c>
      <c r="C25" s="89">
        <v>536.07000000000005</v>
      </c>
      <c r="D25" s="89">
        <v>535.65</v>
      </c>
      <c r="E25" s="89">
        <v>536.57000000000005</v>
      </c>
      <c r="F25" s="89">
        <v>536.45000000000005</v>
      </c>
      <c r="G25" s="89">
        <v>538.32000000000005</v>
      </c>
      <c r="H25" s="89">
        <v>533.66999999999996</v>
      </c>
      <c r="I25" s="89">
        <v>538.09</v>
      </c>
      <c r="J25" s="89">
        <v>536.74</v>
      </c>
    </row>
    <row r="26" spans="1:10" x14ac:dyDescent="0.25">
      <c r="A26" s="329" t="s">
        <v>912</v>
      </c>
      <c r="B26" s="89">
        <v>536.96</v>
      </c>
      <c r="C26" s="89">
        <v>536.41</v>
      </c>
      <c r="D26" s="89">
        <v>535.99</v>
      </c>
      <c r="E26" s="89">
        <v>536.78</v>
      </c>
      <c r="F26" s="89">
        <v>536.34</v>
      </c>
      <c r="G26" s="89">
        <v>538.49</v>
      </c>
      <c r="H26" s="89">
        <v>534.28</v>
      </c>
      <c r="I26" s="89">
        <v>538.01</v>
      </c>
      <c r="J26" s="89">
        <v>536.91999999999996</v>
      </c>
    </row>
    <row r="27" spans="1:10" x14ac:dyDescent="0.25">
      <c r="A27" s="329" t="s">
        <v>913</v>
      </c>
      <c r="B27" s="89">
        <v>537.11</v>
      </c>
      <c r="C27" s="89">
        <v>536.66999999999996</v>
      </c>
      <c r="D27" s="89">
        <v>536.21</v>
      </c>
      <c r="E27" s="89">
        <v>536.80999999999995</v>
      </c>
      <c r="F27" s="89">
        <v>536.55999999999995</v>
      </c>
      <c r="G27" s="89">
        <v>538.48</v>
      </c>
      <c r="H27" s="89">
        <v>534.67999999999995</v>
      </c>
      <c r="I27" s="89">
        <v>537.97</v>
      </c>
      <c r="J27" s="89">
        <v>537.01</v>
      </c>
    </row>
    <row r="28" spans="1:10" x14ac:dyDescent="0.25">
      <c r="A28" s="329" t="s">
        <v>914</v>
      </c>
      <c r="B28" s="89">
        <v>537.22</v>
      </c>
      <c r="C28" s="89">
        <v>536.86</v>
      </c>
      <c r="D28" s="89">
        <v>536.44000000000005</v>
      </c>
      <c r="E28" s="89">
        <v>536.96</v>
      </c>
      <c r="F28" s="89">
        <v>536.62</v>
      </c>
      <c r="G28" s="89">
        <v>538.64</v>
      </c>
      <c r="H28" s="89">
        <v>534.91999999999996</v>
      </c>
      <c r="I28" s="89">
        <v>538.07000000000005</v>
      </c>
      <c r="J28" s="89">
        <v>537.16</v>
      </c>
    </row>
    <row r="29" spans="1:10" x14ac:dyDescent="0.25">
      <c r="A29" s="329" t="s">
        <v>915</v>
      </c>
      <c r="B29" s="89">
        <v>537.25</v>
      </c>
      <c r="C29" s="89">
        <v>536.89</v>
      </c>
      <c r="D29" s="89">
        <v>536.49</v>
      </c>
      <c r="E29" s="89">
        <v>536.87</v>
      </c>
      <c r="F29" s="89">
        <v>536.45000000000005</v>
      </c>
      <c r="G29" s="89">
        <v>538.35</v>
      </c>
      <c r="H29" s="89">
        <v>535</v>
      </c>
      <c r="I29" s="89">
        <v>537.74</v>
      </c>
      <c r="J29" s="89">
        <v>537.08000000000004</v>
      </c>
    </row>
    <row r="30" spans="1:10" x14ac:dyDescent="0.25">
      <c r="A30" s="329" t="s">
        <v>916</v>
      </c>
      <c r="B30" s="89">
        <v>537.21</v>
      </c>
      <c r="C30" s="89">
        <v>536.9</v>
      </c>
      <c r="D30" s="89">
        <v>536.55999999999995</v>
      </c>
      <c r="E30" s="89">
        <v>536.87</v>
      </c>
      <c r="F30" s="89">
        <v>536.41</v>
      </c>
      <c r="G30" s="89">
        <v>538.29</v>
      </c>
      <c r="H30" s="89">
        <v>535.15</v>
      </c>
      <c r="I30" s="89">
        <v>537.67999999999995</v>
      </c>
      <c r="J30" s="89">
        <v>537.05999999999995</v>
      </c>
    </row>
    <row r="31" spans="1:10" x14ac:dyDescent="0.25">
      <c r="A31" s="329" t="s">
        <v>917</v>
      </c>
      <c r="B31" s="89">
        <v>537.25</v>
      </c>
      <c r="C31" s="89">
        <v>536.97</v>
      </c>
      <c r="D31" s="89">
        <v>536.6</v>
      </c>
      <c r="E31" s="89">
        <v>536.77</v>
      </c>
      <c r="F31" s="89">
        <v>536.39</v>
      </c>
      <c r="G31" s="89">
        <v>538.22</v>
      </c>
      <c r="H31" s="89">
        <v>535.13</v>
      </c>
      <c r="I31" s="89">
        <v>537.41</v>
      </c>
      <c r="J31" s="89">
        <v>536.94000000000005</v>
      </c>
    </row>
    <row r="32" spans="1:10" x14ac:dyDescent="0.25">
      <c r="A32" s="329" t="s">
        <v>918</v>
      </c>
      <c r="B32" s="89">
        <v>537.26</v>
      </c>
      <c r="C32" s="89">
        <v>537.17999999999995</v>
      </c>
      <c r="D32" s="89">
        <v>536.64</v>
      </c>
      <c r="E32" s="89">
        <v>536.79</v>
      </c>
      <c r="F32" s="89">
        <v>536.55999999999995</v>
      </c>
      <c r="G32" s="89">
        <v>538.20000000000005</v>
      </c>
      <c r="H32" s="89">
        <v>535.12</v>
      </c>
      <c r="I32" s="89">
        <v>537.33000000000004</v>
      </c>
      <c r="J32" s="89">
        <v>536.92999999999995</v>
      </c>
    </row>
    <row r="33" spans="1:10" x14ac:dyDescent="0.25">
      <c r="A33" s="329" t="s">
        <v>919</v>
      </c>
      <c r="B33" s="89">
        <v>537.23</v>
      </c>
      <c r="C33" s="89">
        <v>537.16999999999996</v>
      </c>
      <c r="D33" s="89">
        <v>536.66</v>
      </c>
      <c r="E33" s="89">
        <v>536.78</v>
      </c>
      <c r="F33" s="89">
        <v>536.57000000000005</v>
      </c>
      <c r="G33" s="89">
        <v>538.14</v>
      </c>
      <c r="H33" s="89">
        <v>535.12</v>
      </c>
      <c r="I33" s="89">
        <v>537.28</v>
      </c>
      <c r="J33" s="89">
        <v>536.96</v>
      </c>
    </row>
    <row r="34" spans="1:10" x14ac:dyDescent="0.25">
      <c r="A34" s="329" t="s">
        <v>920</v>
      </c>
      <c r="B34" s="89">
        <v>537.36</v>
      </c>
      <c r="C34" s="89">
        <v>537.19000000000005</v>
      </c>
      <c r="D34" s="89">
        <v>536.78</v>
      </c>
      <c r="E34" s="89">
        <v>536.88</v>
      </c>
      <c r="F34" s="89">
        <v>536.22</v>
      </c>
      <c r="G34" s="89">
        <v>538.11</v>
      </c>
      <c r="H34" s="89">
        <v>535.19000000000005</v>
      </c>
      <c r="I34" s="89">
        <v>537.39</v>
      </c>
      <c r="J34" s="89">
        <v>537.02</v>
      </c>
    </row>
    <row r="35" spans="1:10" x14ac:dyDescent="0.25">
      <c r="A35" s="329" t="s">
        <v>921</v>
      </c>
      <c r="B35" s="89">
        <v>537.35</v>
      </c>
      <c r="C35" s="89">
        <v>537.14</v>
      </c>
      <c r="D35" s="89">
        <v>536.77</v>
      </c>
      <c r="E35" s="89">
        <v>536.87</v>
      </c>
      <c r="F35" s="89">
        <v>536.23</v>
      </c>
      <c r="G35" s="89">
        <v>538.09</v>
      </c>
      <c r="H35" s="89">
        <v>535.21</v>
      </c>
      <c r="I35" s="89">
        <v>537.29</v>
      </c>
      <c r="J35" s="89">
        <v>537.01</v>
      </c>
    </row>
    <row r="36" spans="1:10" x14ac:dyDescent="0.25">
      <c r="A36" s="329" t="s">
        <v>922</v>
      </c>
      <c r="B36" s="89">
        <v>537.24</v>
      </c>
      <c r="C36" s="89">
        <v>537.27</v>
      </c>
      <c r="D36" s="89">
        <v>536.74</v>
      </c>
      <c r="E36" s="89">
        <v>536.74</v>
      </c>
      <c r="F36" s="89">
        <v>536.25</v>
      </c>
      <c r="G36" s="89">
        <v>537.99</v>
      </c>
      <c r="H36" s="89">
        <v>535.16</v>
      </c>
      <c r="I36" s="89">
        <v>537.17999999999995</v>
      </c>
      <c r="J36" s="89">
        <v>536.88</v>
      </c>
    </row>
    <row r="37" spans="1:10" x14ac:dyDescent="0.25">
      <c r="A37" s="329" t="s">
        <v>923</v>
      </c>
      <c r="B37" s="89">
        <v>537.39</v>
      </c>
      <c r="C37" s="89">
        <v>537.17999999999995</v>
      </c>
      <c r="D37" s="89">
        <v>536.85</v>
      </c>
      <c r="E37" s="89">
        <v>536.91</v>
      </c>
      <c r="F37" s="89">
        <v>536.20000000000005</v>
      </c>
      <c r="G37" s="89">
        <v>537.95000000000005</v>
      </c>
      <c r="H37" s="89">
        <v>535.16999999999996</v>
      </c>
      <c r="I37" s="89">
        <v>537.16</v>
      </c>
      <c r="J37" s="89">
        <v>537</v>
      </c>
    </row>
    <row r="38" spans="1:10" x14ac:dyDescent="0.25">
      <c r="A38" s="329" t="s">
        <v>924</v>
      </c>
      <c r="B38" s="89">
        <v>537.29</v>
      </c>
      <c r="C38" s="89">
        <v>537.19000000000005</v>
      </c>
      <c r="D38" s="89">
        <v>536.82000000000005</v>
      </c>
      <c r="E38" s="89">
        <v>536.78</v>
      </c>
      <c r="F38" s="89">
        <v>536.28</v>
      </c>
      <c r="G38" s="89">
        <v>538.01</v>
      </c>
      <c r="H38" s="89">
        <v>535.17999999999995</v>
      </c>
      <c r="I38" s="89">
        <v>537.16999999999996</v>
      </c>
      <c r="J38" s="89">
        <v>536.94000000000005</v>
      </c>
    </row>
    <row r="39" spans="1:10" x14ac:dyDescent="0.25">
      <c r="A39" s="329" t="s">
        <v>925</v>
      </c>
      <c r="B39" s="89">
        <v>537.32000000000005</v>
      </c>
      <c r="C39" s="89">
        <v>537.26</v>
      </c>
      <c r="D39" s="89">
        <v>536.85</v>
      </c>
      <c r="E39" s="89">
        <v>536.80999999999995</v>
      </c>
      <c r="F39" s="89">
        <v>536.15</v>
      </c>
      <c r="G39" s="89">
        <v>537.86</v>
      </c>
      <c r="H39" s="89">
        <v>535.20000000000005</v>
      </c>
      <c r="I39" s="89">
        <v>537.17999999999995</v>
      </c>
      <c r="J39" s="89">
        <v>536.91</v>
      </c>
    </row>
    <row r="40" spans="1:10" x14ac:dyDescent="0.25">
      <c r="A40" s="329" t="s">
        <v>926</v>
      </c>
      <c r="B40" s="89">
        <v>537.29999999999995</v>
      </c>
      <c r="C40" s="89">
        <v>537.22</v>
      </c>
      <c r="D40" s="89">
        <v>536.84</v>
      </c>
      <c r="E40" s="89">
        <v>536.77</v>
      </c>
      <c r="F40" s="89">
        <v>536.21</v>
      </c>
      <c r="G40" s="89">
        <v>537.83000000000004</v>
      </c>
      <c r="H40" s="89">
        <v>535.15</v>
      </c>
      <c r="I40" s="89">
        <v>537.03</v>
      </c>
      <c r="J40" s="89">
        <v>536.85</v>
      </c>
    </row>
    <row r="41" spans="1:10" x14ac:dyDescent="0.25">
      <c r="A41" s="329" t="s">
        <v>927</v>
      </c>
      <c r="B41" s="89">
        <v>537.41999999999996</v>
      </c>
      <c r="C41" s="89">
        <v>537.32000000000005</v>
      </c>
      <c r="D41" s="89">
        <v>536.91999999999996</v>
      </c>
      <c r="E41" s="89">
        <v>536.89</v>
      </c>
      <c r="F41" s="89">
        <v>536.03</v>
      </c>
      <c r="G41" s="89">
        <v>537.87</v>
      </c>
      <c r="H41" s="89">
        <v>535.16</v>
      </c>
      <c r="I41" s="89">
        <v>537.08000000000004</v>
      </c>
      <c r="J41" s="89">
        <v>536.98</v>
      </c>
    </row>
    <row r="42" spans="1:10" x14ac:dyDescent="0.25">
      <c r="A42" s="329" t="s">
        <v>928</v>
      </c>
      <c r="B42" s="89">
        <v>537.4</v>
      </c>
      <c r="C42" s="89">
        <v>537.26</v>
      </c>
      <c r="D42" s="89">
        <v>536.91999999999996</v>
      </c>
      <c r="E42" s="89">
        <v>536.86</v>
      </c>
      <c r="F42" s="89">
        <v>536.1</v>
      </c>
      <c r="G42" s="89">
        <v>537.9</v>
      </c>
      <c r="H42" s="89">
        <v>535.15</v>
      </c>
      <c r="I42" s="89">
        <v>537.04999999999995</v>
      </c>
      <c r="J42" s="89">
        <v>536.88</v>
      </c>
    </row>
    <row r="43" spans="1:10" x14ac:dyDescent="0.25">
      <c r="A43" s="329" t="s">
        <v>929</v>
      </c>
      <c r="B43" s="89">
        <v>537.44000000000005</v>
      </c>
      <c r="C43" s="89">
        <v>537.29</v>
      </c>
      <c r="D43" s="89">
        <v>536.95000000000005</v>
      </c>
      <c r="E43" s="89">
        <v>536.91</v>
      </c>
      <c r="F43" s="89">
        <v>536.03</v>
      </c>
      <c r="G43" s="89">
        <v>537.87</v>
      </c>
      <c r="H43" s="89">
        <v>535.15</v>
      </c>
      <c r="I43" s="89">
        <v>537.12</v>
      </c>
      <c r="J43" s="89">
        <v>536.99</v>
      </c>
    </row>
    <row r="44" spans="1:10" x14ac:dyDescent="0.25">
      <c r="A44" s="329" t="s">
        <v>930</v>
      </c>
      <c r="B44" s="89">
        <v>537.48</v>
      </c>
      <c r="C44" s="89">
        <v>537.30999999999995</v>
      </c>
      <c r="D44" s="89">
        <v>536.98</v>
      </c>
      <c r="E44" s="89">
        <v>536.99</v>
      </c>
      <c r="F44" s="89">
        <v>536.23</v>
      </c>
      <c r="G44" s="89">
        <v>538</v>
      </c>
      <c r="H44" s="89">
        <v>535.22</v>
      </c>
      <c r="I44" s="89">
        <v>537.29999999999995</v>
      </c>
      <c r="J44" s="89">
        <v>537.05999999999995</v>
      </c>
    </row>
    <row r="45" spans="1:10" x14ac:dyDescent="0.25">
      <c r="A45" s="329" t="s">
        <v>931</v>
      </c>
      <c r="B45" s="89">
        <v>537.42999999999995</v>
      </c>
      <c r="C45" s="89">
        <v>537.32000000000005</v>
      </c>
      <c r="D45" s="89">
        <v>536.96</v>
      </c>
      <c r="E45" s="89">
        <v>536.9</v>
      </c>
      <c r="F45" s="89">
        <v>536.1</v>
      </c>
      <c r="G45" s="89">
        <v>537.86</v>
      </c>
      <c r="H45" s="89">
        <v>535.19000000000005</v>
      </c>
      <c r="I45" s="89">
        <v>537.04999999999995</v>
      </c>
      <c r="J45" s="89">
        <v>536.96</v>
      </c>
    </row>
    <row r="46" spans="1:10" x14ac:dyDescent="0.25">
      <c r="A46" s="329" t="s">
        <v>932</v>
      </c>
      <c r="B46" s="89">
        <v>537.33000000000004</v>
      </c>
      <c r="C46" s="89">
        <v>537.27</v>
      </c>
      <c r="D46" s="89">
        <v>536.87</v>
      </c>
      <c r="E46" s="89">
        <v>536.71</v>
      </c>
      <c r="F46" s="89">
        <v>535.99</v>
      </c>
      <c r="G46" s="89">
        <v>537.75</v>
      </c>
      <c r="H46" s="89">
        <v>535.16</v>
      </c>
      <c r="I46" s="89">
        <v>536.87</v>
      </c>
      <c r="J46" s="89">
        <v>536.76</v>
      </c>
    </row>
  </sheetData>
  <sheetProtection algorithmName="SHA-512" hashValue="weSsvgMloIzKQi7r3BOhSEwRo7MQX3QYEEjHY3gLYxLMIH7MitxJIEpvoIDdNtXPTzL45QTX4Z7gMH1dHEGAtg==" saltValue="zPupXMZ0XgQyQggximqB7w==" spinCount="100000" sheet="1" objects="1" scenarios="1"/>
  <mergeCells count="1">
    <mergeCell ref="L9:O1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674EC-C03E-428C-BFA9-11B0050A6625}">
  <sheetPr codeName="Feuil41">
    <tabColor rgb="FF002060"/>
  </sheetPr>
  <dimension ref="A1:K181"/>
  <sheetViews>
    <sheetView workbookViewId="0">
      <selection activeCell="B5" sqref="B5:G5"/>
    </sheetView>
  </sheetViews>
  <sheetFormatPr baseColWidth="10" defaultRowHeight="15" x14ac:dyDescent="0.25"/>
  <cols>
    <col min="1" max="1" width="16.7109375" style="27" customWidth="1"/>
    <col min="2" max="2" width="11.42578125" style="27"/>
    <col min="3" max="3" width="12.28515625" style="27" customWidth="1"/>
    <col min="4" max="4" width="11.42578125" style="27"/>
  </cols>
  <sheetData>
    <row r="1" spans="1:11" x14ac:dyDescent="0.25">
      <c r="A1" t="s">
        <v>36</v>
      </c>
      <c r="B1" t="s">
        <v>541</v>
      </c>
      <c r="C1" t="s">
        <v>542</v>
      </c>
      <c r="D1" t="s">
        <v>543</v>
      </c>
      <c r="E1" t="s">
        <v>544</v>
      </c>
    </row>
    <row r="2" spans="1:11" x14ac:dyDescent="0.25">
      <c r="A2" s="317" t="s">
        <v>551</v>
      </c>
      <c r="B2">
        <v>39.799999999999997</v>
      </c>
      <c r="C2">
        <v>39.9</v>
      </c>
      <c r="D2">
        <v>40</v>
      </c>
      <c r="E2">
        <v>35.299999999999997</v>
      </c>
    </row>
    <row r="3" spans="1:11" x14ac:dyDescent="0.25">
      <c r="A3" s="329" t="s">
        <v>552</v>
      </c>
      <c r="B3" s="89">
        <v>40.299999999999997</v>
      </c>
      <c r="C3" s="89">
        <v>40.299999999999997</v>
      </c>
      <c r="D3" s="89">
        <v>40.799999999999997</v>
      </c>
      <c r="E3" s="89">
        <v>35.6</v>
      </c>
    </row>
    <row r="4" spans="1:11" x14ac:dyDescent="0.25">
      <c r="A4" s="329" t="s">
        <v>553</v>
      </c>
      <c r="B4" s="89">
        <v>40.6</v>
      </c>
      <c r="C4" s="89">
        <v>40.6</v>
      </c>
      <c r="D4" s="89">
        <v>41.3</v>
      </c>
      <c r="E4" s="89">
        <v>36</v>
      </c>
    </row>
    <row r="5" spans="1:11" x14ac:dyDescent="0.25">
      <c r="A5" s="329" t="s">
        <v>554</v>
      </c>
      <c r="B5" s="89">
        <v>40.9</v>
      </c>
      <c r="C5" s="89">
        <v>40.799999999999997</v>
      </c>
      <c r="D5" s="89">
        <v>41.7</v>
      </c>
      <c r="E5" s="89">
        <v>36.299999999999997</v>
      </c>
    </row>
    <row r="6" spans="1:11" x14ac:dyDescent="0.25">
      <c r="A6" s="329" t="s">
        <v>555</v>
      </c>
      <c r="B6" s="89">
        <v>41.1</v>
      </c>
      <c r="C6" s="89">
        <v>41.1</v>
      </c>
      <c r="D6" s="89">
        <v>42</v>
      </c>
      <c r="E6" s="89">
        <v>36.6</v>
      </c>
    </row>
    <row r="7" spans="1:11" x14ac:dyDescent="0.25">
      <c r="A7" s="329" t="s">
        <v>556</v>
      </c>
      <c r="B7" s="89">
        <v>41.3</v>
      </c>
      <c r="C7" s="89">
        <v>41.2</v>
      </c>
      <c r="D7" s="89">
        <v>42.2</v>
      </c>
      <c r="E7" s="89">
        <v>37</v>
      </c>
    </row>
    <row r="8" spans="1:11" ht="15.75" thickBot="1" x14ac:dyDescent="0.3">
      <c r="A8" s="329" t="s">
        <v>557</v>
      </c>
      <c r="B8" s="89">
        <v>41.5</v>
      </c>
      <c r="C8" s="89">
        <v>41.4</v>
      </c>
      <c r="D8" s="89">
        <v>42.4</v>
      </c>
      <c r="E8" s="89">
        <v>37.299999999999997</v>
      </c>
    </row>
    <row r="9" spans="1:11" x14ac:dyDescent="0.25">
      <c r="A9" s="329" t="s">
        <v>558</v>
      </c>
      <c r="B9" s="89">
        <v>41.6</v>
      </c>
      <c r="C9" s="89">
        <v>41.6</v>
      </c>
      <c r="D9" s="89">
        <v>42.6</v>
      </c>
      <c r="E9" s="89">
        <v>37.6</v>
      </c>
      <c r="H9" s="363" t="s">
        <v>540</v>
      </c>
      <c r="I9" s="364"/>
      <c r="J9" s="364"/>
      <c r="K9" s="365"/>
    </row>
    <row r="10" spans="1:11" x14ac:dyDescent="0.25">
      <c r="A10" s="329" t="s">
        <v>559</v>
      </c>
      <c r="B10" s="89">
        <v>41.8</v>
      </c>
      <c r="C10" s="89">
        <v>41.7</v>
      </c>
      <c r="D10" s="89">
        <v>42.7</v>
      </c>
      <c r="E10" s="89">
        <v>38</v>
      </c>
      <c r="H10" s="366"/>
      <c r="I10" s="367"/>
      <c r="J10" s="367"/>
      <c r="K10" s="368"/>
    </row>
    <row r="11" spans="1:11" x14ac:dyDescent="0.25">
      <c r="A11" s="329" t="s">
        <v>560</v>
      </c>
      <c r="B11" s="89">
        <v>41.9</v>
      </c>
      <c r="C11" s="89">
        <v>41.9</v>
      </c>
      <c r="D11" s="89">
        <v>42.9</v>
      </c>
      <c r="E11" s="89">
        <v>38.299999999999997</v>
      </c>
      <c r="H11" s="366"/>
      <c r="I11" s="367"/>
      <c r="J11" s="367"/>
      <c r="K11" s="368"/>
    </row>
    <row r="12" spans="1:11" x14ac:dyDescent="0.25">
      <c r="A12" s="329" t="s">
        <v>561</v>
      </c>
      <c r="B12" s="89">
        <v>42.1</v>
      </c>
      <c r="C12" s="89">
        <v>42</v>
      </c>
      <c r="D12" s="89">
        <v>43</v>
      </c>
      <c r="E12" s="89">
        <v>38.6</v>
      </c>
      <c r="H12" s="366"/>
      <c r="I12" s="367"/>
      <c r="J12" s="367"/>
      <c r="K12" s="368"/>
    </row>
    <row r="13" spans="1:11" x14ac:dyDescent="0.25">
      <c r="A13" s="329" t="s">
        <v>562</v>
      </c>
      <c r="B13" s="89">
        <v>42.2</v>
      </c>
      <c r="C13" s="89">
        <v>42.2</v>
      </c>
      <c r="D13" s="89">
        <v>43.2</v>
      </c>
      <c r="E13" s="89">
        <v>39</v>
      </c>
      <c r="H13" s="366"/>
      <c r="I13" s="367"/>
      <c r="J13" s="367"/>
      <c r="K13" s="368"/>
    </row>
    <row r="14" spans="1:11" x14ac:dyDescent="0.25">
      <c r="A14" s="329" t="s">
        <v>563</v>
      </c>
      <c r="B14" s="89">
        <v>42.4</v>
      </c>
      <c r="C14" s="89">
        <v>42.4</v>
      </c>
      <c r="D14" s="89">
        <v>43.3</v>
      </c>
      <c r="E14" s="89">
        <v>39.299999999999997</v>
      </c>
      <c r="H14" s="366"/>
      <c r="I14" s="367"/>
      <c r="J14" s="367"/>
      <c r="K14" s="368"/>
    </row>
    <row r="15" spans="1:11" ht="15.75" thickBot="1" x14ac:dyDescent="0.3">
      <c r="A15" s="329" t="s">
        <v>564</v>
      </c>
      <c r="B15" s="89">
        <v>42.4</v>
      </c>
      <c r="C15" s="89">
        <v>42.5</v>
      </c>
      <c r="D15" s="89">
        <v>43.5</v>
      </c>
      <c r="E15" s="89">
        <v>39.6</v>
      </c>
      <c r="H15" s="369"/>
      <c r="I15" s="370"/>
      <c r="J15" s="370"/>
      <c r="K15" s="371"/>
    </row>
    <row r="16" spans="1:11" x14ac:dyDescent="0.25">
      <c r="A16" s="329" t="s">
        <v>565</v>
      </c>
      <c r="B16" s="89">
        <v>42.6</v>
      </c>
      <c r="C16" s="89">
        <v>42.6</v>
      </c>
      <c r="D16" s="89">
        <v>43.6</v>
      </c>
      <c r="E16" s="89">
        <v>40</v>
      </c>
    </row>
    <row r="17" spans="1:5" x14ac:dyDescent="0.25">
      <c r="A17" s="329" t="s">
        <v>566</v>
      </c>
      <c r="B17" s="89">
        <v>42.7</v>
      </c>
      <c r="C17" s="89">
        <v>42.7</v>
      </c>
      <c r="D17" s="89">
        <v>43.7</v>
      </c>
      <c r="E17" s="89">
        <v>40.299999999999997</v>
      </c>
    </row>
    <row r="18" spans="1:5" x14ac:dyDescent="0.25">
      <c r="A18" s="329" t="s">
        <v>567</v>
      </c>
      <c r="B18" s="89">
        <v>42.8</v>
      </c>
      <c r="C18" s="89">
        <v>42.9</v>
      </c>
      <c r="D18" s="89">
        <v>43.9</v>
      </c>
      <c r="E18" s="89">
        <v>40.6</v>
      </c>
    </row>
    <row r="19" spans="1:5" x14ac:dyDescent="0.25">
      <c r="A19" s="329" t="s">
        <v>568</v>
      </c>
      <c r="B19" s="89">
        <v>42.9</v>
      </c>
      <c r="C19" s="89">
        <v>43</v>
      </c>
      <c r="D19" s="89">
        <v>44</v>
      </c>
      <c r="E19" s="89">
        <v>41</v>
      </c>
    </row>
    <row r="20" spans="1:5" x14ac:dyDescent="0.25">
      <c r="A20" s="329" t="s">
        <v>569</v>
      </c>
      <c r="B20" s="89">
        <v>43</v>
      </c>
      <c r="C20" s="89">
        <v>43.1</v>
      </c>
      <c r="D20" s="89">
        <v>44.1</v>
      </c>
      <c r="E20" s="89">
        <v>41.3</v>
      </c>
    </row>
    <row r="21" spans="1:5" x14ac:dyDescent="0.25">
      <c r="A21" s="329" t="s">
        <v>570</v>
      </c>
      <c r="B21" s="89">
        <v>43.1</v>
      </c>
      <c r="C21" s="89">
        <v>43.2</v>
      </c>
      <c r="D21" s="89">
        <v>44.2</v>
      </c>
      <c r="E21" s="89">
        <v>41.6</v>
      </c>
    </row>
    <row r="22" spans="1:5" x14ac:dyDescent="0.25">
      <c r="A22" s="329" t="s">
        <v>571</v>
      </c>
      <c r="B22" s="89">
        <v>43.2</v>
      </c>
      <c r="C22" s="89">
        <v>43.3</v>
      </c>
      <c r="D22" s="89">
        <v>44.4</v>
      </c>
      <c r="E22" s="89">
        <v>42</v>
      </c>
    </row>
    <row r="23" spans="1:5" x14ac:dyDescent="0.25">
      <c r="A23" s="329" t="s">
        <v>572</v>
      </c>
      <c r="B23" s="89">
        <v>43.4</v>
      </c>
      <c r="C23" s="89">
        <v>43.4</v>
      </c>
      <c r="D23" s="89">
        <v>44.5</v>
      </c>
      <c r="E23" s="89">
        <v>42.3</v>
      </c>
    </row>
    <row r="24" spans="1:5" x14ac:dyDescent="0.25">
      <c r="A24" s="329" t="s">
        <v>573</v>
      </c>
      <c r="B24" s="89">
        <v>43.5</v>
      </c>
      <c r="C24" s="89">
        <v>43.6</v>
      </c>
      <c r="D24" s="89">
        <v>44.6</v>
      </c>
      <c r="E24" s="89">
        <v>42.6</v>
      </c>
    </row>
    <row r="25" spans="1:5" x14ac:dyDescent="0.25">
      <c r="A25" s="329" t="s">
        <v>574</v>
      </c>
      <c r="B25" s="89">
        <v>43.6</v>
      </c>
      <c r="C25" s="89">
        <v>43.7</v>
      </c>
      <c r="D25" s="89">
        <v>44.7</v>
      </c>
      <c r="E25" s="89">
        <v>43</v>
      </c>
    </row>
    <row r="26" spans="1:5" x14ac:dyDescent="0.25">
      <c r="A26" s="329" t="s">
        <v>575</v>
      </c>
      <c r="B26" s="89">
        <v>43.7</v>
      </c>
      <c r="C26" s="89">
        <v>43.8</v>
      </c>
      <c r="D26" s="89">
        <v>44.8</v>
      </c>
      <c r="E26" s="89">
        <v>43.3</v>
      </c>
    </row>
    <row r="27" spans="1:5" x14ac:dyDescent="0.25">
      <c r="A27" s="329" t="s">
        <v>576</v>
      </c>
      <c r="B27" s="89">
        <v>43.8</v>
      </c>
      <c r="C27" s="89">
        <v>43.9</v>
      </c>
      <c r="D27" s="89">
        <v>44.9</v>
      </c>
      <c r="E27" s="89">
        <v>43.6</v>
      </c>
    </row>
    <row r="28" spans="1:5" x14ac:dyDescent="0.25">
      <c r="A28" s="329" t="s">
        <v>577</v>
      </c>
      <c r="B28" s="89">
        <v>43.9</v>
      </c>
      <c r="C28" s="89">
        <v>44</v>
      </c>
      <c r="D28" s="89">
        <v>45</v>
      </c>
      <c r="E28" s="89">
        <v>44</v>
      </c>
    </row>
    <row r="29" spans="1:5" x14ac:dyDescent="0.25">
      <c r="A29" s="329" t="s">
        <v>578</v>
      </c>
      <c r="B29" s="89">
        <v>44</v>
      </c>
      <c r="C29" s="89">
        <v>44.1</v>
      </c>
      <c r="D29" s="89">
        <v>45.1</v>
      </c>
      <c r="E29" s="89">
        <v>44.3</v>
      </c>
    </row>
    <row r="30" spans="1:5" x14ac:dyDescent="0.25">
      <c r="A30" s="329" t="s">
        <v>579</v>
      </c>
      <c r="B30" s="89">
        <v>44.1</v>
      </c>
      <c r="C30" s="89">
        <v>44.2</v>
      </c>
      <c r="D30" s="89">
        <v>45.2</v>
      </c>
      <c r="E30" s="89">
        <v>44.6</v>
      </c>
    </row>
    <row r="31" spans="1:5" x14ac:dyDescent="0.25">
      <c r="A31" s="329" t="s">
        <v>580</v>
      </c>
      <c r="B31" s="89">
        <v>44.2</v>
      </c>
      <c r="C31" s="89">
        <v>44.3</v>
      </c>
      <c r="D31" s="89">
        <v>45.3</v>
      </c>
      <c r="E31" s="89">
        <v>45</v>
      </c>
    </row>
    <row r="32" spans="1:5" x14ac:dyDescent="0.25">
      <c r="A32" s="329" t="s">
        <v>581</v>
      </c>
      <c r="B32" s="89">
        <v>44.3</v>
      </c>
      <c r="C32" s="89">
        <v>44.4</v>
      </c>
      <c r="D32" s="89">
        <v>45.4</v>
      </c>
      <c r="E32" s="89">
        <v>45.3</v>
      </c>
    </row>
    <row r="33" spans="1:5" x14ac:dyDescent="0.25">
      <c r="A33" s="329" t="s">
        <v>582</v>
      </c>
      <c r="B33" s="89">
        <v>44.4</v>
      </c>
      <c r="C33" s="89">
        <v>44.5</v>
      </c>
      <c r="D33" s="89">
        <v>45.5</v>
      </c>
      <c r="E33" s="89">
        <v>45.6</v>
      </c>
    </row>
    <row r="34" spans="1:5" x14ac:dyDescent="0.25">
      <c r="A34" s="329" t="s">
        <v>583</v>
      </c>
      <c r="B34" s="89">
        <v>44.4</v>
      </c>
      <c r="C34" s="89">
        <v>44.6</v>
      </c>
      <c r="D34" s="89">
        <v>45.6</v>
      </c>
      <c r="E34" s="89">
        <v>46</v>
      </c>
    </row>
    <row r="35" spans="1:5" x14ac:dyDescent="0.25">
      <c r="A35" s="329" t="s">
        <v>584</v>
      </c>
      <c r="B35" s="89">
        <v>44.5</v>
      </c>
      <c r="C35" s="89">
        <v>44.7</v>
      </c>
      <c r="D35" s="89">
        <v>45.7</v>
      </c>
      <c r="E35" s="89">
        <v>46.3</v>
      </c>
    </row>
    <row r="36" spans="1:5" x14ac:dyDescent="0.25">
      <c r="A36" s="329" t="s">
        <v>585</v>
      </c>
      <c r="B36" s="89">
        <v>44.7</v>
      </c>
      <c r="C36" s="89">
        <v>44.8</v>
      </c>
      <c r="D36" s="89">
        <v>45.8</v>
      </c>
      <c r="E36" s="89">
        <v>46.6</v>
      </c>
    </row>
    <row r="37" spans="1:5" x14ac:dyDescent="0.25">
      <c r="A37" s="329" t="s">
        <v>586</v>
      </c>
      <c r="B37" s="89">
        <v>44.7</v>
      </c>
      <c r="C37" s="89">
        <v>44.9</v>
      </c>
      <c r="D37" s="89">
        <v>45.9</v>
      </c>
      <c r="E37" s="89">
        <v>47</v>
      </c>
    </row>
    <row r="38" spans="1:5" x14ac:dyDescent="0.25">
      <c r="A38" s="329" t="s">
        <v>587</v>
      </c>
      <c r="B38" s="89">
        <v>44.8</v>
      </c>
      <c r="C38" s="89">
        <v>45</v>
      </c>
      <c r="D38" s="89">
        <v>46</v>
      </c>
      <c r="E38" s="89">
        <v>47.3</v>
      </c>
    </row>
    <row r="39" spans="1:5" x14ac:dyDescent="0.25">
      <c r="A39" s="329" t="s">
        <v>588</v>
      </c>
      <c r="B39" s="89">
        <v>44.9</v>
      </c>
      <c r="C39" s="89">
        <v>45.1</v>
      </c>
      <c r="D39" s="89">
        <v>46.1</v>
      </c>
      <c r="E39" s="89">
        <v>47.6</v>
      </c>
    </row>
    <row r="40" spans="1:5" x14ac:dyDescent="0.25">
      <c r="A40" s="329" t="s">
        <v>589</v>
      </c>
      <c r="B40" s="89">
        <v>45</v>
      </c>
      <c r="C40" s="89">
        <v>45.2</v>
      </c>
      <c r="D40" s="89">
        <v>46.2</v>
      </c>
      <c r="E40" s="89">
        <v>48</v>
      </c>
    </row>
    <row r="41" spans="1:5" x14ac:dyDescent="0.25">
      <c r="A41" s="329" t="s">
        <v>590</v>
      </c>
      <c r="B41" s="89">
        <v>45</v>
      </c>
      <c r="C41" s="89">
        <v>45.3</v>
      </c>
      <c r="D41" s="89">
        <v>46.3</v>
      </c>
      <c r="E41" s="89">
        <v>48.3</v>
      </c>
    </row>
    <row r="42" spans="1:5" x14ac:dyDescent="0.25">
      <c r="A42" s="329" t="s">
        <v>591</v>
      </c>
      <c r="B42" s="89">
        <v>45.2</v>
      </c>
      <c r="C42" s="89">
        <v>45.3</v>
      </c>
      <c r="D42" s="89">
        <v>46.4</v>
      </c>
      <c r="E42" s="89">
        <v>48.6</v>
      </c>
    </row>
    <row r="43" spans="1:5" x14ac:dyDescent="0.25">
      <c r="A43" s="329" t="s">
        <v>592</v>
      </c>
      <c r="B43" s="89">
        <v>45.2</v>
      </c>
      <c r="C43" s="89">
        <v>45.4</v>
      </c>
      <c r="D43" s="89">
        <v>46.5</v>
      </c>
      <c r="E43" s="89">
        <v>49</v>
      </c>
    </row>
    <row r="44" spans="1:5" x14ac:dyDescent="0.25">
      <c r="A44" s="329" t="s">
        <v>593</v>
      </c>
      <c r="B44" s="89">
        <v>45.3</v>
      </c>
      <c r="C44" s="89">
        <v>45.5</v>
      </c>
      <c r="D44" s="89">
        <v>46.5</v>
      </c>
      <c r="E44" s="89">
        <v>49.3</v>
      </c>
    </row>
    <row r="45" spans="1:5" x14ac:dyDescent="0.25">
      <c r="A45" s="329" t="s">
        <v>594</v>
      </c>
      <c r="B45" s="89">
        <v>45.3</v>
      </c>
      <c r="C45" s="89">
        <v>45.5</v>
      </c>
      <c r="D45" s="89">
        <v>46.6</v>
      </c>
      <c r="E45" s="89">
        <v>49.6</v>
      </c>
    </row>
    <row r="46" spans="1:5" x14ac:dyDescent="0.25">
      <c r="A46" s="329" t="s">
        <v>595</v>
      </c>
      <c r="B46" s="89">
        <v>45.4</v>
      </c>
      <c r="C46" s="89">
        <v>45.6</v>
      </c>
      <c r="D46" s="89">
        <v>46.7</v>
      </c>
      <c r="E46" s="89">
        <v>50</v>
      </c>
    </row>
    <row r="47" spans="1:5" x14ac:dyDescent="0.25">
      <c r="A47" s="329" t="s">
        <v>596</v>
      </c>
      <c r="B47" s="89">
        <v>45.5</v>
      </c>
      <c r="C47" s="89">
        <v>45.7</v>
      </c>
      <c r="D47" s="89">
        <v>46.8</v>
      </c>
      <c r="E47" s="89">
        <v>50.3</v>
      </c>
    </row>
    <row r="48" spans="1:5" x14ac:dyDescent="0.25">
      <c r="A48" s="329" t="s">
        <v>597</v>
      </c>
      <c r="B48" s="89">
        <v>45.6</v>
      </c>
      <c r="C48" s="89">
        <v>45.8</v>
      </c>
      <c r="D48" s="89">
        <v>46.8</v>
      </c>
      <c r="E48" s="89">
        <v>50.6</v>
      </c>
    </row>
    <row r="49" spans="1:5" x14ac:dyDescent="0.25">
      <c r="A49" s="329" t="s">
        <v>598</v>
      </c>
      <c r="B49" s="89">
        <v>45.6</v>
      </c>
      <c r="C49" s="89">
        <v>45.8</v>
      </c>
      <c r="D49" s="89">
        <v>46.9</v>
      </c>
      <c r="E49" s="89">
        <v>51</v>
      </c>
    </row>
    <row r="50" spans="1:5" x14ac:dyDescent="0.25">
      <c r="A50" s="329" t="s">
        <v>599</v>
      </c>
      <c r="B50" s="89">
        <v>45.7</v>
      </c>
      <c r="C50" s="89">
        <v>45.9</v>
      </c>
      <c r="D50" s="89">
        <v>47</v>
      </c>
      <c r="E50" s="89">
        <v>51.3</v>
      </c>
    </row>
    <row r="51" spans="1:5" x14ac:dyDescent="0.25">
      <c r="A51" s="329" t="s">
        <v>600</v>
      </c>
      <c r="B51" s="89">
        <v>45.8</v>
      </c>
      <c r="C51" s="89">
        <v>46</v>
      </c>
      <c r="D51" s="89">
        <v>47.1</v>
      </c>
      <c r="E51" s="89">
        <v>51.6</v>
      </c>
    </row>
    <row r="52" spans="1:5" x14ac:dyDescent="0.25">
      <c r="A52" s="329" t="s">
        <v>601</v>
      </c>
      <c r="B52" s="89">
        <v>45.9</v>
      </c>
      <c r="C52" s="89">
        <v>46.1</v>
      </c>
      <c r="D52" s="89">
        <v>47.2</v>
      </c>
      <c r="E52" s="89">
        <v>52</v>
      </c>
    </row>
    <row r="53" spans="1:5" x14ac:dyDescent="0.25">
      <c r="A53" s="329" t="s">
        <v>602</v>
      </c>
      <c r="B53" s="89">
        <v>46</v>
      </c>
      <c r="C53" s="89">
        <v>46.2</v>
      </c>
      <c r="D53" s="89">
        <v>47.2</v>
      </c>
      <c r="E53" s="89">
        <v>52.3</v>
      </c>
    </row>
    <row r="54" spans="1:5" x14ac:dyDescent="0.25">
      <c r="A54" s="329" t="s">
        <v>603</v>
      </c>
      <c r="B54" s="89">
        <v>46</v>
      </c>
      <c r="C54" s="89">
        <v>46.2</v>
      </c>
      <c r="D54" s="89">
        <v>47.3</v>
      </c>
      <c r="E54" s="89">
        <v>52.6</v>
      </c>
    </row>
    <row r="55" spans="1:5" x14ac:dyDescent="0.25">
      <c r="A55" s="329" t="s">
        <v>604</v>
      </c>
      <c r="B55" s="89">
        <v>46</v>
      </c>
      <c r="C55" s="89">
        <v>46.3</v>
      </c>
      <c r="D55" s="89">
        <v>47.4</v>
      </c>
      <c r="E55" s="89">
        <v>53</v>
      </c>
    </row>
    <row r="56" spans="1:5" x14ac:dyDescent="0.25">
      <c r="A56" s="329" t="s">
        <v>605</v>
      </c>
      <c r="B56" s="89">
        <v>46.1</v>
      </c>
      <c r="C56" s="89">
        <v>46.3</v>
      </c>
      <c r="D56" s="89">
        <v>47.5</v>
      </c>
      <c r="E56" s="89">
        <v>53.3</v>
      </c>
    </row>
    <row r="57" spans="1:5" x14ac:dyDescent="0.25">
      <c r="A57" s="329" t="s">
        <v>606</v>
      </c>
      <c r="B57" s="89">
        <v>46.5</v>
      </c>
      <c r="C57" s="89">
        <v>46.6</v>
      </c>
      <c r="D57" s="89">
        <v>47.8</v>
      </c>
      <c r="E57" s="89">
        <v>53.6</v>
      </c>
    </row>
    <row r="58" spans="1:5" x14ac:dyDescent="0.25">
      <c r="A58" s="329" t="s">
        <v>607</v>
      </c>
      <c r="B58" s="89">
        <v>47.2</v>
      </c>
      <c r="C58" s="89">
        <v>47</v>
      </c>
      <c r="D58" s="89">
        <v>48.5</v>
      </c>
      <c r="E58" s="89">
        <v>54</v>
      </c>
    </row>
    <row r="59" spans="1:5" x14ac:dyDescent="0.25">
      <c r="A59" s="329" t="s">
        <v>608</v>
      </c>
      <c r="B59" s="89">
        <v>48.4</v>
      </c>
      <c r="C59" s="89">
        <v>47.8</v>
      </c>
      <c r="D59" s="89">
        <v>49.7</v>
      </c>
      <c r="E59" s="89">
        <v>54.3</v>
      </c>
    </row>
    <row r="60" spans="1:5" x14ac:dyDescent="0.25">
      <c r="A60" s="329" t="s">
        <v>609</v>
      </c>
      <c r="B60" s="89">
        <v>49.8</v>
      </c>
      <c r="C60" s="89">
        <v>48.7</v>
      </c>
      <c r="D60" s="89">
        <v>51</v>
      </c>
      <c r="E60" s="89">
        <v>54.6</v>
      </c>
    </row>
    <row r="61" spans="1:5" x14ac:dyDescent="0.25">
      <c r="A61" s="329" t="s">
        <v>610</v>
      </c>
      <c r="B61" s="89">
        <v>51.4</v>
      </c>
      <c r="C61" s="89">
        <v>49.8</v>
      </c>
      <c r="D61" s="89">
        <v>52.5</v>
      </c>
      <c r="E61" s="89">
        <v>55</v>
      </c>
    </row>
    <row r="62" spans="1:5" x14ac:dyDescent="0.25">
      <c r="A62" s="329" t="s">
        <v>611</v>
      </c>
      <c r="B62" s="89">
        <v>53.1</v>
      </c>
      <c r="C62" s="89">
        <v>50.9</v>
      </c>
      <c r="D62" s="89">
        <v>54</v>
      </c>
      <c r="E62" s="89">
        <v>55.3</v>
      </c>
    </row>
    <row r="63" spans="1:5" x14ac:dyDescent="0.25">
      <c r="A63" s="329" t="s">
        <v>612</v>
      </c>
      <c r="B63" s="89">
        <v>54.5</v>
      </c>
      <c r="C63" s="89">
        <v>52.1</v>
      </c>
      <c r="D63" s="89">
        <v>55.3</v>
      </c>
      <c r="E63" s="89">
        <v>55.6</v>
      </c>
    </row>
    <row r="64" spans="1:5" x14ac:dyDescent="0.25">
      <c r="A64" s="329" t="s">
        <v>613</v>
      </c>
      <c r="B64" s="89">
        <v>55.8</v>
      </c>
      <c r="C64" s="89">
        <v>53.2</v>
      </c>
      <c r="D64" s="89">
        <v>56.5</v>
      </c>
      <c r="E64" s="89">
        <v>56</v>
      </c>
    </row>
    <row r="65" spans="1:5" x14ac:dyDescent="0.25">
      <c r="A65" s="329" t="s">
        <v>614</v>
      </c>
      <c r="B65" s="89">
        <v>57</v>
      </c>
      <c r="C65" s="89">
        <v>54.2</v>
      </c>
      <c r="D65" s="89">
        <v>57.5</v>
      </c>
      <c r="E65" s="89">
        <v>56.3</v>
      </c>
    </row>
    <row r="66" spans="1:5" x14ac:dyDescent="0.25">
      <c r="A66" s="329" t="s">
        <v>615</v>
      </c>
      <c r="B66" s="89">
        <v>57.9</v>
      </c>
      <c r="C66" s="89">
        <v>55.1</v>
      </c>
      <c r="D66" s="89">
        <v>58.3</v>
      </c>
      <c r="E66" s="89">
        <v>56.6</v>
      </c>
    </row>
    <row r="67" spans="1:5" x14ac:dyDescent="0.25">
      <c r="A67" s="329" t="s">
        <v>616</v>
      </c>
      <c r="B67" s="89">
        <v>58.6</v>
      </c>
      <c r="C67" s="89">
        <v>55.8</v>
      </c>
      <c r="D67" s="89">
        <v>59</v>
      </c>
      <c r="E67" s="89">
        <v>57</v>
      </c>
    </row>
    <row r="68" spans="1:5" x14ac:dyDescent="0.25">
      <c r="A68" s="329" t="s">
        <v>617</v>
      </c>
      <c r="B68" s="89">
        <v>59.2</v>
      </c>
      <c r="C68" s="89">
        <v>56.6</v>
      </c>
      <c r="D68" s="89">
        <v>59.6</v>
      </c>
      <c r="E68" s="89">
        <v>57.3</v>
      </c>
    </row>
    <row r="69" spans="1:5" x14ac:dyDescent="0.25">
      <c r="A69" s="329" t="s">
        <v>618</v>
      </c>
      <c r="B69" s="89">
        <v>59.7</v>
      </c>
      <c r="C69" s="89">
        <v>57.1</v>
      </c>
      <c r="D69" s="89">
        <v>60.1</v>
      </c>
      <c r="E69" s="89">
        <v>57.6</v>
      </c>
    </row>
    <row r="70" spans="1:5" x14ac:dyDescent="0.25">
      <c r="A70" s="329" t="s">
        <v>619</v>
      </c>
      <c r="B70" s="89">
        <v>60</v>
      </c>
      <c r="C70" s="89">
        <v>57.7</v>
      </c>
      <c r="D70" s="89">
        <v>60.5</v>
      </c>
      <c r="E70" s="89">
        <v>58</v>
      </c>
    </row>
    <row r="71" spans="1:5" x14ac:dyDescent="0.25">
      <c r="A71" s="329" t="s">
        <v>620</v>
      </c>
      <c r="B71" s="89">
        <v>60.3</v>
      </c>
      <c r="C71" s="89">
        <v>58.1</v>
      </c>
      <c r="D71" s="89">
        <v>60.8</v>
      </c>
      <c r="E71" s="89">
        <v>58.3</v>
      </c>
    </row>
    <row r="72" spans="1:5" x14ac:dyDescent="0.25">
      <c r="A72" s="329" t="s">
        <v>621</v>
      </c>
      <c r="B72" s="89">
        <v>60.6</v>
      </c>
      <c r="C72" s="89">
        <v>58.5</v>
      </c>
      <c r="D72" s="89">
        <v>61.1</v>
      </c>
      <c r="E72" s="89">
        <v>58.6</v>
      </c>
    </row>
    <row r="73" spans="1:5" x14ac:dyDescent="0.25">
      <c r="A73" s="329" t="s">
        <v>622</v>
      </c>
      <c r="B73" s="89">
        <v>60.9</v>
      </c>
      <c r="C73" s="89">
        <v>58.9</v>
      </c>
      <c r="D73" s="89">
        <v>61.3</v>
      </c>
      <c r="E73" s="89">
        <v>59</v>
      </c>
    </row>
    <row r="74" spans="1:5" x14ac:dyDescent="0.25">
      <c r="A74" s="329" t="s">
        <v>623</v>
      </c>
      <c r="B74" s="89">
        <v>61.1</v>
      </c>
      <c r="C74" s="89">
        <v>59.2</v>
      </c>
      <c r="D74" s="89">
        <v>61.7</v>
      </c>
      <c r="E74" s="89">
        <v>59.3</v>
      </c>
    </row>
    <row r="75" spans="1:5" x14ac:dyDescent="0.25">
      <c r="A75" s="329" t="s">
        <v>624</v>
      </c>
      <c r="B75" s="89">
        <v>61.4</v>
      </c>
      <c r="C75" s="89">
        <v>59.6</v>
      </c>
      <c r="D75" s="89">
        <v>61.9</v>
      </c>
      <c r="E75" s="89">
        <v>59.6</v>
      </c>
    </row>
    <row r="76" spans="1:5" x14ac:dyDescent="0.25">
      <c r="A76" s="329" t="s">
        <v>625</v>
      </c>
      <c r="B76" s="89">
        <v>61.6</v>
      </c>
      <c r="C76" s="89">
        <v>59.9</v>
      </c>
      <c r="D76" s="89">
        <v>62.2</v>
      </c>
      <c r="E76" s="89">
        <v>60</v>
      </c>
    </row>
    <row r="77" spans="1:5" x14ac:dyDescent="0.25">
      <c r="A77" s="329" t="s">
        <v>626</v>
      </c>
      <c r="B77" s="89">
        <v>61.8</v>
      </c>
      <c r="C77" s="89">
        <v>60.1</v>
      </c>
      <c r="D77" s="89">
        <v>62.5</v>
      </c>
      <c r="E77" s="89">
        <v>60.3</v>
      </c>
    </row>
    <row r="78" spans="1:5" x14ac:dyDescent="0.25">
      <c r="A78" s="329" t="s">
        <v>627</v>
      </c>
      <c r="B78" s="89">
        <v>62.1</v>
      </c>
      <c r="C78" s="89">
        <v>60.5</v>
      </c>
      <c r="D78" s="89">
        <v>62.7</v>
      </c>
      <c r="E78" s="89">
        <v>60.6</v>
      </c>
    </row>
    <row r="79" spans="1:5" x14ac:dyDescent="0.25">
      <c r="A79" s="329" t="s">
        <v>628</v>
      </c>
      <c r="B79" s="89">
        <v>62.4</v>
      </c>
      <c r="C79" s="89">
        <v>60.8</v>
      </c>
      <c r="D79" s="89">
        <v>63</v>
      </c>
      <c r="E79" s="89">
        <v>61</v>
      </c>
    </row>
    <row r="80" spans="1:5" x14ac:dyDescent="0.25">
      <c r="A80" s="329" t="s">
        <v>629</v>
      </c>
      <c r="B80" s="89">
        <v>62.6</v>
      </c>
      <c r="C80" s="89">
        <v>61.1</v>
      </c>
      <c r="D80" s="89">
        <v>63.3</v>
      </c>
      <c r="E80" s="89">
        <v>61.3</v>
      </c>
    </row>
    <row r="81" spans="1:5" x14ac:dyDescent="0.25">
      <c r="A81" s="329" t="s">
        <v>630</v>
      </c>
      <c r="B81" s="89">
        <v>62.9</v>
      </c>
      <c r="C81" s="89">
        <v>61.4</v>
      </c>
      <c r="D81" s="89">
        <v>63.6</v>
      </c>
      <c r="E81" s="89">
        <v>61.6</v>
      </c>
    </row>
    <row r="82" spans="1:5" x14ac:dyDescent="0.25">
      <c r="A82" s="329" t="s">
        <v>631</v>
      </c>
      <c r="B82" s="89">
        <v>63.1</v>
      </c>
      <c r="C82" s="89">
        <v>61.7</v>
      </c>
      <c r="D82" s="89">
        <v>63.9</v>
      </c>
      <c r="E82" s="89">
        <v>62</v>
      </c>
    </row>
    <row r="83" spans="1:5" x14ac:dyDescent="0.25">
      <c r="A83" s="329" t="s">
        <v>632</v>
      </c>
      <c r="B83" s="89">
        <v>63.4</v>
      </c>
      <c r="C83" s="89">
        <v>62</v>
      </c>
      <c r="D83" s="89">
        <v>64.2</v>
      </c>
      <c r="E83" s="89">
        <v>62.3</v>
      </c>
    </row>
    <row r="84" spans="1:5" x14ac:dyDescent="0.25">
      <c r="A84" s="329" t="s">
        <v>633</v>
      </c>
      <c r="B84" s="89">
        <v>63.7</v>
      </c>
      <c r="C84" s="89">
        <v>62.3</v>
      </c>
      <c r="D84" s="89">
        <v>64.5</v>
      </c>
      <c r="E84" s="89">
        <v>62.6</v>
      </c>
    </row>
    <row r="85" spans="1:5" x14ac:dyDescent="0.25">
      <c r="A85" s="329" t="s">
        <v>634</v>
      </c>
      <c r="B85" s="89">
        <v>64</v>
      </c>
      <c r="C85" s="89">
        <v>62.7</v>
      </c>
      <c r="D85" s="89">
        <v>64.8</v>
      </c>
      <c r="E85" s="89">
        <v>63</v>
      </c>
    </row>
    <row r="86" spans="1:5" x14ac:dyDescent="0.25">
      <c r="A86" s="329" t="s">
        <v>635</v>
      </c>
      <c r="B86" s="89">
        <v>64.3</v>
      </c>
      <c r="C86" s="89">
        <v>63</v>
      </c>
      <c r="D86" s="89">
        <v>65.099999999999994</v>
      </c>
      <c r="E86" s="89">
        <v>63.3</v>
      </c>
    </row>
    <row r="87" spans="1:5" x14ac:dyDescent="0.25">
      <c r="A87" s="329" t="s">
        <v>636</v>
      </c>
      <c r="B87" s="89">
        <v>64.7</v>
      </c>
      <c r="C87" s="89">
        <v>63.3</v>
      </c>
      <c r="D87" s="89">
        <v>65.400000000000006</v>
      </c>
      <c r="E87" s="89">
        <v>63.6</v>
      </c>
    </row>
    <row r="88" spans="1:5" x14ac:dyDescent="0.25">
      <c r="A88" s="329" t="s">
        <v>637</v>
      </c>
      <c r="B88" s="89">
        <v>65</v>
      </c>
      <c r="C88" s="89">
        <v>63.7</v>
      </c>
      <c r="D88" s="89">
        <v>65.8</v>
      </c>
      <c r="E88" s="89">
        <v>64</v>
      </c>
    </row>
    <row r="89" spans="1:5" x14ac:dyDescent="0.25">
      <c r="A89" s="329" t="s">
        <v>638</v>
      </c>
      <c r="B89" s="89">
        <v>65.2</v>
      </c>
      <c r="C89" s="89">
        <v>64</v>
      </c>
      <c r="D89" s="89">
        <v>66.099999999999994</v>
      </c>
      <c r="E89" s="89">
        <v>64.3</v>
      </c>
    </row>
    <row r="90" spans="1:5" x14ac:dyDescent="0.25">
      <c r="A90" s="329" t="s">
        <v>639</v>
      </c>
      <c r="B90" s="89">
        <v>65.599999999999994</v>
      </c>
      <c r="C90" s="89">
        <v>64.3</v>
      </c>
      <c r="D90" s="89">
        <v>66.400000000000006</v>
      </c>
      <c r="E90" s="89">
        <v>64.599999999999994</v>
      </c>
    </row>
    <row r="91" spans="1:5" x14ac:dyDescent="0.25">
      <c r="A91" s="329" t="s">
        <v>640</v>
      </c>
      <c r="B91" s="89">
        <v>65.900000000000006</v>
      </c>
      <c r="C91" s="89">
        <v>64.599999999999994</v>
      </c>
      <c r="D91" s="89">
        <v>66.8</v>
      </c>
      <c r="E91" s="89">
        <v>65</v>
      </c>
    </row>
    <row r="92" spans="1:5" x14ac:dyDescent="0.25">
      <c r="A92" s="329" t="s">
        <v>641</v>
      </c>
      <c r="B92" s="89">
        <v>66.2</v>
      </c>
      <c r="C92" s="89">
        <v>65</v>
      </c>
      <c r="D92" s="89">
        <v>67.099999999999994</v>
      </c>
      <c r="E92" s="89">
        <v>65.3</v>
      </c>
    </row>
    <row r="93" spans="1:5" x14ac:dyDescent="0.25">
      <c r="A93" s="329" t="s">
        <v>642</v>
      </c>
      <c r="B93" s="89">
        <v>66.599999999999994</v>
      </c>
      <c r="C93" s="89">
        <v>65.3</v>
      </c>
      <c r="D93" s="89">
        <v>67.400000000000006</v>
      </c>
      <c r="E93" s="89">
        <v>65.599999999999994</v>
      </c>
    </row>
    <row r="94" spans="1:5" x14ac:dyDescent="0.25">
      <c r="A94" s="329" t="s">
        <v>643</v>
      </c>
      <c r="B94" s="89">
        <v>66.900000000000006</v>
      </c>
      <c r="C94" s="89">
        <v>65.599999999999994</v>
      </c>
      <c r="D94" s="89">
        <v>67.8</v>
      </c>
      <c r="E94" s="89">
        <v>66</v>
      </c>
    </row>
    <row r="95" spans="1:5" x14ac:dyDescent="0.25">
      <c r="A95" s="329" t="s">
        <v>644</v>
      </c>
      <c r="B95" s="89">
        <v>67.2</v>
      </c>
      <c r="C95" s="89">
        <v>66</v>
      </c>
      <c r="D95" s="89">
        <v>68.099999999999994</v>
      </c>
      <c r="E95" s="89">
        <v>66.3</v>
      </c>
    </row>
    <row r="96" spans="1:5" x14ac:dyDescent="0.25">
      <c r="A96" s="329" t="s">
        <v>645</v>
      </c>
      <c r="B96" s="89">
        <v>67.5</v>
      </c>
      <c r="C96" s="89">
        <v>66.3</v>
      </c>
      <c r="D96" s="89">
        <v>68.5</v>
      </c>
      <c r="E96" s="89">
        <v>66.599999999999994</v>
      </c>
    </row>
    <row r="97" spans="1:5" x14ac:dyDescent="0.25">
      <c r="A97" s="329" t="s">
        <v>646</v>
      </c>
      <c r="B97" s="89">
        <v>67.8</v>
      </c>
      <c r="C97" s="89">
        <v>66.599999999999994</v>
      </c>
      <c r="D97" s="89">
        <v>68.8</v>
      </c>
      <c r="E97" s="89">
        <v>67</v>
      </c>
    </row>
    <row r="98" spans="1:5" x14ac:dyDescent="0.25">
      <c r="A98" s="329" t="s">
        <v>647</v>
      </c>
      <c r="B98" s="89">
        <v>68.2</v>
      </c>
      <c r="C98" s="89">
        <v>66.900000000000006</v>
      </c>
      <c r="D98" s="89">
        <v>69.099999999999994</v>
      </c>
      <c r="E98" s="89">
        <v>67.3</v>
      </c>
    </row>
    <row r="99" spans="1:5" x14ac:dyDescent="0.25">
      <c r="A99" s="329" t="s">
        <v>648</v>
      </c>
      <c r="B99" s="89">
        <v>68.599999999999994</v>
      </c>
      <c r="C99" s="89">
        <v>67.2</v>
      </c>
      <c r="D99" s="89">
        <v>69.400000000000006</v>
      </c>
      <c r="E99" s="89">
        <v>67.599999999999994</v>
      </c>
    </row>
    <row r="100" spans="1:5" x14ac:dyDescent="0.25">
      <c r="A100" s="329" t="s">
        <v>649</v>
      </c>
      <c r="B100" s="89">
        <v>68.900000000000006</v>
      </c>
      <c r="C100" s="89">
        <v>67.599999999999994</v>
      </c>
      <c r="D100" s="89">
        <v>69.8</v>
      </c>
      <c r="E100" s="89">
        <v>68</v>
      </c>
    </row>
    <row r="101" spans="1:5" x14ac:dyDescent="0.25">
      <c r="A101" s="329" t="s">
        <v>650</v>
      </c>
      <c r="B101" s="89">
        <v>69.2</v>
      </c>
      <c r="C101" s="89">
        <v>67.900000000000006</v>
      </c>
      <c r="D101" s="89">
        <v>70.099999999999994</v>
      </c>
      <c r="E101" s="89">
        <v>68.3</v>
      </c>
    </row>
    <row r="102" spans="1:5" x14ac:dyDescent="0.25">
      <c r="A102" s="329" t="s">
        <v>651</v>
      </c>
      <c r="B102" s="89">
        <v>69.599999999999994</v>
      </c>
      <c r="C102" s="89">
        <v>68.3</v>
      </c>
      <c r="D102" s="89">
        <v>70.5</v>
      </c>
      <c r="E102" s="89">
        <v>68.599999999999994</v>
      </c>
    </row>
    <row r="103" spans="1:5" x14ac:dyDescent="0.25">
      <c r="A103" s="329" t="s">
        <v>652</v>
      </c>
      <c r="B103" s="89">
        <v>69.8</v>
      </c>
      <c r="C103" s="89">
        <v>68.599999999999994</v>
      </c>
      <c r="D103" s="89">
        <v>70.8</v>
      </c>
      <c r="E103" s="89">
        <v>69</v>
      </c>
    </row>
    <row r="104" spans="1:5" x14ac:dyDescent="0.25">
      <c r="A104" s="329" t="s">
        <v>653</v>
      </c>
      <c r="B104" s="89">
        <v>70.2</v>
      </c>
      <c r="C104" s="89">
        <v>68.900000000000006</v>
      </c>
      <c r="D104" s="89">
        <v>71.099999999999994</v>
      </c>
      <c r="E104" s="89">
        <v>69.3</v>
      </c>
    </row>
    <row r="105" spans="1:5" x14ac:dyDescent="0.25">
      <c r="A105" s="329" t="s">
        <v>654</v>
      </c>
      <c r="B105" s="89">
        <v>70.5</v>
      </c>
      <c r="C105" s="89">
        <v>69.2</v>
      </c>
      <c r="D105" s="89">
        <v>71.5</v>
      </c>
      <c r="E105" s="89">
        <v>69.599999999999994</v>
      </c>
    </row>
    <row r="106" spans="1:5" x14ac:dyDescent="0.25">
      <c r="A106" s="329" t="s">
        <v>655</v>
      </c>
      <c r="B106" s="89">
        <v>70.900000000000006</v>
      </c>
      <c r="C106" s="89">
        <v>69.599999999999994</v>
      </c>
      <c r="D106" s="89">
        <v>71.8</v>
      </c>
      <c r="E106" s="89">
        <v>70</v>
      </c>
    </row>
    <row r="107" spans="1:5" x14ac:dyDescent="0.25">
      <c r="A107" s="329" t="s">
        <v>656</v>
      </c>
      <c r="B107" s="89">
        <v>71.2</v>
      </c>
      <c r="C107" s="89">
        <v>69.900000000000006</v>
      </c>
      <c r="D107" s="89">
        <v>72.2</v>
      </c>
      <c r="E107" s="89">
        <v>70.3</v>
      </c>
    </row>
    <row r="108" spans="1:5" x14ac:dyDescent="0.25">
      <c r="A108" s="329" t="s">
        <v>657</v>
      </c>
      <c r="B108" s="89">
        <v>71.599999999999994</v>
      </c>
      <c r="C108" s="89">
        <v>70.2</v>
      </c>
      <c r="D108" s="89">
        <v>72.5</v>
      </c>
      <c r="E108" s="89">
        <v>70.599999999999994</v>
      </c>
    </row>
    <row r="109" spans="1:5" x14ac:dyDescent="0.25">
      <c r="A109" s="329" t="s">
        <v>658</v>
      </c>
      <c r="B109" s="89">
        <v>71.900000000000006</v>
      </c>
      <c r="C109" s="89">
        <v>70.599999999999994</v>
      </c>
      <c r="D109" s="89">
        <v>72.8</v>
      </c>
      <c r="E109" s="89">
        <v>71</v>
      </c>
    </row>
    <row r="110" spans="1:5" x14ac:dyDescent="0.25">
      <c r="A110" s="329" t="s">
        <v>659</v>
      </c>
      <c r="B110" s="89">
        <v>72.2</v>
      </c>
      <c r="C110" s="89">
        <v>70.900000000000006</v>
      </c>
      <c r="D110" s="89">
        <v>73.2</v>
      </c>
      <c r="E110" s="89">
        <v>71.3</v>
      </c>
    </row>
    <row r="111" spans="1:5" x14ac:dyDescent="0.25">
      <c r="A111" s="329" t="s">
        <v>660</v>
      </c>
      <c r="B111" s="89">
        <v>72.599999999999994</v>
      </c>
      <c r="C111" s="89">
        <v>71.2</v>
      </c>
      <c r="D111" s="89">
        <v>73.5</v>
      </c>
      <c r="E111" s="89">
        <v>71.599999999999994</v>
      </c>
    </row>
    <row r="112" spans="1:5" x14ac:dyDescent="0.25">
      <c r="A112" s="329" t="s">
        <v>661</v>
      </c>
      <c r="B112" s="89">
        <v>72.900000000000006</v>
      </c>
      <c r="C112" s="89">
        <v>71.599999999999994</v>
      </c>
      <c r="D112" s="89">
        <v>73.8</v>
      </c>
      <c r="E112" s="89">
        <v>72</v>
      </c>
    </row>
    <row r="113" spans="1:5" x14ac:dyDescent="0.25">
      <c r="A113" s="329" t="s">
        <v>662</v>
      </c>
      <c r="B113" s="89">
        <v>73.2</v>
      </c>
      <c r="C113" s="89">
        <v>71.900000000000006</v>
      </c>
      <c r="D113" s="89">
        <v>74.2</v>
      </c>
      <c r="E113" s="89">
        <v>72.3</v>
      </c>
    </row>
    <row r="114" spans="1:5" x14ac:dyDescent="0.25">
      <c r="A114" s="329" t="s">
        <v>663</v>
      </c>
      <c r="B114" s="89">
        <v>73.599999999999994</v>
      </c>
      <c r="C114" s="89">
        <v>72.2</v>
      </c>
      <c r="D114" s="89">
        <v>74.5</v>
      </c>
      <c r="E114" s="89">
        <v>72.599999999999994</v>
      </c>
    </row>
    <row r="115" spans="1:5" x14ac:dyDescent="0.25">
      <c r="A115" s="329" t="s">
        <v>664</v>
      </c>
      <c r="B115" s="89">
        <v>73.900000000000006</v>
      </c>
      <c r="C115" s="89">
        <v>72.5</v>
      </c>
      <c r="D115" s="89">
        <v>74.900000000000006</v>
      </c>
      <c r="E115" s="89">
        <v>73</v>
      </c>
    </row>
    <row r="116" spans="1:5" x14ac:dyDescent="0.25">
      <c r="A116" s="329" t="s">
        <v>665</v>
      </c>
      <c r="B116" s="89">
        <v>74.3</v>
      </c>
      <c r="C116" s="89">
        <v>72.900000000000006</v>
      </c>
      <c r="D116" s="89">
        <v>75.2</v>
      </c>
      <c r="E116" s="89">
        <v>73.3</v>
      </c>
    </row>
    <row r="117" spans="1:5" x14ac:dyDescent="0.25">
      <c r="A117" s="329" t="s">
        <v>666</v>
      </c>
      <c r="B117" s="89">
        <v>74.599999999999994</v>
      </c>
      <c r="C117" s="89">
        <v>73.3</v>
      </c>
      <c r="D117" s="89">
        <v>75.599999999999994</v>
      </c>
      <c r="E117" s="89">
        <v>73.599999999999994</v>
      </c>
    </row>
    <row r="118" spans="1:5" x14ac:dyDescent="0.25">
      <c r="A118" s="329" t="s">
        <v>667</v>
      </c>
      <c r="B118" s="89">
        <v>75</v>
      </c>
      <c r="C118" s="89">
        <v>73.599999999999994</v>
      </c>
      <c r="D118" s="89">
        <v>75.900000000000006</v>
      </c>
      <c r="E118" s="89">
        <v>74</v>
      </c>
    </row>
    <row r="119" spans="1:5" x14ac:dyDescent="0.25">
      <c r="A119" s="329" t="s">
        <v>668</v>
      </c>
      <c r="B119" s="89">
        <v>75.400000000000006</v>
      </c>
      <c r="C119" s="89">
        <v>73.900000000000006</v>
      </c>
      <c r="D119" s="89">
        <v>76.3</v>
      </c>
      <c r="E119" s="89">
        <v>74.3</v>
      </c>
    </row>
    <row r="120" spans="1:5" x14ac:dyDescent="0.25">
      <c r="A120" s="329" t="s">
        <v>669</v>
      </c>
      <c r="B120" s="89">
        <v>75.7</v>
      </c>
      <c r="C120" s="89">
        <v>74.3</v>
      </c>
      <c r="D120" s="89">
        <v>76.599999999999994</v>
      </c>
      <c r="E120" s="89">
        <v>74.599999999999994</v>
      </c>
    </row>
    <row r="121" spans="1:5" x14ac:dyDescent="0.25">
      <c r="A121" s="329" t="s">
        <v>670</v>
      </c>
      <c r="B121" s="89">
        <v>76</v>
      </c>
      <c r="C121" s="89">
        <v>74.599999999999994</v>
      </c>
      <c r="D121" s="89">
        <v>76.900000000000006</v>
      </c>
      <c r="E121" s="89">
        <v>75</v>
      </c>
    </row>
    <row r="122" spans="1:5" x14ac:dyDescent="0.25">
      <c r="A122" s="329" t="s">
        <v>671</v>
      </c>
      <c r="B122" s="89">
        <v>76.400000000000006</v>
      </c>
      <c r="C122" s="89">
        <v>74.900000000000006</v>
      </c>
      <c r="D122" s="89">
        <v>77.3</v>
      </c>
      <c r="E122" s="89">
        <v>75.3</v>
      </c>
    </row>
    <row r="123" spans="1:5" x14ac:dyDescent="0.25">
      <c r="A123" s="329" t="s">
        <v>672</v>
      </c>
      <c r="B123" s="89">
        <v>76.7</v>
      </c>
      <c r="C123" s="89">
        <v>75.3</v>
      </c>
      <c r="D123" s="89">
        <v>77.599999999999994</v>
      </c>
      <c r="E123" s="89">
        <v>75.599999999999994</v>
      </c>
    </row>
    <row r="124" spans="1:5" x14ac:dyDescent="0.25">
      <c r="A124" s="329" t="s">
        <v>673</v>
      </c>
      <c r="B124" s="89">
        <v>77</v>
      </c>
      <c r="C124" s="89">
        <v>75.599999999999994</v>
      </c>
      <c r="D124" s="89">
        <v>77.900000000000006</v>
      </c>
      <c r="E124" s="89">
        <v>76</v>
      </c>
    </row>
    <row r="125" spans="1:5" x14ac:dyDescent="0.25">
      <c r="A125" s="329" t="s">
        <v>674</v>
      </c>
      <c r="B125" s="89">
        <v>77.400000000000006</v>
      </c>
      <c r="C125" s="89">
        <v>75.900000000000006</v>
      </c>
      <c r="D125" s="89">
        <v>78.3</v>
      </c>
      <c r="E125" s="89">
        <v>76.3</v>
      </c>
    </row>
    <row r="126" spans="1:5" x14ac:dyDescent="0.25">
      <c r="A126" s="329" t="s">
        <v>675</v>
      </c>
      <c r="B126" s="89">
        <v>77.8</v>
      </c>
      <c r="C126" s="89">
        <v>76.3</v>
      </c>
      <c r="D126" s="89">
        <v>78.599999999999994</v>
      </c>
      <c r="E126" s="89">
        <v>76.599999999999994</v>
      </c>
    </row>
    <row r="127" spans="1:5" x14ac:dyDescent="0.25">
      <c r="A127" s="329" t="s">
        <v>676</v>
      </c>
      <c r="B127" s="89">
        <v>78</v>
      </c>
      <c r="C127" s="89">
        <v>76.599999999999994</v>
      </c>
      <c r="D127" s="89">
        <v>79</v>
      </c>
      <c r="E127" s="89">
        <v>77</v>
      </c>
    </row>
    <row r="128" spans="1:5" x14ac:dyDescent="0.25">
      <c r="A128" s="329" t="s">
        <v>677</v>
      </c>
      <c r="B128" s="89">
        <v>78.400000000000006</v>
      </c>
      <c r="C128" s="89">
        <v>76.900000000000006</v>
      </c>
      <c r="D128" s="89">
        <v>79.3</v>
      </c>
      <c r="E128" s="89">
        <v>77.3</v>
      </c>
    </row>
    <row r="129" spans="1:5" x14ac:dyDescent="0.25">
      <c r="A129" s="329" t="s">
        <v>678</v>
      </c>
      <c r="B129" s="89">
        <v>78.7</v>
      </c>
      <c r="C129" s="89">
        <v>77.3</v>
      </c>
      <c r="D129" s="89">
        <v>79.599999999999994</v>
      </c>
      <c r="E129" s="89">
        <v>77.599999999999994</v>
      </c>
    </row>
    <row r="130" spans="1:5" x14ac:dyDescent="0.25">
      <c r="A130" s="329" t="s">
        <v>679</v>
      </c>
      <c r="B130" s="89">
        <v>79</v>
      </c>
      <c r="C130" s="89">
        <v>77.599999999999994</v>
      </c>
      <c r="D130" s="89">
        <v>79.900000000000006</v>
      </c>
      <c r="E130" s="89">
        <v>78</v>
      </c>
    </row>
    <row r="131" spans="1:5" x14ac:dyDescent="0.25">
      <c r="A131" s="329" t="s">
        <v>680</v>
      </c>
      <c r="B131" s="89">
        <v>79.3</v>
      </c>
      <c r="C131" s="89">
        <v>77.900000000000006</v>
      </c>
      <c r="D131" s="89">
        <v>80.3</v>
      </c>
      <c r="E131" s="89">
        <v>78.3</v>
      </c>
    </row>
    <row r="132" spans="1:5" x14ac:dyDescent="0.25">
      <c r="A132" s="329" t="s">
        <v>681</v>
      </c>
      <c r="B132" s="89">
        <v>79.7</v>
      </c>
      <c r="C132" s="89">
        <v>78.3</v>
      </c>
      <c r="D132" s="89">
        <v>80.599999999999994</v>
      </c>
      <c r="E132" s="89">
        <v>78.599999999999994</v>
      </c>
    </row>
    <row r="133" spans="1:5" x14ac:dyDescent="0.25">
      <c r="A133" s="329" t="s">
        <v>682</v>
      </c>
      <c r="B133" s="89">
        <v>80</v>
      </c>
      <c r="C133" s="89">
        <v>78.5</v>
      </c>
      <c r="D133" s="89">
        <v>80.900000000000006</v>
      </c>
      <c r="E133" s="89">
        <v>79</v>
      </c>
    </row>
    <row r="134" spans="1:5" x14ac:dyDescent="0.25">
      <c r="A134" s="329" t="s">
        <v>683</v>
      </c>
      <c r="B134" s="89">
        <v>80.400000000000006</v>
      </c>
      <c r="C134" s="89">
        <v>78.900000000000006</v>
      </c>
      <c r="D134" s="89">
        <v>81.3</v>
      </c>
      <c r="E134" s="89">
        <v>79.3</v>
      </c>
    </row>
    <row r="135" spans="1:5" x14ac:dyDescent="0.25">
      <c r="A135" s="329" t="s">
        <v>684</v>
      </c>
      <c r="B135" s="89">
        <v>80.8</v>
      </c>
      <c r="C135" s="89">
        <v>79.2</v>
      </c>
      <c r="D135" s="89">
        <v>81.599999999999994</v>
      </c>
      <c r="E135" s="89">
        <v>79.599999999999994</v>
      </c>
    </row>
    <row r="136" spans="1:5" x14ac:dyDescent="0.25">
      <c r="A136" s="329" t="s">
        <v>685</v>
      </c>
      <c r="B136" s="89">
        <v>81.099999999999994</v>
      </c>
      <c r="C136" s="89">
        <v>79.599999999999994</v>
      </c>
      <c r="D136" s="89">
        <v>82</v>
      </c>
      <c r="E136" s="89">
        <v>80</v>
      </c>
    </row>
    <row r="137" spans="1:5" x14ac:dyDescent="0.25">
      <c r="A137" s="329" t="s">
        <v>686</v>
      </c>
      <c r="B137" s="89">
        <v>81.400000000000006</v>
      </c>
      <c r="C137" s="89">
        <v>79.8</v>
      </c>
      <c r="D137" s="89">
        <v>82.3</v>
      </c>
      <c r="E137" s="89">
        <v>80</v>
      </c>
    </row>
    <row r="138" spans="1:5" x14ac:dyDescent="0.25">
      <c r="A138" s="329" t="s">
        <v>687</v>
      </c>
      <c r="B138" s="89">
        <v>81.8</v>
      </c>
      <c r="C138" s="89">
        <v>80.2</v>
      </c>
      <c r="D138" s="89">
        <v>82.6</v>
      </c>
      <c r="E138" s="89">
        <v>80</v>
      </c>
    </row>
    <row r="139" spans="1:5" x14ac:dyDescent="0.25">
      <c r="A139" s="329" t="s">
        <v>688</v>
      </c>
      <c r="B139" s="89">
        <v>81.900000000000006</v>
      </c>
      <c r="C139" s="89">
        <v>80.400000000000006</v>
      </c>
      <c r="D139" s="89">
        <v>82.7</v>
      </c>
      <c r="E139" s="89">
        <v>80</v>
      </c>
    </row>
    <row r="140" spans="1:5" x14ac:dyDescent="0.25">
      <c r="A140" s="329" t="s">
        <v>689</v>
      </c>
      <c r="B140" s="89">
        <v>81.900000000000006</v>
      </c>
      <c r="C140" s="89">
        <v>80.599999999999994</v>
      </c>
      <c r="D140" s="89">
        <v>82.8</v>
      </c>
      <c r="E140" s="89">
        <v>80</v>
      </c>
    </row>
    <row r="141" spans="1:5" x14ac:dyDescent="0.25">
      <c r="A141" s="329" t="s">
        <v>690</v>
      </c>
      <c r="B141" s="89">
        <v>81.8</v>
      </c>
      <c r="C141" s="89">
        <v>80.7</v>
      </c>
      <c r="D141" s="89">
        <v>82.7</v>
      </c>
      <c r="E141" s="89">
        <v>80</v>
      </c>
    </row>
    <row r="142" spans="1:5" x14ac:dyDescent="0.25">
      <c r="A142" s="329" t="s">
        <v>691</v>
      </c>
      <c r="B142" s="89">
        <v>81.7</v>
      </c>
      <c r="C142" s="89">
        <v>80.7</v>
      </c>
      <c r="D142" s="89">
        <v>82.6</v>
      </c>
      <c r="E142" s="89">
        <v>80</v>
      </c>
    </row>
    <row r="143" spans="1:5" x14ac:dyDescent="0.25">
      <c r="A143" s="329" t="s">
        <v>692</v>
      </c>
      <c r="B143" s="89">
        <v>81.5</v>
      </c>
      <c r="C143" s="89">
        <v>80.599999999999994</v>
      </c>
      <c r="D143" s="89">
        <v>82.5</v>
      </c>
      <c r="E143" s="89">
        <v>80</v>
      </c>
    </row>
    <row r="144" spans="1:5" x14ac:dyDescent="0.25">
      <c r="A144" s="329" t="s">
        <v>693</v>
      </c>
      <c r="B144" s="89">
        <v>81.3</v>
      </c>
      <c r="C144" s="89">
        <v>80.599999999999994</v>
      </c>
      <c r="D144" s="89">
        <v>82.3</v>
      </c>
      <c r="E144" s="89">
        <v>80</v>
      </c>
    </row>
    <row r="145" spans="1:5" x14ac:dyDescent="0.25">
      <c r="A145" s="329" t="s">
        <v>694</v>
      </c>
      <c r="B145" s="89">
        <v>81.099999999999994</v>
      </c>
      <c r="C145" s="89">
        <v>80.5</v>
      </c>
      <c r="D145" s="89">
        <v>82.2</v>
      </c>
      <c r="E145" s="89">
        <v>80</v>
      </c>
    </row>
    <row r="146" spans="1:5" x14ac:dyDescent="0.25">
      <c r="A146" s="329" t="s">
        <v>695</v>
      </c>
      <c r="B146" s="89">
        <v>80.900000000000006</v>
      </c>
      <c r="C146" s="89">
        <v>80.5</v>
      </c>
      <c r="D146" s="89">
        <v>82.1</v>
      </c>
      <c r="E146" s="89">
        <v>80</v>
      </c>
    </row>
    <row r="147" spans="1:5" x14ac:dyDescent="0.25">
      <c r="A147" s="329" t="s">
        <v>696</v>
      </c>
      <c r="B147" s="89">
        <v>80.7</v>
      </c>
      <c r="C147" s="89">
        <v>80.400000000000006</v>
      </c>
      <c r="D147" s="89">
        <v>81.900000000000006</v>
      </c>
      <c r="E147" s="89">
        <v>80</v>
      </c>
    </row>
    <row r="148" spans="1:5" x14ac:dyDescent="0.25">
      <c r="A148" s="329" t="s">
        <v>697</v>
      </c>
      <c r="B148" s="89">
        <v>80.5</v>
      </c>
      <c r="C148" s="89">
        <v>80.3</v>
      </c>
      <c r="D148" s="89">
        <v>81.900000000000006</v>
      </c>
      <c r="E148" s="89">
        <v>80</v>
      </c>
    </row>
    <row r="149" spans="1:5" x14ac:dyDescent="0.25">
      <c r="A149" s="329" t="s">
        <v>698</v>
      </c>
      <c r="B149" s="89">
        <v>80.5</v>
      </c>
      <c r="C149" s="89">
        <v>80.3</v>
      </c>
      <c r="D149" s="89">
        <v>81.8</v>
      </c>
      <c r="E149" s="89">
        <v>80</v>
      </c>
    </row>
    <row r="150" spans="1:5" x14ac:dyDescent="0.25">
      <c r="A150" s="329" t="s">
        <v>699</v>
      </c>
      <c r="B150" s="89">
        <v>80.400000000000006</v>
      </c>
      <c r="C150" s="89">
        <v>80.2</v>
      </c>
      <c r="D150" s="89">
        <v>81.7</v>
      </c>
      <c r="E150" s="89">
        <v>80</v>
      </c>
    </row>
    <row r="151" spans="1:5" x14ac:dyDescent="0.25">
      <c r="A151" s="329" t="s">
        <v>700</v>
      </c>
      <c r="B151" s="89">
        <v>80.400000000000006</v>
      </c>
      <c r="C151" s="89">
        <v>80.2</v>
      </c>
      <c r="D151" s="89">
        <v>81.7</v>
      </c>
      <c r="E151" s="89">
        <v>80</v>
      </c>
    </row>
    <row r="152" spans="1:5" x14ac:dyDescent="0.25">
      <c r="A152" s="329" t="s">
        <v>701</v>
      </c>
      <c r="B152" s="89">
        <v>80.2</v>
      </c>
      <c r="C152" s="89">
        <v>80.099999999999994</v>
      </c>
      <c r="D152" s="89">
        <v>81.599999999999994</v>
      </c>
      <c r="E152" s="89">
        <v>80</v>
      </c>
    </row>
    <row r="153" spans="1:5" x14ac:dyDescent="0.25">
      <c r="A153" s="329" t="s">
        <v>702</v>
      </c>
      <c r="B153" s="89">
        <v>80.2</v>
      </c>
      <c r="C153" s="89">
        <v>80.099999999999994</v>
      </c>
      <c r="D153" s="89">
        <v>81.599999999999994</v>
      </c>
      <c r="E153" s="89">
        <v>80</v>
      </c>
    </row>
    <row r="154" spans="1:5" x14ac:dyDescent="0.25">
      <c r="A154" s="329" t="s">
        <v>703</v>
      </c>
      <c r="B154" s="89">
        <v>80.2</v>
      </c>
      <c r="C154" s="89">
        <v>80.099999999999994</v>
      </c>
      <c r="D154" s="89">
        <v>81.599999999999994</v>
      </c>
      <c r="E154" s="89">
        <v>80</v>
      </c>
    </row>
    <row r="155" spans="1:5" x14ac:dyDescent="0.25">
      <c r="A155" s="329" t="s">
        <v>704</v>
      </c>
      <c r="B155" s="89">
        <v>80.099999999999994</v>
      </c>
      <c r="C155" s="89">
        <v>80.099999999999994</v>
      </c>
      <c r="D155" s="89">
        <v>81.599999999999994</v>
      </c>
      <c r="E155" s="89">
        <v>80</v>
      </c>
    </row>
    <row r="156" spans="1:5" x14ac:dyDescent="0.25">
      <c r="A156" s="329" t="s">
        <v>705</v>
      </c>
      <c r="B156" s="89">
        <v>80.099999999999994</v>
      </c>
      <c r="C156" s="89">
        <v>80.099999999999994</v>
      </c>
      <c r="D156" s="89">
        <v>81.5</v>
      </c>
      <c r="E156" s="89">
        <v>80</v>
      </c>
    </row>
    <row r="157" spans="1:5" x14ac:dyDescent="0.25">
      <c r="A157" s="329" t="s">
        <v>706</v>
      </c>
      <c r="B157" s="89">
        <v>80.099999999999994</v>
      </c>
      <c r="C157" s="89">
        <v>80.099999999999994</v>
      </c>
      <c r="D157" s="89">
        <v>81.5</v>
      </c>
      <c r="E157" s="89">
        <v>80</v>
      </c>
    </row>
    <row r="158" spans="1:5" x14ac:dyDescent="0.25">
      <c r="A158" s="329" t="s">
        <v>707</v>
      </c>
      <c r="B158" s="89">
        <v>80.099999999999994</v>
      </c>
      <c r="C158" s="89">
        <v>80.099999999999994</v>
      </c>
      <c r="D158" s="89">
        <v>81.5</v>
      </c>
      <c r="E158" s="89">
        <v>80</v>
      </c>
    </row>
    <row r="159" spans="1:5" x14ac:dyDescent="0.25">
      <c r="A159" s="329" t="s">
        <v>708</v>
      </c>
      <c r="B159" s="89">
        <v>80.099999999999994</v>
      </c>
      <c r="C159" s="89">
        <v>80</v>
      </c>
      <c r="D159" s="89">
        <v>81.5</v>
      </c>
      <c r="E159" s="89">
        <v>80</v>
      </c>
    </row>
    <row r="160" spans="1:5" x14ac:dyDescent="0.25">
      <c r="A160" s="329" t="s">
        <v>709</v>
      </c>
      <c r="B160" s="89">
        <v>80.099999999999994</v>
      </c>
      <c r="C160" s="89">
        <v>80.099999999999994</v>
      </c>
      <c r="D160" s="89">
        <v>81.5</v>
      </c>
      <c r="E160" s="89">
        <v>80</v>
      </c>
    </row>
    <row r="161" spans="1:5" x14ac:dyDescent="0.25">
      <c r="A161" s="329" t="s">
        <v>710</v>
      </c>
      <c r="B161" s="89">
        <v>80</v>
      </c>
      <c r="C161" s="89">
        <v>80</v>
      </c>
      <c r="D161" s="89">
        <v>81.5</v>
      </c>
      <c r="E161" s="89">
        <v>80</v>
      </c>
    </row>
    <row r="162" spans="1:5" x14ac:dyDescent="0.25">
      <c r="A162" s="329" t="s">
        <v>711</v>
      </c>
      <c r="B162" s="89">
        <v>80</v>
      </c>
      <c r="C162" s="89">
        <v>80</v>
      </c>
      <c r="D162" s="89">
        <v>81.5</v>
      </c>
      <c r="E162" s="89">
        <v>80</v>
      </c>
    </row>
    <row r="163" spans="1:5" x14ac:dyDescent="0.25">
      <c r="A163" s="329" t="s">
        <v>712</v>
      </c>
      <c r="B163" s="89">
        <v>80.099999999999994</v>
      </c>
      <c r="C163" s="89">
        <v>80</v>
      </c>
      <c r="D163" s="89">
        <v>81.5</v>
      </c>
      <c r="E163" s="89">
        <v>80</v>
      </c>
    </row>
    <row r="164" spans="1:5" x14ac:dyDescent="0.25">
      <c r="A164" s="329" t="s">
        <v>713</v>
      </c>
      <c r="B164" s="89">
        <v>80.099999999999994</v>
      </c>
      <c r="C164" s="89">
        <v>80</v>
      </c>
      <c r="D164" s="89">
        <v>81.5</v>
      </c>
      <c r="E164" s="89">
        <v>80</v>
      </c>
    </row>
    <row r="165" spans="1:5" x14ac:dyDescent="0.25">
      <c r="A165" s="329" t="s">
        <v>714</v>
      </c>
      <c r="B165" s="89">
        <v>80.099999999999994</v>
      </c>
      <c r="C165" s="89">
        <v>80.099999999999994</v>
      </c>
      <c r="D165" s="89">
        <v>81.5</v>
      </c>
      <c r="E165" s="89">
        <v>80</v>
      </c>
    </row>
    <row r="166" spans="1:5" x14ac:dyDescent="0.25">
      <c r="A166" s="329" t="s">
        <v>715</v>
      </c>
      <c r="B166" s="89">
        <v>80.099999999999994</v>
      </c>
      <c r="C166" s="89">
        <v>80</v>
      </c>
      <c r="D166" s="89">
        <v>81.5</v>
      </c>
      <c r="E166" s="89">
        <v>80</v>
      </c>
    </row>
    <row r="167" spans="1:5" x14ac:dyDescent="0.25">
      <c r="A167" s="329" t="s">
        <v>716</v>
      </c>
      <c r="B167" s="89">
        <v>80</v>
      </c>
      <c r="C167" s="89">
        <v>80</v>
      </c>
      <c r="D167" s="89">
        <v>81.5</v>
      </c>
      <c r="E167" s="89">
        <v>80</v>
      </c>
    </row>
    <row r="168" spans="1:5" x14ac:dyDescent="0.25">
      <c r="A168" s="329" t="s">
        <v>717</v>
      </c>
      <c r="B168" s="89">
        <v>80</v>
      </c>
      <c r="C168" s="89">
        <v>80</v>
      </c>
      <c r="D168" s="89">
        <v>81.5</v>
      </c>
      <c r="E168" s="89">
        <v>80</v>
      </c>
    </row>
    <row r="169" spans="1:5" x14ac:dyDescent="0.25">
      <c r="A169" s="329" t="s">
        <v>718</v>
      </c>
      <c r="B169" s="89">
        <v>80.099999999999994</v>
      </c>
      <c r="C169" s="89">
        <v>80</v>
      </c>
      <c r="D169" s="89">
        <v>81.5</v>
      </c>
      <c r="E169" s="89">
        <v>80</v>
      </c>
    </row>
    <row r="170" spans="1:5" x14ac:dyDescent="0.25">
      <c r="A170" s="329" t="s">
        <v>719</v>
      </c>
      <c r="B170" s="89">
        <v>80</v>
      </c>
      <c r="C170" s="89">
        <v>80</v>
      </c>
      <c r="D170" s="89">
        <v>81.5</v>
      </c>
      <c r="E170" s="89">
        <v>80</v>
      </c>
    </row>
    <row r="171" spans="1:5" x14ac:dyDescent="0.25">
      <c r="A171" s="329" t="s">
        <v>720</v>
      </c>
      <c r="B171" s="89">
        <v>80</v>
      </c>
      <c r="C171" s="89">
        <v>80</v>
      </c>
      <c r="D171" s="89">
        <v>81.5</v>
      </c>
      <c r="E171" s="89">
        <v>80</v>
      </c>
    </row>
    <row r="172" spans="1:5" x14ac:dyDescent="0.25">
      <c r="A172" s="329" t="s">
        <v>721</v>
      </c>
      <c r="B172" s="89">
        <v>80</v>
      </c>
      <c r="C172" s="89">
        <v>80</v>
      </c>
      <c r="D172" s="89">
        <v>81.5</v>
      </c>
      <c r="E172" s="89">
        <v>80</v>
      </c>
    </row>
    <row r="173" spans="1:5" x14ac:dyDescent="0.25">
      <c r="A173" s="329" t="s">
        <v>722</v>
      </c>
      <c r="B173" s="89">
        <v>80</v>
      </c>
      <c r="C173" s="89">
        <v>80</v>
      </c>
      <c r="D173" s="89">
        <v>81.5</v>
      </c>
      <c r="E173" s="89">
        <v>80</v>
      </c>
    </row>
    <row r="174" spans="1:5" x14ac:dyDescent="0.25">
      <c r="A174" s="329" t="s">
        <v>723</v>
      </c>
      <c r="B174" s="89">
        <v>80</v>
      </c>
      <c r="C174" s="89">
        <v>80</v>
      </c>
      <c r="D174" s="89">
        <v>81.5</v>
      </c>
      <c r="E174" s="89">
        <v>80</v>
      </c>
    </row>
    <row r="175" spans="1:5" x14ac:dyDescent="0.25">
      <c r="A175" s="329" t="s">
        <v>724</v>
      </c>
      <c r="B175" s="89">
        <v>79.900000000000006</v>
      </c>
      <c r="C175" s="89">
        <v>80</v>
      </c>
      <c r="D175" s="89">
        <v>81.5</v>
      </c>
      <c r="E175" s="89">
        <v>80</v>
      </c>
    </row>
    <row r="176" spans="1:5" x14ac:dyDescent="0.25">
      <c r="A176" s="329" t="s">
        <v>725</v>
      </c>
      <c r="B176" s="89">
        <v>80</v>
      </c>
      <c r="C176" s="89">
        <v>80</v>
      </c>
      <c r="D176" s="89">
        <v>81.400000000000006</v>
      </c>
      <c r="E176" s="89">
        <v>80</v>
      </c>
    </row>
    <row r="177" spans="1:5" x14ac:dyDescent="0.25">
      <c r="A177" s="329" t="s">
        <v>726</v>
      </c>
      <c r="B177" s="89">
        <v>80</v>
      </c>
      <c r="C177" s="89">
        <v>80</v>
      </c>
      <c r="D177" s="89">
        <v>81.5</v>
      </c>
      <c r="E177" s="89">
        <v>80</v>
      </c>
    </row>
    <row r="178" spans="1:5" x14ac:dyDescent="0.25">
      <c r="A178" s="329" t="s">
        <v>727</v>
      </c>
      <c r="B178" s="89">
        <v>80</v>
      </c>
      <c r="C178" s="89">
        <v>80</v>
      </c>
      <c r="D178" s="89">
        <v>81.5</v>
      </c>
      <c r="E178" s="89">
        <v>80</v>
      </c>
    </row>
    <row r="179" spans="1:5" x14ac:dyDescent="0.25">
      <c r="A179" s="329" t="s">
        <v>728</v>
      </c>
      <c r="B179" s="89">
        <v>80</v>
      </c>
      <c r="C179" s="89">
        <v>80</v>
      </c>
      <c r="D179" s="89">
        <v>81.5</v>
      </c>
      <c r="E179" s="89">
        <v>80</v>
      </c>
    </row>
    <row r="180" spans="1:5" x14ac:dyDescent="0.25">
      <c r="A180" s="329" t="s">
        <v>729</v>
      </c>
      <c r="B180" s="89">
        <v>80</v>
      </c>
      <c r="C180" s="89">
        <v>80</v>
      </c>
      <c r="D180" s="89">
        <v>81.5</v>
      </c>
      <c r="E180" s="89">
        <v>80</v>
      </c>
    </row>
    <row r="181" spans="1:5" x14ac:dyDescent="0.25">
      <c r="A181" s="329" t="s">
        <v>730</v>
      </c>
      <c r="B181" s="89">
        <v>80</v>
      </c>
      <c r="C181" s="89">
        <v>80</v>
      </c>
      <c r="D181" s="89">
        <v>81.5</v>
      </c>
      <c r="E181" s="89">
        <v>80</v>
      </c>
    </row>
  </sheetData>
  <sheetProtection algorithmName="SHA-512" hashValue="dINPKQEsfnYSObCNv4eMZHrTrrQPF7hgdJbMkFqtBdXnIJmE/ImdI0WRMt0NgP+mMETh3rIu0QCaC3ZqU9gmyQ==" saltValue="TJ41iQlOfGtCEAOEIEH4Ng==" spinCount="100000" sheet="1" objects="1" scenarios="1"/>
  <mergeCells count="1">
    <mergeCell ref="H9:K15"/>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465F5-13F1-431C-90A2-23EE0F887867}">
  <sheetPr codeName="Feuil43">
    <tabColor rgb="FF002060"/>
  </sheetPr>
  <dimension ref="A1:K98"/>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17" t="s">
        <v>731</v>
      </c>
      <c r="B2">
        <v>165.1</v>
      </c>
      <c r="C2">
        <v>152</v>
      </c>
      <c r="D2">
        <v>160.9</v>
      </c>
      <c r="E2">
        <v>190</v>
      </c>
    </row>
    <row r="3" spans="1:11" x14ac:dyDescent="0.25">
      <c r="A3" s="329" t="s">
        <v>732</v>
      </c>
      <c r="B3" s="89">
        <v>169.2</v>
      </c>
      <c r="C3" s="89">
        <v>156.5</v>
      </c>
      <c r="D3" s="89">
        <v>165</v>
      </c>
      <c r="E3" s="89">
        <v>190</v>
      </c>
    </row>
    <row r="4" spans="1:11" x14ac:dyDescent="0.25">
      <c r="A4" s="329" t="s">
        <v>733</v>
      </c>
      <c r="B4" s="89">
        <v>173.3</v>
      </c>
      <c r="C4" s="89">
        <v>161.19999999999999</v>
      </c>
      <c r="D4" s="89">
        <v>169.2</v>
      </c>
      <c r="E4" s="89">
        <v>190</v>
      </c>
    </row>
    <row r="5" spans="1:11" x14ac:dyDescent="0.25">
      <c r="A5" s="329" t="s">
        <v>734</v>
      </c>
      <c r="B5" s="89">
        <v>177.5</v>
      </c>
      <c r="C5" s="89">
        <v>165.4</v>
      </c>
      <c r="D5" s="89">
        <v>173.3</v>
      </c>
      <c r="E5" s="89">
        <v>190</v>
      </c>
    </row>
    <row r="6" spans="1:11" x14ac:dyDescent="0.25">
      <c r="A6" s="329" t="s">
        <v>735</v>
      </c>
      <c r="B6" s="89">
        <v>181.7</v>
      </c>
      <c r="C6" s="89">
        <v>169.7</v>
      </c>
      <c r="D6" s="89">
        <v>177.5</v>
      </c>
      <c r="E6" s="89">
        <v>190</v>
      </c>
    </row>
    <row r="7" spans="1:11" x14ac:dyDescent="0.25">
      <c r="A7" s="329" t="s">
        <v>736</v>
      </c>
      <c r="B7" s="89">
        <v>185.9</v>
      </c>
      <c r="C7" s="89">
        <v>174.1</v>
      </c>
      <c r="D7" s="89">
        <v>181.7</v>
      </c>
      <c r="E7" s="89">
        <v>190</v>
      </c>
    </row>
    <row r="8" spans="1:11" ht="15.75" thickBot="1" x14ac:dyDescent="0.3">
      <c r="A8" s="329" t="s">
        <v>737</v>
      </c>
      <c r="B8" s="89">
        <v>190</v>
      </c>
      <c r="C8" s="89">
        <v>178.3</v>
      </c>
      <c r="D8" s="89">
        <v>185.9</v>
      </c>
      <c r="E8" s="89">
        <v>190</v>
      </c>
    </row>
    <row r="9" spans="1:11" x14ac:dyDescent="0.25">
      <c r="A9" s="329" t="s">
        <v>738</v>
      </c>
      <c r="B9" s="89">
        <v>194.1</v>
      </c>
      <c r="C9" s="89">
        <v>182.6</v>
      </c>
      <c r="D9" s="89">
        <v>190</v>
      </c>
      <c r="E9" s="89">
        <v>190</v>
      </c>
      <c r="H9" s="363" t="s">
        <v>540</v>
      </c>
      <c r="I9" s="364"/>
      <c r="J9" s="364"/>
      <c r="K9" s="365"/>
    </row>
    <row r="10" spans="1:11" x14ac:dyDescent="0.25">
      <c r="A10" s="329" t="s">
        <v>739</v>
      </c>
      <c r="B10" s="89">
        <v>196.8</v>
      </c>
      <c r="C10" s="89">
        <v>185.9</v>
      </c>
      <c r="D10" s="89">
        <v>192.7</v>
      </c>
      <c r="E10" s="89">
        <v>190</v>
      </c>
      <c r="H10" s="366"/>
      <c r="I10" s="367"/>
      <c r="J10" s="367"/>
      <c r="K10" s="368"/>
    </row>
    <row r="11" spans="1:11" x14ac:dyDescent="0.25">
      <c r="A11" s="329" t="s">
        <v>740</v>
      </c>
      <c r="B11" s="89">
        <v>197.6</v>
      </c>
      <c r="C11" s="89">
        <v>187.9</v>
      </c>
      <c r="D11" s="89">
        <v>193.9</v>
      </c>
      <c r="E11" s="89">
        <v>190</v>
      </c>
      <c r="H11" s="366"/>
      <c r="I11" s="367"/>
      <c r="J11" s="367"/>
      <c r="K11" s="368"/>
    </row>
    <row r="12" spans="1:11" x14ac:dyDescent="0.25">
      <c r="A12" s="329" t="s">
        <v>741</v>
      </c>
      <c r="B12" s="89">
        <v>197.5</v>
      </c>
      <c r="C12" s="89">
        <v>189.2</v>
      </c>
      <c r="D12" s="89">
        <v>194.3</v>
      </c>
      <c r="E12" s="89">
        <v>190</v>
      </c>
      <c r="H12" s="366"/>
      <c r="I12" s="367"/>
      <c r="J12" s="367"/>
      <c r="K12" s="368"/>
    </row>
    <row r="13" spans="1:11" x14ac:dyDescent="0.25">
      <c r="A13" s="329" t="s">
        <v>742</v>
      </c>
      <c r="B13" s="89">
        <v>196.8</v>
      </c>
      <c r="C13" s="89">
        <v>190</v>
      </c>
      <c r="D13" s="89">
        <v>194.3</v>
      </c>
      <c r="E13" s="89">
        <v>190</v>
      </c>
      <c r="H13" s="366"/>
      <c r="I13" s="367"/>
      <c r="J13" s="367"/>
      <c r="K13" s="368"/>
    </row>
    <row r="14" spans="1:11" x14ac:dyDescent="0.25">
      <c r="A14" s="329" t="s">
        <v>743</v>
      </c>
      <c r="B14" s="89">
        <v>195.9</v>
      </c>
      <c r="C14" s="89">
        <v>190.4</v>
      </c>
      <c r="D14" s="89">
        <v>194.1</v>
      </c>
      <c r="E14" s="89">
        <v>190</v>
      </c>
      <c r="H14" s="366"/>
      <c r="I14" s="367"/>
      <c r="J14" s="367"/>
      <c r="K14" s="368"/>
    </row>
    <row r="15" spans="1:11" ht="15.75" thickBot="1" x14ac:dyDescent="0.3">
      <c r="A15" s="329" t="s">
        <v>744</v>
      </c>
      <c r="B15" s="89">
        <v>195.1</v>
      </c>
      <c r="C15" s="89">
        <v>190.6</v>
      </c>
      <c r="D15" s="89">
        <v>193.8</v>
      </c>
      <c r="E15" s="89">
        <v>190</v>
      </c>
      <c r="H15" s="369"/>
      <c r="I15" s="370"/>
      <c r="J15" s="370"/>
      <c r="K15" s="371"/>
    </row>
    <row r="16" spans="1:11" x14ac:dyDescent="0.25">
      <c r="A16" s="329" t="s">
        <v>745</v>
      </c>
      <c r="B16" s="89">
        <v>194.5</v>
      </c>
      <c r="C16" s="89">
        <v>190.7</v>
      </c>
      <c r="D16" s="89">
        <v>193.5</v>
      </c>
      <c r="E16" s="89">
        <v>190</v>
      </c>
    </row>
    <row r="17" spans="1:5" x14ac:dyDescent="0.25">
      <c r="A17" s="329" t="s">
        <v>746</v>
      </c>
      <c r="B17" s="89">
        <v>194.1</v>
      </c>
      <c r="C17" s="89">
        <v>190.7</v>
      </c>
      <c r="D17" s="89">
        <v>193.4</v>
      </c>
      <c r="E17" s="89">
        <v>190</v>
      </c>
    </row>
    <row r="18" spans="1:5" x14ac:dyDescent="0.25">
      <c r="A18" s="329" t="s">
        <v>747</v>
      </c>
      <c r="B18" s="89">
        <v>193.5</v>
      </c>
      <c r="C18" s="89">
        <v>190.7</v>
      </c>
      <c r="D18" s="89">
        <v>193.1</v>
      </c>
      <c r="E18" s="89">
        <v>190</v>
      </c>
    </row>
    <row r="19" spans="1:5" x14ac:dyDescent="0.25">
      <c r="A19" s="329" t="s">
        <v>748</v>
      </c>
      <c r="B19" s="89">
        <v>193</v>
      </c>
      <c r="C19" s="89">
        <v>190.7</v>
      </c>
      <c r="D19" s="89">
        <v>192.9</v>
      </c>
      <c r="E19" s="89">
        <v>190</v>
      </c>
    </row>
    <row r="20" spans="1:5" x14ac:dyDescent="0.25">
      <c r="A20" s="329" t="s">
        <v>749</v>
      </c>
      <c r="B20" s="89">
        <v>192.6</v>
      </c>
      <c r="C20" s="89">
        <v>190.6</v>
      </c>
      <c r="D20" s="89">
        <v>192.8</v>
      </c>
      <c r="E20" s="89">
        <v>190</v>
      </c>
    </row>
    <row r="21" spans="1:5" x14ac:dyDescent="0.25">
      <c r="A21" s="329" t="s">
        <v>750</v>
      </c>
      <c r="B21" s="89">
        <v>192.4</v>
      </c>
      <c r="C21" s="89">
        <v>190.5</v>
      </c>
      <c r="D21" s="89">
        <v>192.7</v>
      </c>
      <c r="E21" s="89">
        <v>190</v>
      </c>
    </row>
    <row r="22" spans="1:5" x14ac:dyDescent="0.25">
      <c r="A22" s="329" t="s">
        <v>751</v>
      </c>
      <c r="B22" s="89">
        <v>192.2</v>
      </c>
      <c r="C22" s="89">
        <v>190.4</v>
      </c>
      <c r="D22" s="89">
        <v>192.6</v>
      </c>
      <c r="E22" s="89">
        <v>190</v>
      </c>
    </row>
    <row r="23" spans="1:5" x14ac:dyDescent="0.25">
      <c r="A23" s="329" t="s">
        <v>752</v>
      </c>
      <c r="B23" s="89">
        <v>192</v>
      </c>
      <c r="C23" s="89">
        <v>190.4</v>
      </c>
      <c r="D23" s="89">
        <v>192.6</v>
      </c>
      <c r="E23" s="89">
        <v>190</v>
      </c>
    </row>
    <row r="24" spans="1:5" x14ac:dyDescent="0.25">
      <c r="A24" s="329" t="s">
        <v>753</v>
      </c>
      <c r="B24" s="89">
        <v>191.9</v>
      </c>
      <c r="C24" s="89">
        <v>190.4</v>
      </c>
      <c r="D24" s="89">
        <v>192.5</v>
      </c>
      <c r="E24" s="89">
        <v>190</v>
      </c>
    </row>
    <row r="25" spans="1:5" x14ac:dyDescent="0.25">
      <c r="A25" s="329" t="s">
        <v>754</v>
      </c>
      <c r="B25" s="89">
        <v>191.6</v>
      </c>
      <c r="C25" s="89">
        <v>190.4</v>
      </c>
      <c r="D25" s="89">
        <v>192.4</v>
      </c>
      <c r="E25" s="89">
        <v>190</v>
      </c>
    </row>
    <row r="26" spans="1:5" x14ac:dyDescent="0.25">
      <c r="A26" s="329" t="s">
        <v>755</v>
      </c>
      <c r="B26" s="89">
        <v>191.5</v>
      </c>
      <c r="C26" s="89">
        <v>190.3</v>
      </c>
      <c r="D26" s="89">
        <v>192.3</v>
      </c>
      <c r="E26" s="89">
        <v>190</v>
      </c>
    </row>
    <row r="27" spans="1:5" x14ac:dyDescent="0.25">
      <c r="A27" s="329" t="s">
        <v>756</v>
      </c>
      <c r="B27" s="89">
        <v>191.4</v>
      </c>
      <c r="C27" s="89">
        <v>190.2</v>
      </c>
      <c r="D27" s="89">
        <v>192.3</v>
      </c>
      <c r="E27" s="89">
        <v>190</v>
      </c>
    </row>
    <row r="28" spans="1:5" x14ac:dyDescent="0.25">
      <c r="A28" s="329" t="s">
        <v>757</v>
      </c>
      <c r="B28" s="89">
        <v>191.3</v>
      </c>
      <c r="C28" s="89">
        <v>190.2</v>
      </c>
      <c r="D28" s="89">
        <v>192.2</v>
      </c>
      <c r="E28" s="89">
        <v>190</v>
      </c>
    </row>
    <row r="29" spans="1:5" x14ac:dyDescent="0.25">
      <c r="A29" s="329" t="s">
        <v>758</v>
      </c>
      <c r="B29" s="89">
        <v>191.2</v>
      </c>
      <c r="C29" s="89">
        <v>190.2</v>
      </c>
      <c r="D29" s="89">
        <v>192.2</v>
      </c>
      <c r="E29" s="89">
        <v>190</v>
      </c>
    </row>
    <row r="30" spans="1:5" x14ac:dyDescent="0.25">
      <c r="A30" s="329" t="s">
        <v>759</v>
      </c>
      <c r="B30" s="89">
        <v>191.2</v>
      </c>
      <c r="C30" s="89">
        <v>190.2</v>
      </c>
      <c r="D30" s="89">
        <v>192.2</v>
      </c>
      <c r="E30" s="89">
        <v>190</v>
      </c>
    </row>
    <row r="31" spans="1:5" x14ac:dyDescent="0.25">
      <c r="A31" s="329" t="s">
        <v>760</v>
      </c>
      <c r="B31" s="89">
        <v>191.1</v>
      </c>
      <c r="C31" s="89">
        <v>190.1</v>
      </c>
      <c r="D31" s="89">
        <v>192.2</v>
      </c>
      <c r="E31" s="89">
        <v>190</v>
      </c>
    </row>
    <row r="32" spans="1:5" x14ac:dyDescent="0.25">
      <c r="A32" s="329" t="s">
        <v>761</v>
      </c>
      <c r="B32" s="89">
        <v>191.1</v>
      </c>
      <c r="C32" s="89">
        <v>190.2</v>
      </c>
      <c r="D32" s="89">
        <v>192.2</v>
      </c>
      <c r="E32" s="89">
        <v>190</v>
      </c>
    </row>
    <row r="33" spans="1:5" x14ac:dyDescent="0.25">
      <c r="A33" s="329" t="s">
        <v>762</v>
      </c>
      <c r="B33" s="89">
        <v>191</v>
      </c>
      <c r="C33" s="89">
        <v>190.1</v>
      </c>
      <c r="D33" s="89">
        <v>192.1</v>
      </c>
      <c r="E33" s="89">
        <v>190</v>
      </c>
    </row>
    <row r="34" spans="1:5" x14ac:dyDescent="0.25">
      <c r="A34" s="329" t="s">
        <v>763</v>
      </c>
      <c r="B34" s="89">
        <v>191</v>
      </c>
      <c r="C34" s="89">
        <v>190.2</v>
      </c>
      <c r="D34" s="89">
        <v>192.1</v>
      </c>
      <c r="E34" s="89">
        <v>190</v>
      </c>
    </row>
    <row r="35" spans="1:5" x14ac:dyDescent="0.25">
      <c r="A35" s="329" t="s">
        <v>764</v>
      </c>
      <c r="B35" s="89">
        <v>190.9</v>
      </c>
      <c r="C35" s="89">
        <v>190</v>
      </c>
      <c r="D35" s="89">
        <v>192.1</v>
      </c>
      <c r="E35" s="89">
        <v>190</v>
      </c>
    </row>
    <row r="36" spans="1:5" x14ac:dyDescent="0.25">
      <c r="A36" s="329" t="s">
        <v>765</v>
      </c>
      <c r="B36" s="89">
        <v>191</v>
      </c>
      <c r="C36" s="89">
        <v>190.1</v>
      </c>
      <c r="D36" s="89">
        <v>192.2</v>
      </c>
      <c r="E36" s="89">
        <v>190</v>
      </c>
    </row>
    <row r="37" spans="1:5" x14ac:dyDescent="0.25">
      <c r="A37" s="329" t="s">
        <v>766</v>
      </c>
      <c r="B37" s="89">
        <v>191</v>
      </c>
      <c r="C37" s="89">
        <v>190.1</v>
      </c>
      <c r="D37" s="89">
        <v>192.2</v>
      </c>
      <c r="E37" s="89">
        <v>190</v>
      </c>
    </row>
    <row r="38" spans="1:5" x14ac:dyDescent="0.25">
      <c r="A38" s="329" t="s">
        <v>767</v>
      </c>
      <c r="B38" s="89">
        <v>190.9</v>
      </c>
      <c r="C38" s="89">
        <v>190.1</v>
      </c>
      <c r="D38" s="89">
        <v>192.1</v>
      </c>
      <c r="E38" s="89">
        <v>190</v>
      </c>
    </row>
    <row r="39" spans="1:5" x14ac:dyDescent="0.25">
      <c r="A39" s="329" t="s">
        <v>768</v>
      </c>
      <c r="B39" s="89">
        <v>190.9</v>
      </c>
      <c r="C39" s="89">
        <v>190.1</v>
      </c>
      <c r="D39" s="89">
        <v>192.1</v>
      </c>
      <c r="E39" s="89">
        <v>190</v>
      </c>
    </row>
    <row r="40" spans="1:5" x14ac:dyDescent="0.25">
      <c r="A40" s="329" t="s">
        <v>769</v>
      </c>
      <c r="B40" s="89">
        <v>190.9</v>
      </c>
      <c r="C40" s="89">
        <v>190.1</v>
      </c>
      <c r="D40" s="89">
        <v>192.1</v>
      </c>
      <c r="E40" s="89">
        <v>190.3</v>
      </c>
    </row>
    <row r="41" spans="1:5" x14ac:dyDescent="0.25">
      <c r="A41" s="329" t="s">
        <v>770</v>
      </c>
      <c r="B41" s="89">
        <v>191.2</v>
      </c>
      <c r="C41" s="89">
        <v>190.3</v>
      </c>
      <c r="D41" s="89">
        <v>192.4</v>
      </c>
      <c r="E41" s="89">
        <v>191.3</v>
      </c>
    </row>
    <row r="42" spans="1:5" x14ac:dyDescent="0.25">
      <c r="A42" s="329" t="s">
        <v>771</v>
      </c>
      <c r="B42" s="89">
        <v>192.1</v>
      </c>
      <c r="C42" s="89">
        <v>190.9</v>
      </c>
      <c r="D42" s="89">
        <v>193.2</v>
      </c>
      <c r="E42" s="89">
        <v>192.3</v>
      </c>
    </row>
    <row r="43" spans="1:5" x14ac:dyDescent="0.25">
      <c r="A43" s="329" t="s">
        <v>772</v>
      </c>
      <c r="B43" s="89">
        <v>193.6</v>
      </c>
      <c r="C43" s="89">
        <v>191.8</v>
      </c>
      <c r="D43" s="89">
        <v>194.5</v>
      </c>
      <c r="E43" s="89">
        <v>193.3</v>
      </c>
    </row>
    <row r="44" spans="1:5" x14ac:dyDescent="0.25">
      <c r="A44" s="329" t="s">
        <v>773</v>
      </c>
      <c r="B44" s="89">
        <v>195</v>
      </c>
      <c r="C44" s="89">
        <v>192.9</v>
      </c>
      <c r="D44" s="89">
        <v>195.8</v>
      </c>
      <c r="E44" s="89">
        <v>194.3</v>
      </c>
    </row>
    <row r="45" spans="1:5" x14ac:dyDescent="0.25">
      <c r="A45" s="329" t="s">
        <v>774</v>
      </c>
      <c r="B45" s="89">
        <v>196.3</v>
      </c>
      <c r="C45" s="89">
        <v>194</v>
      </c>
      <c r="D45" s="89">
        <v>197</v>
      </c>
      <c r="E45" s="89">
        <v>195.3</v>
      </c>
    </row>
    <row r="46" spans="1:5" x14ac:dyDescent="0.25">
      <c r="A46" s="329" t="s">
        <v>775</v>
      </c>
      <c r="B46" s="89">
        <v>197.6</v>
      </c>
      <c r="C46" s="89">
        <v>195</v>
      </c>
      <c r="D46" s="89">
        <v>198.1</v>
      </c>
      <c r="E46" s="89">
        <v>196.3</v>
      </c>
    </row>
    <row r="47" spans="1:5" x14ac:dyDescent="0.25">
      <c r="A47" s="329" t="s">
        <v>776</v>
      </c>
      <c r="B47" s="89">
        <v>198.9</v>
      </c>
      <c r="C47" s="89">
        <v>196.1</v>
      </c>
      <c r="D47" s="89">
        <v>199.2</v>
      </c>
      <c r="E47" s="89">
        <v>197.3</v>
      </c>
    </row>
    <row r="48" spans="1:5" x14ac:dyDescent="0.25">
      <c r="A48" s="329" t="s">
        <v>777</v>
      </c>
      <c r="B48" s="89">
        <v>200.1</v>
      </c>
      <c r="C48" s="89">
        <v>197.2</v>
      </c>
      <c r="D48" s="89">
        <v>200.3</v>
      </c>
      <c r="E48" s="89">
        <v>198.1</v>
      </c>
    </row>
    <row r="49" spans="1:5" x14ac:dyDescent="0.25">
      <c r="A49" s="329" t="s">
        <v>778</v>
      </c>
      <c r="B49" s="89">
        <v>201</v>
      </c>
      <c r="C49" s="89">
        <v>198.1</v>
      </c>
      <c r="D49" s="89">
        <v>201.1</v>
      </c>
      <c r="E49" s="89">
        <v>198.4</v>
      </c>
    </row>
    <row r="50" spans="1:5" x14ac:dyDescent="0.25">
      <c r="A50" s="329" t="s">
        <v>779</v>
      </c>
      <c r="B50" s="89">
        <v>201.5</v>
      </c>
      <c r="C50" s="89">
        <v>198.7</v>
      </c>
      <c r="D50" s="89">
        <v>201.7</v>
      </c>
      <c r="E50" s="89">
        <v>198.8</v>
      </c>
    </row>
    <row r="51" spans="1:5" x14ac:dyDescent="0.25">
      <c r="A51" s="329" t="s">
        <v>780</v>
      </c>
      <c r="B51" s="89">
        <v>201.7</v>
      </c>
      <c r="C51" s="89">
        <v>199.2</v>
      </c>
      <c r="D51" s="89">
        <v>201.9</v>
      </c>
      <c r="E51" s="89">
        <v>199.1</v>
      </c>
    </row>
    <row r="52" spans="1:5" x14ac:dyDescent="0.25">
      <c r="A52" s="329" t="s">
        <v>781</v>
      </c>
      <c r="B52" s="89">
        <v>201.7</v>
      </c>
      <c r="C52" s="89">
        <v>199.5</v>
      </c>
      <c r="D52" s="89">
        <v>202.1</v>
      </c>
      <c r="E52" s="89">
        <v>199.4</v>
      </c>
    </row>
    <row r="53" spans="1:5" x14ac:dyDescent="0.25">
      <c r="A53" s="329" t="s">
        <v>782</v>
      </c>
      <c r="B53" s="89">
        <v>201.9</v>
      </c>
      <c r="C53" s="89">
        <v>199.7</v>
      </c>
      <c r="D53" s="89">
        <v>202.3</v>
      </c>
      <c r="E53" s="89">
        <v>199.8</v>
      </c>
    </row>
    <row r="54" spans="1:5" x14ac:dyDescent="0.25">
      <c r="A54" s="329" t="s">
        <v>783</v>
      </c>
      <c r="B54" s="89">
        <v>202.1</v>
      </c>
      <c r="C54" s="89">
        <v>200.1</v>
      </c>
      <c r="D54" s="89">
        <v>202.6</v>
      </c>
      <c r="E54" s="89">
        <v>200</v>
      </c>
    </row>
    <row r="55" spans="1:5" x14ac:dyDescent="0.25">
      <c r="A55" s="329" t="s">
        <v>784</v>
      </c>
      <c r="B55" s="89">
        <v>202.3</v>
      </c>
      <c r="C55" s="89">
        <v>200.3</v>
      </c>
      <c r="D55" s="89">
        <v>202.8</v>
      </c>
      <c r="E55" s="89">
        <v>200</v>
      </c>
    </row>
    <row r="56" spans="1:5" x14ac:dyDescent="0.25">
      <c r="A56" s="329" t="s">
        <v>785</v>
      </c>
      <c r="B56" s="89">
        <v>202.2</v>
      </c>
      <c r="C56" s="89">
        <v>200.5</v>
      </c>
      <c r="D56" s="89">
        <v>202.8</v>
      </c>
      <c r="E56" s="89">
        <v>200</v>
      </c>
    </row>
    <row r="57" spans="1:5" x14ac:dyDescent="0.25">
      <c r="A57" s="329" t="s">
        <v>786</v>
      </c>
      <c r="B57" s="89">
        <v>201.9</v>
      </c>
      <c r="C57" s="89">
        <v>200.4</v>
      </c>
      <c r="D57" s="89">
        <v>202.6</v>
      </c>
      <c r="E57" s="89">
        <v>200</v>
      </c>
    </row>
    <row r="58" spans="1:5" x14ac:dyDescent="0.25">
      <c r="A58" s="329" t="s">
        <v>787</v>
      </c>
      <c r="B58" s="89">
        <v>201.6</v>
      </c>
      <c r="C58" s="89">
        <v>200.4</v>
      </c>
      <c r="D58" s="89">
        <v>202.5</v>
      </c>
      <c r="E58" s="89">
        <v>200</v>
      </c>
    </row>
    <row r="59" spans="1:5" x14ac:dyDescent="0.25">
      <c r="A59" s="329" t="s">
        <v>788</v>
      </c>
      <c r="B59" s="89">
        <v>201.4</v>
      </c>
      <c r="C59" s="89">
        <v>200.3</v>
      </c>
      <c r="D59" s="89">
        <v>202.3</v>
      </c>
      <c r="E59" s="89">
        <v>200</v>
      </c>
    </row>
    <row r="60" spans="1:5" x14ac:dyDescent="0.25">
      <c r="A60" s="329" t="s">
        <v>789</v>
      </c>
      <c r="B60" s="89">
        <v>201.3</v>
      </c>
      <c r="C60" s="89">
        <v>200.3</v>
      </c>
      <c r="D60" s="89">
        <v>202.2</v>
      </c>
      <c r="E60" s="89">
        <v>200</v>
      </c>
    </row>
    <row r="61" spans="1:5" x14ac:dyDescent="0.25">
      <c r="A61" s="329" t="s">
        <v>790</v>
      </c>
      <c r="B61" s="89">
        <v>201.1</v>
      </c>
      <c r="C61" s="89">
        <v>200.2</v>
      </c>
      <c r="D61" s="89">
        <v>202.2</v>
      </c>
      <c r="E61" s="89">
        <v>200</v>
      </c>
    </row>
    <row r="62" spans="1:5" x14ac:dyDescent="0.25">
      <c r="A62" s="329" t="s">
        <v>791</v>
      </c>
      <c r="B62" s="89">
        <v>201.1</v>
      </c>
      <c r="C62" s="89">
        <v>200.1</v>
      </c>
      <c r="D62" s="89">
        <v>202.1</v>
      </c>
      <c r="E62" s="89">
        <v>200</v>
      </c>
    </row>
    <row r="63" spans="1:5" x14ac:dyDescent="0.25">
      <c r="A63" s="329" t="s">
        <v>792</v>
      </c>
      <c r="B63" s="89">
        <v>201</v>
      </c>
      <c r="C63" s="89">
        <v>200.1</v>
      </c>
      <c r="D63" s="89">
        <v>202.1</v>
      </c>
      <c r="E63" s="89">
        <v>200</v>
      </c>
    </row>
    <row r="64" spans="1:5" x14ac:dyDescent="0.25">
      <c r="A64" s="329" t="s">
        <v>793</v>
      </c>
      <c r="B64" s="89">
        <v>201</v>
      </c>
      <c r="C64" s="89">
        <v>200.2</v>
      </c>
      <c r="D64" s="89">
        <v>202.1</v>
      </c>
      <c r="E64" s="89">
        <v>200</v>
      </c>
    </row>
    <row r="65" spans="1:5" x14ac:dyDescent="0.25">
      <c r="A65" s="329" t="s">
        <v>794</v>
      </c>
      <c r="B65" s="89">
        <v>200.9</v>
      </c>
      <c r="C65" s="89">
        <v>200.1</v>
      </c>
      <c r="D65" s="89">
        <v>202</v>
      </c>
      <c r="E65" s="89">
        <v>200</v>
      </c>
    </row>
    <row r="66" spans="1:5" x14ac:dyDescent="0.25">
      <c r="A66" s="329" t="s">
        <v>795</v>
      </c>
      <c r="B66" s="89">
        <v>200.8</v>
      </c>
      <c r="C66" s="89">
        <v>200.1</v>
      </c>
      <c r="D66" s="89">
        <v>202</v>
      </c>
      <c r="E66" s="89">
        <v>200</v>
      </c>
    </row>
    <row r="67" spans="1:5" x14ac:dyDescent="0.25">
      <c r="A67" s="329" t="s">
        <v>796</v>
      </c>
      <c r="B67" s="89">
        <v>200.8</v>
      </c>
      <c r="C67" s="89">
        <v>200</v>
      </c>
      <c r="D67" s="89">
        <v>202</v>
      </c>
      <c r="E67" s="89">
        <v>200</v>
      </c>
    </row>
    <row r="68" spans="1:5" x14ac:dyDescent="0.25">
      <c r="A68" s="329" t="s">
        <v>797</v>
      </c>
      <c r="B68" s="89">
        <v>200.9</v>
      </c>
      <c r="C68" s="89">
        <v>200.1</v>
      </c>
      <c r="D68" s="89">
        <v>202</v>
      </c>
      <c r="E68" s="89">
        <v>200</v>
      </c>
    </row>
    <row r="69" spans="1:5" x14ac:dyDescent="0.25">
      <c r="A69" s="329" t="s">
        <v>798</v>
      </c>
      <c r="B69" s="89">
        <v>200.9</v>
      </c>
      <c r="C69" s="89">
        <v>200.1</v>
      </c>
      <c r="D69" s="89">
        <v>202.1</v>
      </c>
      <c r="E69" s="89">
        <v>200</v>
      </c>
    </row>
    <row r="70" spans="1:5" x14ac:dyDescent="0.25">
      <c r="A70" s="329" t="s">
        <v>799</v>
      </c>
      <c r="B70" s="89">
        <v>200.8</v>
      </c>
      <c r="C70" s="89">
        <v>200</v>
      </c>
      <c r="D70" s="89">
        <v>202</v>
      </c>
      <c r="E70" s="89">
        <v>200</v>
      </c>
    </row>
    <row r="71" spans="1:5" x14ac:dyDescent="0.25">
      <c r="A71" s="329" t="s">
        <v>800</v>
      </c>
      <c r="B71" s="89">
        <v>200.7</v>
      </c>
      <c r="C71" s="89">
        <v>200</v>
      </c>
      <c r="D71" s="89">
        <v>201.9</v>
      </c>
      <c r="E71" s="89">
        <v>200</v>
      </c>
    </row>
    <row r="72" spans="1:5" x14ac:dyDescent="0.25">
      <c r="A72" s="329" t="s">
        <v>801</v>
      </c>
      <c r="B72" s="89">
        <v>200.7</v>
      </c>
      <c r="C72" s="89">
        <v>200</v>
      </c>
      <c r="D72" s="89">
        <v>202</v>
      </c>
      <c r="E72" s="89">
        <v>200</v>
      </c>
    </row>
    <row r="73" spans="1:5" x14ac:dyDescent="0.25">
      <c r="A73" s="329" t="s">
        <v>802</v>
      </c>
      <c r="B73" s="89">
        <v>200.8</v>
      </c>
      <c r="C73" s="89">
        <v>200</v>
      </c>
      <c r="D73" s="89">
        <v>202</v>
      </c>
      <c r="E73" s="89">
        <v>200</v>
      </c>
    </row>
    <row r="74" spans="1:5" x14ac:dyDescent="0.25">
      <c r="A74" s="329" t="s">
        <v>803</v>
      </c>
      <c r="B74" s="89">
        <v>200.7</v>
      </c>
      <c r="C74" s="89">
        <v>200</v>
      </c>
      <c r="D74" s="89">
        <v>202</v>
      </c>
      <c r="E74" s="89">
        <v>200</v>
      </c>
    </row>
    <row r="75" spans="1:5" x14ac:dyDescent="0.25">
      <c r="A75" s="329" t="s">
        <v>804</v>
      </c>
      <c r="B75" s="89">
        <v>200.8</v>
      </c>
      <c r="C75" s="89">
        <v>200.1</v>
      </c>
      <c r="D75" s="89">
        <v>202</v>
      </c>
      <c r="E75" s="89">
        <v>200</v>
      </c>
    </row>
    <row r="76" spans="1:5" x14ac:dyDescent="0.25">
      <c r="A76" s="329" t="s">
        <v>805</v>
      </c>
      <c r="B76" s="89">
        <v>200.7</v>
      </c>
      <c r="C76" s="89">
        <v>200</v>
      </c>
      <c r="D76" s="89">
        <v>201.9</v>
      </c>
      <c r="E76" s="89">
        <v>200</v>
      </c>
    </row>
    <row r="77" spans="1:5" x14ac:dyDescent="0.25">
      <c r="A77" s="329" t="s">
        <v>806</v>
      </c>
      <c r="B77" s="89">
        <v>200.7</v>
      </c>
      <c r="C77" s="89">
        <v>200</v>
      </c>
      <c r="D77" s="89">
        <v>201.9</v>
      </c>
      <c r="E77" s="89">
        <v>200</v>
      </c>
    </row>
    <row r="78" spans="1:5" x14ac:dyDescent="0.25">
      <c r="A78" s="329" t="s">
        <v>807</v>
      </c>
      <c r="B78" s="89">
        <v>200.7</v>
      </c>
      <c r="C78" s="89">
        <v>200.1</v>
      </c>
      <c r="D78" s="89">
        <v>202</v>
      </c>
      <c r="E78" s="89">
        <v>200</v>
      </c>
    </row>
    <row r="79" spans="1:5" x14ac:dyDescent="0.25">
      <c r="A79" s="329" t="s">
        <v>808</v>
      </c>
      <c r="B79" s="89">
        <v>200.7</v>
      </c>
      <c r="C79" s="89">
        <v>200</v>
      </c>
      <c r="D79" s="89">
        <v>202</v>
      </c>
      <c r="E79" s="89">
        <v>200</v>
      </c>
    </row>
    <row r="80" spans="1:5" x14ac:dyDescent="0.25">
      <c r="A80" s="329" t="s">
        <v>809</v>
      </c>
      <c r="B80" s="89">
        <v>200.8</v>
      </c>
      <c r="C80" s="89">
        <v>200</v>
      </c>
      <c r="D80" s="89">
        <v>202</v>
      </c>
      <c r="E80" s="89">
        <v>200</v>
      </c>
    </row>
    <row r="81" spans="1:5" x14ac:dyDescent="0.25">
      <c r="A81" s="329" t="s">
        <v>810</v>
      </c>
      <c r="B81" s="89">
        <v>200.7</v>
      </c>
      <c r="C81" s="89">
        <v>200</v>
      </c>
      <c r="D81" s="89">
        <v>202</v>
      </c>
      <c r="E81" s="89">
        <v>200</v>
      </c>
    </row>
    <row r="82" spans="1:5" x14ac:dyDescent="0.25">
      <c r="A82" s="329" t="s">
        <v>811</v>
      </c>
      <c r="B82" s="89">
        <v>200.8</v>
      </c>
      <c r="C82" s="89">
        <v>200</v>
      </c>
      <c r="D82" s="89">
        <v>202</v>
      </c>
      <c r="E82" s="89">
        <v>200</v>
      </c>
    </row>
    <row r="83" spans="1:5" x14ac:dyDescent="0.25">
      <c r="A83" s="329" t="s">
        <v>812</v>
      </c>
      <c r="B83" s="89">
        <v>200.7</v>
      </c>
      <c r="C83" s="89">
        <v>200</v>
      </c>
      <c r="D83" s="89">
        <v>202</v>
      </c>
      <c r="E83" s="89">
        <v>200</v>
      </c>
    </row>
    <row r="84" spans="1:5" x14ac:dyDescent="0.25">
      <c r="A84" s="329" t="s">
        <v>813</v>
      </c>
      <c r="B84" s="89">
        <v>200.8</v>
      </c>
      <c r="C84" s="89">
        <v>200.1</v>
      </c>
      <c r="D84" s="89">
        <v>202</v>
      </c>
      <c r="E84" s="89">
        <v>200</v>
      </c>
    </row>
    <row r="85" spans="1:5" x14ac:dyDescent="0.25">
      <c r="A85" s="329" t="s">
        <v>814</v>
      </c>
      <c r="B85" s="89">
        <v>200.7</v>
      </c>
      <c r="C85" s="89">
        <v>200.1</v>
      </c>
      <c r="D85" s="89">
        <v>202</v>
      </c>
      <c r="E85" s="89">
        <v>200</v>
      </c>
    </row>
    <row r="86" spans="1:5" x14ac:dyDescent="0.25">
      <c r="A86" s="329" t="s">
        <v>815</v>
      </c>
      <c r="B86" s="89">
        <v>200.7</v>
      </c>
      <c r="C86" s="89">
        <v>200</v>
      </c>
      <c r="D86" s="89">
        <v>201.9</v>
      </c>
      <c r="E86" s="89">
        <v>200</v>
      </c>
    </row>
    <row r="87" spans="1:5" x14ac:dyDescent="0.25">
      <c r="A87" s="329" t="s">
        <v>816</v>
      </c>
      <c r="B87" s="89">
        <v>200.6</v>
      </c>
      <c r="C87" s="89">
        <v>200</v>
      </c>
      <c r="D87" s="89">
        <v>201.9</v>
      </c>
      <c r="E87" s="89">
        <v>200</v>
      </c>
    </row>
    <row r="88" spans="1:5" x14ac:dyDescent="0.25">
      <c r="A88" s="329" t="s">
        <v>817</v>
      </c>
      <c r="B88" s="89">
        <v>200.7</v>
      </c>
      <c r="C88" s="89">
        <v>200</v>
      </c>
      <c r="D88" s="89">
        <v>202</v>
      </c>
      <c r="E88" s="89">
        <v>200</v>
      </c>
    </row>
    <row r="89" spans="1:5" x14ac:dyDescent="0.25">
      <c r="A89" s="329" t="s">
        <v>818</v>
      </c>
      <c r="B89" s="89">
        <v>200.7</v>
      </c>
      <c r="C89" s="89">
        <v>200</v>
      </c>
      <c r="D89" s="89">
        <v>202</v>
      </c>
      <c r="E89" s="89">
        <v>200</v>
      </c>
    </row>
    <row r="90" spans="1:5" x14ac:dyDescent="0.25">
      <c r="A90" s="329" t="s">
        <v>819</v>
      </c>
      <c r="B90" s="89">
        <v>200.7</v>
      </c>
      <c r="C90" s="89">
        <v>200</v>
      </c>
      <c r="D90" s="89">
        <v>201.9</v>
      </c>
      <c r="E90" s="89">
        <v>200</v>
      </c>
    </row>
    <row r="91" spans="1:5" x14ac:dyDescent="0.25">
      <c r="A91" s="329" t="s">
        <v>820</v>
      </c>
      <c r="B91" s="89">
        <v>200.7</v>
      </c>
      <c r="C91" s="89">
        <v>200</v>
      </c>
      <c r="D91" s="89">
        <v>202</v>
      </c>
      <c r="E91" s="89">
        <v>200</v>
      </c>
    </row>
    <row r="92" spans="1:5" x14ac:dyDescent="0.25">
      <c r="A92" s="329" t="s">
        <v>821</v>
      </c>
      <c r="B92" s="89">
        <v>200.7</v>
      </c>
      <c r="C92" s="89">
        <v>200</v>
      </c>
      <c r="D92" s="89">
        <v>202</v>
      </c>
      <c r="E92" s="89">
        <v>200</v>
      </c>
    </row>
    <row r="93" spans="1:5" x14ac:dyDescent="0.25">
      <c r="A93" s="329" t="s">
        <v>822</v>
      </c>
      <c r="B93" s="89">
        <v>200.7</v>
      </c>
      <c r="C93" s="89">
        <v>200</v>
      </c>
      <c r="D93" s="89">
        <v>202</v>
      </c>
      <c r="E93" s="89">
        <v>200</v>
      </c>
    </row>
    <row r="94" spans="1:5" x14ac:dyDescent="0.25">
      <c r="A94" s="329" t="s">
        <v>823</v>
      </c>
      <c r="B94" s="89">
        <v>200.7</v>
      </c>
      <c r="C94" s="89">
        <v>200</v>
      </c>
      <c r="D94" s="89">
        <v>202</v>
      </c>
      <c r="E94" s="89">
        <v>200</v>
      </c>
    </row>
    <row r="95" spans="1:5" x14ac:dyDescent="0.25">
      <c r="A95" s="329" t="s">
        <v>824</v>
      </c>
      <c r="B95" s="89">
        <v>200.7</v>
      </c>
      <c r="C95" s="89">
        <v>200</v>
      </c>
      <c r="D95" s="89">
        <v>201.9</v>
      </c>
      <c r="E95" s="89">
        <v>200</v>
      </c>
    </row>
    <row r="96" spans="1:5" x14ac:dyDescent="0.25">
      <c r="A96" s="329" t="s">
        <v>825</v>
      </c>
      <c r="B96" s="89">
        <v>200.7</v>
      </c>
      <c r="C96" s="89">
        <v>200.1</v>
      </c>
      <c r="D96" s="89">
        <v>202</v>
      </c>
      <c r="E96" s="89">
        <v>200</v>
      </c>
    </row>
    <row r="97" spans="1:5" x14ac:dyDescent="0.25">
      <c r="A97" s="329" t="s">
        <v>826</v>
      </c>
      <c r="B97" s="89">
        <v>200.6</v>
      </c>
      <c r="C97" s="89">
        <v>200</v>
      </c>
      <c r="D97" s="89">
        <v>201.9</v>
      </c>
      <c r="E97" s="89">
        <v>200</v>
      </c>
    </row>
    <row r="98" spans="1:5" x14ac:dyDescent="0.25">
      <c r="A98" s="329" t="s">
        <v>827</v>
      </c>
      <c r="B98" s="89">
        <v>200.6</v>
      </c>
      <c r="C98" s="89">
        <v>200.1</v>
      </c>
      <c r="D98" s="89">
        <v>201.9</v>
      </c>
      <c r="E98" s="89">
        <v>200</v>
      </c>
    </row>
  </sheetData>
  <sheetProtection algorithmName="SHA-512" hashValue="1sPAmovSVsqbee+Edtbm6mZavNrtSZD/fLssCqgcVGs45SPJm8Xkzxi8lOaJ6tcG8DtHp2NlKjjm0f2ZDroAXw==" saltValue="nQQyhMAbTMjgt7t7m92JPQ==" spinCount="100000" sheet="1" objects="1" scenarios="1"/>
  <mergeCells count="1">
    <mergeCell ref="H9:K15"/>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FA2E2-A981-4BAA-9738-D33A2B5DA2D8}">
  <sheetPr codeName="Feuil44">
    <tabColor rgb="FF002060"/>
  </sheetPr>
  <dimension ref="A1:K61"/>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17" t="s">
        <v>828</v>
      </c>
      <c r="B2">
        <v>342.7</v>
      </c>
      <c r="C2">
        <v>336</v>
      </c>
      <c r="D2">
        <v>338.9</v>
      </c>
      <c r="E2">
        <v>385</v>
      </c>
    </row>
    <row r="3" spans="1:11" x14ac:dyDescent="0.25">
      <c r="A3" s="329" t="s">
        <v>829</v>
      </c>
      <c r="B3" s="89">
        <v>345.7</v>
      </c>
      <c r="C3" s="89">
        <v>339.2</v>
      </c>
      <c r="D3" s="89">
        <v>342.2</v>
      </c>
      <c r="E3" s="89">
        <v>385</v>
      </c>
    </row>
    <row r="4" spans="1:11" x14ac:dyDescent="0.25">
      <c r="A4" s="329" t="s">
        <v>830</v>
      </c>
      <c r="B4" s="89">
        <v>348.8</v>
      </c>
      <c r="C4" s="89">
        <v>342.3</v>
      </c>
      <c r="D4" s="89">
        <v>345.2</v>
      </c>
      <c r="E4" s="89">
        <v>385</v>
      </c>
    </row>
    <row r="5" spans="1:11" x14ac:dyDescent="0.25">
      <c r="A5" s="329" t="s">
        <v>831</v>
      </c>
      <c r="B5" s="89">
        <v>352</v>
      </c>
      <c r="C5" s="89">
        <v>345.6</v>
      </c>
      <c r="D5" s="89">
        <v>348.2</v>
      </c>
      <c r="E5" s="89">
        <v>385</v>
      </c>
    </row>
    <row r="6" spans="1:11" x14ac:dyDescent="0.25">
      <c r="A6" s="329" t="s">
        <v>832</v>
      </c>
      <c r="B6" s="89">
        <v>355</v>
      </c>
      <c r="C6" s="89">
        <v>348.7</v>
      </c>
      <c r="D6" s="89">
        <v>351.4</v>
      </c>
      <c r="E6" s="89">
        <v>385</v>
      </c>
    </row>
    <row r="7" spans="1:11" x14ac:dyDescent="0.25">
      <c r="A7" s="329" t="s">
        <v>833</v>
      </c>
      <c r="B7" s="89">
        <v>357.9</v>
      </c>
      <c r="C7" s="89">
        <v>351.8</v>
      </c>
      <c r="D7" s="89">
        <v>354.3</v>
      </c>
      <c r="E7" s="89">
        <v>385</v>
      </c>
    </row>
    <row r="8" spans="1:11" ht="15.75" thickBot="1" x14ac:dyDescent="0.3">
      <c r="A8" s="329" t="s">
        <v>834</v>
      </c>
      <c r="B8" s="89">
        <v>360.8</v>
      </c>
      <c r="C8" s="89">
        <v>354.9</v>
      </c>
      <c r="D8" s="89">
        <v>357.3</v>
      </c>
      <c r="E8" s="89">
        <v>385</v>
      </c>
    </row>
    <row r="9" spans="1:11" x14ac:dyDescent="0.25">
      <c r="A9" s="329" t="s">
        <v>835</v>
      </c>
      <c r="B9" s="89">
        <v>363.8</v>
      </c>
      <c r="C9" s="89">
        <v>357.9</v>
      </c>
      <c r="D9" s="89">
        <v>360.5</v>
      </c>
      <c r="E9" s="89">
        <v>385</v>
      </c>
      <c r="H9" s="363" t="s">
        <v>540</v>
      </c>
      <c r="I9" s="364"/>
      <c r="J9" s="364"/>
      <c r="K9" s="365"/>
    </row>
    <row r="10" spans="1:11" x14ac:dyDescent="0.25">
      <c r="A10" s="329" t="s">
        <v>836</v>
      </c>
      <c r="B10" s="89">
        <v>366.7</v>
      </c>
      <c r="C10" s="89">
        <v>360.8</v>
      </c>
      <c r="D10" s="89">
        <v>363.4</v>
      </c>
      <c r="E10" s="89">
        <v>385</v>
      </c>
      <c r="H10" s="366"/>
      <c r="I10" s="367"/>
      <c r="J10" s="367"/>
      <c r="K10" s="368"/>
    </row>
    <row r="11" spans="1:11" x14ac:dyDescent="0.25">
      <c r="A11" s="329" t="s">
        <v>837</v>
      </c>
      <c r="B11" s="89">
        <v>369.6</v>
      </c>
      <c r="C11" s="89">
        <v>363.9</v>
      </c>
      <c r="D11" s="89">
        <v>366.2</v>
      </c>
      <c r="E11" s="89">
        <v>385</v>
      </c>
      <c r="H11" s="366"/>
      <c r="I11" s="367"/>
      <c r="J11" s="367"/>
      <c r="K11" s="368"/>
    </row>
    <row r="12" spans="1:11" x14ac:dyDescent="0.25">
      <c r="A12" s="329" t="s">
        <v>838</v>
      </c>
      <c r="B12" s="89">
        <v>372.4</v>
      </c>
      <c r="C12" s="89">
        <v>366.8</v>
      </c>
      <c r="D12" s="89">
        <v>369</v>
      </c>
      <c r="E12" s="89">
        <v>385</v>
      </c>
      <c r="H12" s="366"/>
      <c r="I12" s="367"/>
      <c r="J12" s="367"/>
      <c r="K12" s="368"/>
    </row>
    <row r="13" spans="1:11" x14ac:dyDescent="0.25">
      <c r="A13" s="329" t="s">
        <v>839</v>
      </c>
      <c r="B13" s="89">
        <v>375.3</v>
      </c>
      <c r="C13" s="89">
        <v>369.7</v>
      </c>
      <c r="D13" s="89">
        <v>371.9</v>
      </c>
      <c r="E13" s="89">
        <v>385</v>
      </c>
      <c r="H13" s="366"/>
      <c r="I13" s="367"/>
      <c r="J13" s="367"/>
      <c r="K13" s="368"/>
    </row>
    <row r="14" spans="1:11" x14ac:dyDescent="0.25">
      <c r="A14" s="329" t="s">
        <v>840</v>
      </c>
      <c r="B14" s="89">
        <v>378.2</v>
      </c>
      <c r="C14" s="89">
        <v>372.7</v>
      </c>
      <c r="D14" s="89">
        <v>374.9</v>
      </c>
      <c r="E14" s="89">
        <v>385</v>
      </c>
      <c r="H14" s="366"/>
      <c r="I14" s="367"/>
      <c r="J14" s="367"/>
      <c r="K14" s="368"/>
    </row>
    <row r="15" spans="1:11" ht="15.75" thickBot="1" x14ac:dyDescent="0.3">
      <c r="A15" s="329" t="s">
        <v>841</v>
      </c>
      <c r="B15" s="89">
        <v>381</v>
      </c>
      <c r="C15" s="89">
        <v>375.5</v>
      </c>
      <c r="D15" s="89">
        <v>377.7</v>
      </c>
      <c r="E15" s="89">
        <v>385</v>
      </c>
      <c r="H15" s="369"/>
      <c r="I15" s="370"/>
      <c r="J15" s="370"/>
      <c r="K15" s="371"/>
    </row>
    <row r="16" spans="1:11" x14ac:dyDescent="0.25">
      <c r="A16" s="329" t="s">
        <v>842</v>
      </c>
      <c r="B16" s="89">
        <v>383.4</v>
      </c>
      <c r="C16" s="89">
        <v>378.3</v>
      </c>
      <c r="D16" s="89">
        <v>380.2</v>
      </c>
      <c r="E16" s="89">
        <v>385</v>
      </c>
    </row>
    <row r="17" spans="1:5" x14ac:dyDescent="0.25">
      <c r="A17" s="329" t="s">
        <v>843</v>
      </c>
      <c r="B17" s="89">
        <v>384.9</v>
      </c>
      <c r="C17" s="89">
        <v>380.3</v>
      </c>
      <c r="D17" s="89">
        <v>382</v>
      </c>
      <c r="E17" s="89">
        <v>385</v>
      </c>
    </row>
    <row r="18" spans="1:5" x14ac:dyDescent="0.25">
      <c r="A18" s="329" t="s">
        <v>844</v>
      </c>
      <c r="B18" s="89">
        <v>385.9</v>
      </c>
      <c r="C18" s="89">
        <v>382</v>
      </c>
      <c r="D18" s="89">
        <v>383.4</v>
      </c>
      <c r="E18" s="89">
        <v>385</v>
      </c>
    </row>
    <row r="19" spans="1:5" x14ac:dyDescent="0.25">
      <c r="A19" s="329" t="s">
        <v>845</v>
      </c>
      <c r="B19" s="89">
        <v>386.3</v>
      </c>
      <c r="C19" s="89">
        <v>383.1</v>
      </c>
      <c r="D19" s="89">
        <v>384.5</v>
      </c>
      <c r="E19" s="89">
        <v>385</v>
      </c>
    </row>
    <row r="20" spans="1:5" x14ac:dyDescent="0.25">
      <c r="A20" s="329" t="s">
        <v>846</v>
      </c>
      <c r="B20" s="89">
        <v>386.5</v>
      </c>
      <c r="C20" s="89">
        <v>383.9</v>
      </c>
      <c r="D20" s="89">
        <v>385</v>
      </c>
      <c r="E20" s="89">
        <v>385</v>
      </c>
    </row>
    <row r="21" spans="1:5" x14ac:dyDescent="0.25">
      <c r="A21" s="329" t="s">
        <v>847</v>
      </c>
      <c r="B21" s="89">
        <v>386.5</v>
      </c>
      <c r="C21" s="89">
        <v>384.5</v>
      </c>
      <c r="D21" s="89">
        <v>385.5</v>
      </c>
      <c r="E21" s="89">
        <v>385</v>
      </c>
    </row>
    <row r="22" spans="1:5" x14ac:dyDescent="0.25">
      <c r="A22" s="329" t="s">
        <v>848</v>
      </c>
      <c r="B22" s="89">
        <v>386.5</v>
      </c>
      <c r="C22" s="89">
        <v>385</v>
      </c>
      <c r="D22" s="89">
        <v>385.7</v>
      </c>
      <c r="E22" s="89">
        <v>385</v>
      </c>
    </row>
    <row r="23" spans="1:5" x14ac:dyDescent="0.25">
      <c r="A23" s="329" t="s">
        <v>849</v>
      </c>
      <c r="B23" s="89">
        <v>386.3</v>
      </c>
      <c r="C23" s="89">
        <v>385.1</v>
      </c>
      <c r="D23" s="89">
        <v>385.9</v>
      </c>
      <c r="E23" s="89">
        <v>385</v>
      </c>
    </row>
    <row r="24" spans="1:5" x14ac:dyDescent="0.25">
      <c r="A24" s="329" t="s">
        <v>850</v>
      </c>
      <c r="B24" s="89">
        <v>386.2</v>
      </c>
      <c r="C24" s="89">
        <v>385.3</v>
      </c>
      <c r="D24" s="89">
        <v>385.9</v>
      </c>
      <c r="E24" s="89">
        <v>385</v>
      </c>
    </row>
    <row r="25" spans="1:5" x14ac:dyDescent="0.25">
      <c r="A25" s="329" t="s">
        <v>851</v>
      </c>
      <c r="B25" s="89">
        <v>386.1</v>
      </c>
      <c r="C25" s="89">
        <v>385.4</v>
      </c>
      <c r="D25" s="89">
        <v>386</v>
      </c>
      <c r="E25" s="89">
        <v>385</v>
      </c>
    </row>
    <row r="26" spans="1:5" x14ac:dyDescent="0.25">
      <c r="A26" s="329" t="s">
        <v>852</v>
      </c>
      <c r="B26" s="89">
        <v>385.9</v>
      </c>
      <c r="C26" s="89">
        <v>385.4</v>
      </c>
      <c r="D26" s="89">
        <v>386.1</v>
      </c>
      <c r="E26" s="89">
        <v>385</v>
      </c>
    </row>
    <row r="27" spans="1:5" x14ac:dyDescent="0.25">
      <c r="A27" s="329" t="s">
        <v>853</v>
      </c>
      <c r="B27" s="89">
        <v>385.8</v>
      </c>
      <c r="C27" s="89">
        <v>385.4</v>
      </c>
      <c r="D27" s="89">
        <v>386.1</v>
      </c>
      <c r="E27" s="89">
        <v>385</v>
      </c>
    </row>
    <row r="28" spans="1:5" x14ac:dyDescent="0.25">
      <c r="A28" s="329" t="s">
        <v>854</v>
      </c>
      <c r="B28" s="89">
        <v>385.7</v>
      </c>
      <c r="C28" s="89">
        <v>385.4</v>
      </c>
      <c r="D28" s="89">
        <v>386.1</v>
      </c>
      <c r="E28" s="89">
        <v>385</v>
      </c>
    </row>
    <row r="29" spans="1:5" x14ac:dyDescent="0.25">
      <c r="A29" s="329" t="s">
        <v>855</v>
      </c>
      <c r="B29" s="89">
        <v>385.6</v>
      </c>
      <c r="C29" s="89">
        <v>385.4</v>
      </c>
      <c r="D29" s="89">
        <v>386.1</v>
      </c>
      <c r="E29" s="89">
        <v>385</v>
      </c>
    </row>
    <row r="30" spans="1:5" x14ac:dyDescent="0.25">
      <c r="A30" s="329" t="s">
        <v>856</v>
      </c>
      <c r="B30" s="89">
        <v>385.4</v>
      </c>
      <c r="C30" s="89">
        <v>385.4</v>
      </c>
      <c r="D30" s="89">
        <v>386.1</v>
      </c>
      <c r="E30" s="89">
        <v>385</v>
      </c>
    </row>
    <row r="31" spans="1:5" x14ac:dyDescent="0.25">
      <c r="A31" s="329" t="s">
        <v>857</v>
      </c>
      <c r="B31" s="89">
        <v>385.3</v>
      </c>
      <c r="C31" s="89">
        <v>385.3</v>
      </c>
      <c r="D31" s="89">
        <v>386.1</v>
      </c>
      <c r="E31" s="89">
        <v>385</v>
      </c>
    </row>
    <row r="32" spans="1:5" x14ac:dyDescent="0.25">
      <c r="A32" s="329" t="s">
        <v>858</v>
      </c>
      <c r="B32" s="89">
        <v>385.3</v>
      </c>
      <c r="C32" s="89">
        <v>385.3</v>
      </c>
      <c r="D32" s="89">
        <v>386.2</v>
      </c>
      <c r="E32" s="89">
        <v>385</v>
      </c>
    </row>
    <row r="33" spans="1:5" x14ac:dyDescent="0.25">
      <c r="A33" s="329" t="s">
        <v>859</v>
      </c>
      <c r="B33" s="89">
        <v>385.3</v>
      </c>
      <c r="C33" s="89">
        <v>385.2</v>
      </c>
      <c r="D33" s="89">
        <v>386.1</v>
      </c>
      <c r="E33" s="89">
        <v>385</v>
      </c>
    </row>
    <row r="34" spans="1:5" x14ac:dyDescent="0.25">
      <c r="A34" s="329" t="s">
        <v>860</v>
      </c>
      <c r="B34" s="89">
        <v>385.3</v>
      </c>
      <c r="C34" s="89">
        <v>385.2</v>
      </c>
      <c r="D34" s="89">
        <v>386.1</v>
      </c>
      <c r="E34" s="89">
        <v>385</v>
      </c>
    </row>
    <row r="35" spans="1:5" x14ac:dyDescent="0.25">
      <c r="A35" s="329" t="s">
        <v>861</v>
      </c>
      <c r="B35" s="89">
        <v>385.2</v>
      </c>
      <c r="C35" s="89">
        <v>385.3</v>
      </c>
      <c r="D35" s="89">
        <v>386.1</v>
      </c>
      <c r="E35" s="89">
        <v>385</v>
      </c>
    </row>
    <row r="36" spans="1:5" x14ac:dyDescent="0.25">
      <c r="A36" s="329" t="s">
        <v>862</v>
      </c>
      <c r="B36" s="89">
        <v>385.2</v>
      </c>
      <c r="C36" s="89">
        <v>385.2</v>
      </c>
      <c r="D36" s="89">
        <v>386.1</v>
      </c>
      <c r="E36" s="89">
        <v>385</v>
      </c>
    </row>
    <row r="37" spans="1:5" x14ac:dyDescent="0.25">
      <c r="A37" s="329" t="s">
        <v>863</v>
      </c>
      <c r="B37" s="89">
        <v>385.2</v>
      </c>
      <c r="C37" s="89">
        <v>385.2</v>
      </c>
      <c r="D37" s="89">
        <v>386</v>
      </c>
      <c r="E37" s="89">
        <v>385</v>
      </c>
    </row>
    <row r="38" spans="1:5" x14ac:dyDescent="0.25">
      <c r="A38" s="329" t="s">
        <v>864</v>
      </c>
      <c r="B38" s="89">
        <v>385.2</v>
      </c>
      <c r="C38" s="89">
        <v>385.1</v>
      </c>
      <c r="D38" s="89">
        <v>386.1</v>
      </c>
      <c r="E38" s="89">
        <v>385</v>
      </c>
    </row>
    <row r="39" spans="1:5" x14ac:dyDescent="0.25">
      <c r="A39" s="329" t="s">
        <v>865</v>
      </c>
      <c r="B39" s="89">
        <v>385.3</v>
      </c>
      <c r="C39" s="89">
        <v>385.2</v>
      </c>
      <c r="D39" s="89">
        <v>386.1</v>
      </c>
      <c r="E39" s="89">
        <v>385</v>
      </c>
    </row>
    <row r="40" spans="1:5" x14ac:dyDescent="0.25">
      <c r="A40" s="329" t="s">
        <v>866</v>
      </c>
      <c r="B40" s="89">
        <v>385.2</v>
      </c>
      <c r="C40" s="89">
        <v>385.2</v>
      </c>
      <c r="D40" s="89">
        <v>386.1</v>
      </c>
      <c r="E40" s="89">
        <v>385</v>
      </c>
    </row>
    <row r="41" spans="1:5" x14ac:dyDescent="0.25">
      <c r="A41" s="329" t="s">
        <v>867</v>
      </c>
      <c r="B41" s="89">
        <v>385.2</v>
      </c>
      <c r="C41" s="89">
        <v>385.1</v>
      </c>
      <c r="D41" s="89">
        <v>386.1</v>
      </c>
      <c r="E41" s="89">
        <v>385</v>
      </c>
    </row>
    <row r="42" spans="1:5" x14ac:dyDescent="0.25">
      <c r="A42" s="329" t="s">
        <v>868</v>
      </c>
      <c r="B42" s="89">
        <v>385.2</v>
      </c>
      <c r="C42" s="89">
        <v>385.2</v>
      </c>
      <c r="D42" s="89">
        <v>386.1</v>
      </c>
      <c r="E42" s="89">
        <v>385</v>
      </c>
    </row>
    <row r="43" spans="1:5" x14ac:dyDescent="0.25">
      <c r="A43" s="329" t="s">
        <v>869</v>
      </c>
      <c r="B43" s="89">
        <v>385.1</v>
      </c>
      <c r="C43" s="89">
        <v>385.1</v>
      </c>
      <c r="D43" s="89">
        <v>386.1</v>
      </c>
      <c r="E43" s="89">
        <v>385</v>
      </c>
    </row>
    <row r="44" spans="1:5" x14ac:dyDescent="0.25">
      <c r="A44" s="329" t="s">
        <v>870</v>
      </c>
      <c r="B44" s="89">
        <v>385</v>
      </c>
      <c r="C44" s="89">
        <v>385.1</v>
      </c>
      <c r="D44" s="89">
        <v>386</v>
      </c>
      <c r="E44" s="89">
        <v>385</v>
      </c>
    </row>
    <row r="45" spans="1:5" x14ac:dyDescent="0.25">
      <c r="A45" s="329" t="s">
        <v>871</v>
      </c>
      <c r="B45" s="89">
        <v>385.1</v>
      </c>
      <c r="C45" s="89">
        <v>385</v>
      </c>
      <c r="D45" s="89">
        <v>386</v>
      </c>
      <c r="E45" s="89">
        <v>385</v>
      </c>
    </row>
    <row r="46" spans="1:5" x14ac:dyDescent="0.25">
      <c r="A46" s="329" t="s">
        <v>872</v>
      </c>
      <c r="B46" s="89">
        <v>385.2</v>
      </c>
      <c r="C46" s="89">
        <v>385.2</v>
      </c>
      <c r="D46" s="89">
        <v>386.2</v>
      </c>
      <c r="E46" s="89">
        <v>385</v>
      </c>
    </row>
    <row r="47" spans="1:5" x14ac:dyDescent="0.25">
      <c r="A47" s="329" t="s">
        <v>873</v>
      </c>
      <c r="B47" s="89">
        <v>385.1</v>
      </c>
      <c r="C47" s="89">
        <v>385.1</v>
      </c>
      <c r="D47" s="89">
        <v>386</v>
      </c>
      <c r="E47" s="89">
        <v>385</v>
      </c>
    </row>
    <row r="48" spans="1:5" x14ac:dyDescent="0.25">
      <c r="A48" s="329" t="s">
        <v>874</v>
      </c>
      <c r="B48" s="89">
        <v>385.1</v>
      </c>
      <c r="C48" s="89">
        <v>385</v>
      </c>
      <c r="D48" s="89">
        <v>386</v>
      </c>
      <c r="E48" s="89">
        <v>385</v>
      </c>
    </row>
    <row r="49" spans="1:5" x14ac:dyDescent="0.25">
      <c r="A49" s="329" t="s">
        <v>875</v>
      </c>
      <c r="B49" s="89">
        <v>385.2</v>
      </c>
      <c r="C49" s="89">
        <v>385</v>
      </c>
      <c r="D49" s="89">
        <v>386.1</v>
      </c>
      <c r="E49" s="89">
        <v>385</v>
      </c>
    </row>
    <row r="50" spans="1:5" x14ac:dyDescent="0.25">
      <c r="A50" s="329" t="s">
        <v>876</v>
      </c>
      <c r="B50" s="89">
        <v>385.1</v>
      </c>
      <c r="C50" s="89">
        <v>385.1</v>
      </c>
      <c r="D50" s="89">
        <v>386</v>
      </c>
      <c r="E50" s="89">
        <v>385</v>
      </c>
    </row>
    <row r="51" spans="1:5" x14ac:dyDescent="0.25">
      <c r="A51" s="329" t="s">
        <v>877</v>
      </c>
      <c r="B51" s="89">
        <v>385.1</v>
      </c>
      <c r="C51" s="89">
        <v>385.1</v>
      </c>
      <c r="D51" s="89">
        <v>386</v>
      </c>
      <c r="E51" s="89">
        <v>385</v>
      </c>
    </row>
    <row r="52" spans="1:5" x14ac:dyDescent="0.25">
      <c r="A52" s="329" t="s">
        <v>878</v>
      </c>
      <c r="B52" s="89">
        <v>385.1</v>
      </c>
      <c r="C52" s="89">
        <v>385.1</v>
      </c>
      <c r="D52" s="89">
        <v>386</v>
      </c>
      <c r="E52" s="89">
        <v>385</v>
      </c>
    </row>
    <row r="53" spans="1:5" x14ac:dyDescent="0.25">
      <c r="A53" s="329" t="s">
        <v>879</v>
      </c>
      <c r="B53" s="89">
        <v>385.1</v>
      </c>
      <c r="C53" s="89">
        <v>385.1</v>
      </c>
      <c r="D53" s="89">
        <v>386</v>
      </c>
      <c r="E53" s="89">
        <v>385</v>
      </c>
    </row>
    <row r="54" spans="1:5" x14ac:dyDescent="0.25">
      <c r="A54" s="329" t="s">
        <v>880</v>
      </c>
      <c r="B54" s="89">
        <v>385.1</v>
      </c>
      <c r="C54" s="89">
        <v>385</v>
      </c>
      <c r="D54" s="89">
        <v>386</v>
      </c>
      <c r="E54" s="89">
        <v>385</v>
      </c>
    </row>
    <row r="55" spans="1:5" x14ac:dyDescent="0.25">
      <c r="A55" s="329" t="s">
        <v>881</v>
      </c>
      <c r="B55" s="89">
        <v>385.2</v>
      </c>
      <c r="C55" s="89">
        <v>385.1</v>
      </c>
      <c r="D55" s="89">
        <v>386</v>
      </c>
      <c r="E55" s="89">
        <v>385</v>
      </c>
    </row>
    <row r="56" spans="1:5" x14ac:dyDescent="0.25">
      <c r="A56" s="329" t="s">
        <v>882</v>
      </c>
      <c r="B56" s="89">
        <v>385</v>
      </c>
      <c r="C56" s="89">
        <v>385.1</v>
      </c>
      <c r="D56" s="89">
        <v>386</v>
      </c>
      <c r="E56" s="89">
        <v>385</v>
      </c>
    </row>
    <row r="57" spans="1:5" x14ac:dyDescent="0.25">
      <c r="A57" s="329" t="s">
        <v>883</v>
      </c>
      <c r="B57" s="89">
        <v>385</v>
      </c>
      <c r="C57" s="89">
        <v>385</v>
      </c>
      <c r="D57" s="89">
        <v>386</v>
      </c>
      <c r="E57" s="89">
        <v>385</v>
      </c>
    </row>
    <row r="58" spans="1:5" x14ac:dyDescent="0.25">
      <c r="A58" s="329" t="s">
        <v>884</v>
      </c>
      <c r="B58" s="89">
        <v>385</v>
      </c>
      <c r="C58" s="89">
        <v>385.1</v>
      </c>
      <c r="D58" s="89">
        <v>385.9</v>
      </c>
      <c r="E58" s="89">
        <v>385</v>
      </c>
    </row>
    <row r="59" spans="1:5" x14ac:dyDescent="0.25">
      <c r="A59" s="329" t="s">
        <v>885</v>
      </c>
      <c r="B59" s="89">
        <v>385.1</v>
      </c>
      <c r="C59" s="89">
        <v>385</v>
      </c>
      <c r="D59" s="89">
        <v>386</v>
      </c>
      <c r="E59" s="89">
        <v>385</v>
      </c>
    </row>
    <row r="60" spans="1:5" x14ac:dyDescent="0.25">
      <c r="A60" s="329" t="s">
        <v>886</v>
      </c>
      <c r="B60" s="89">
        <v>385.1</v>
      </c>
      <c r="C60" s="89">
        <v>385</v>
      </c>
      <c r="D60" s="89">
        <v>386</v>
      </c>
      <c r="E60" s="89">
        <v>385</v>
      </c>
    </row>
    <row r="61" spans="1:5" x14ac:dyDescent="0.25">
      <c r="A61" s="329" t="s">
        <v>887</v>
      </c>
      <c r="B61" s="89">
        <v>385.1</v>
      </c>
      <c r="C61" s="89">
        <v>385</v>
      </c>
      <c r="D61" s="89">
        <v>386</v>
      </c>
      <c r="E61" s="89">
        <v>385</v>
      </c>
    </row>
  </sheetData>
  <sheetProtection algorithmName="SHA-512" hashValue="3z5SaQVWdBDHfwdr+vo17pVGSMVMSqssYgfSUyWiYXZqU0elAw6gd9/gq73X38B/LoQ7Nr2OwubgrbNwKcBK4Q==" saltValue="L0HBwtHMRzzU+8JZNNC+XQ==" spinCount="100000" sheet="1" objects="1" scenarios="1"/>
  <mergeCells count="1">
    <mergeCell ref="H9:K15"/>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AB766-3D87-45AA-AAD7-F6E751128FCF}">
  <sheetPr codeName="Feuil45">
    <tabColor rgb="FF002060"/>
  </sheetPr>
  <dimension ref="A1:K46"/>
  <sheetViews>
    <sheetView workbookViewId="0">
      <selection activeCell="B5" sqref="B5:G5"/>
    </sheetView>
  </sheetViews>
  <sheetFormatPr baseColWidth="10" defaultRowHeight="15" x14ac:dyDescent="0.25"/>
  <cols>
    <col min="1" max="1" width="16.7109375" customWidth="1"/>
    <col min="3" max="3" width="12.28515625" customWidth="1"/>
  </cols>
  <sheetData>
    <row r="1" spans="1:11" x14ac:dyDescent="0.25">
      <c r="A1" t="s">
        <v>36</v>
      </c>
      <c r="B1" t="s">
        <v>541</v>
      </c>
      <c r="C1" t="s">
        <v>542</v>
      </c>
      <c r="D1" t="s">
        <v>543</v>
      </c>
      <c r="E1" t="s">
        <v>544</v>
      </c>
    </row>
    <row r="2" spans="1:11" x14ac:dyDescent="0.25">
      <c r="A2" s="317" t="s">
        <v>888</v>
      </c>
      <c r="B2">
        <v>489.6</v>
      </c>
      <c r="C2">
        <v>486.9</v>
      </c>
      <c r="D2">
        <v>486.5</v>
      </c>
      <c r="E2">
        <v>535</v>
      </c>
    </row>
    <row r="3" spans="1:11" x14ac:dyDescent="0.25">
      <c r="A3" s="329" t="s">
        <v>889</v>
      </c>
      <c r="B3" s="89">
        <v>491.9</v>
      </c>
      <c r="C3" s="89">
        <v>489.4</v>
      </c>
      <c r="D3" s="89">
        <v>488.8</v>
      </c>
      <c r="E3" s="89">
        <v>535</v>
      </c>
    </row>
    <row r="4" spans="1:11" x14ac:dyDescent="0.25">
      <c r="A4" s="329" t="s">
        <v>890</v>
      </c>
      <c r="B4" s="89">
        <v>494.3</v>
      </c>
      <c r="C4" s="89">
        <v>491.8</v>
      </c>
      <c r="D4" s="89">
        <v>491.2</v>
      </c>
      <c r="E4" s="89">
        <v>535</v>
      </c>
    </row>
    <row r="5" spans="1:11" x14ac:dyDescent="0.25">
      <c r="A5" s="329" t="s">
        <v>891</v>
      </c>
      <c r="B5" s="89">
        <v>496.6</v>
      </c>
      <c r="C5" s="89">
        <v>494.2</v>
      </c>
      <c r="D5" s="89">
        <v>493.5</v>
      </c>
      <c r="E5" s="89">
        <v>535</v>
      </c>
    </row>
    <row r="6" spans="1:11" x14ac:dyDescent="0.25">
      <c r="A6" s="329" t="s">
        <v>892</v>
      </c>
      <c r="B6" s="89">
        <v>498.9</v>
      </c>
      <c r="C6" s="89">
        <v>496.6</v>
      </c>
      <c r="D6" s="89">
        <v>495.9</v>
      </c>
      <c r="E6" s="89">
        <v>535</v>
      </c>
    </row>
    <row r="7" spans="1:11" x14ac:dyDescent="0.25">
      <c r="A7" s="329" t="s">
        <v>893</v>
      </c>
      <c r="B7" s="89">
        <v>501.2</v>
      </c>
      <c r="C7" s="89">
        <v>499</v>
      </c>
      <c r="D7" s="89">
        <v>498.2</v>
      </c>
      <c r="E7" s="89">
        <v>535</v>
      </c>
    </row>
    <row r="8" spans="1:11" ht="15.75" thickBot="1" x14ac:dyDescent="0.3">
      <c r="A8" s="329" t="s">
        <v>894</v>
      </c>
      <c r="B8" s="89">
        <v>503.4</v>
      </c>
      <c r="C8" s="89">
        <v>501.2</v>
      </c>
      <c r="D8" s="89">
        <v>500.4</v>
      </c>
      <c r="E8" s="89">
        <v>535</v>
      </c>
    </row>
    <row r="9" spans="1:11" x14ac:dyDescent="0.25">
      <c r="A9" s="329" t="s">
        <v>895</v>
      </c>
      <c r="B9" s="89">
        <v>505.6</v>
      </c>
      <c r="C9" s="89">
        <v>503.5</v>
      </c>
      <c r="D9" s="89">
        <v>502.7</v>
      </c>
      <c r="E9" s="89">
        <v>535</v>
      </c>
      <c r="H9" s="363" t="s">
        <v>540</v>
      </c>
      <c r="I9" s="364"/>
      <c r="J9" s="364"/>
      <c r="K9" s="365"/>
    </row>
    <row r="10" spans="1:11" x14ac:dyDescent="0.25">
      <c r="A10" s="329" t="s">
        <v>896</v>
      </c>
      <c r="B10" s="89">
        <v>507.9</v>
      </c>
      <c r="C10" s="89">
        <v>505.9</v>
      </c>
      <c r="D10" s="89">
        <v>505</v>
      </c>
      <c r="E10" s="89">
        <v>535</v>
      </c>
      <c r="H10" s="366"/>
      <c r="I10" s="367"/>
      <c r="J10" s="367"/>
      <c r="K10" s="368"/>
    </row>
    <row r="11" spans="1:11" x14ac:dyDescent="0.25">
      <c r="A11" s="329" t="s">
        <v>897</v>
      </c>
      <c r="B11" s="89">
        <v>510</v>
      </c>
      <c r="C11" s="89">
        <v>508.1</v>
      </c>
      <c r="D11" s="89">
        <v>507.2</v>
      </c>
      <c r="E11" s="89">
        <v>535</v>
      </c>
      <c r="H11" s="366"/>
      <c r="I11" s="367"/>
      <c r="J11" s="367"/>
      <c r="K11" s="368"/>
    </row>
    <row r="12" spans="1:11" x14ac:dyDescent="0.25">
      <c r="A12" s="329" t="s">
        <v>898</v>
      </c>
      <c r="B12" s="89">
        <v>512.29999999999995</v>
      </c>
      <c r="C12" s="89">
        <v>510.4</v>
      </c>
      <c r="D12" s="89">
        <v>509.4</v>
      </c>
      <c r="E12" s="89">
        <v>535</v>
      </c>
      <c r="H12" s="366"/>
      <c r="I12" s="367"/>
      <c r="J12" s="367"/>
      <c r="K12" s="368"/>
    </row>
    <row r="13" spans="1:11" x14ac:dyDescent="0.25">
      <c r="A13" s="329" t="s">
        <v>899</v>
      </c>
      <c r="B13" s="89">
        <v>514.5</v>
      </c>
      <c r="C13" s="89">
        <v>512.70000000000005</v>
      </c>
      <c r="D13" s="89">
        <v>511.6</v>
      </c>
      <c r="E13" s="89">
        <v>535</v>
      </c>
      <c r="H13" s="366"/>
      <c r="I13" s="367"/>
      <c r="J13" s="367"/>
      <c r="K13" s="368"/>
    </row>
    <row r="14" spans="1:11" x14ac:dyDescent="0.25">
      <c r="A14" s="329" t="s">
        <v>900</v>
      </c>
      <c r="B14" s="89">
        <v>516.70000000000005</v>
      </c>
      <c r="C14" s="89">
        <v>514.9</v>
      </c>
      <c r="D14" s="89">
        <v>513.9</v>
      </c>
      <c r="E14" s="89">
        <v>535</v>
      </c>
      <c r="H14" s="366"/>
      <c r="I14" s="367"/>
      <c r="J14" s="367"/>
      <c r="K14" s="368"/>
    </row>
    <row r="15" spans="1:11" ht="15.75" thickBot="1" x14ac:dyDescent="0.3">
      <c r="A15" s="329" t="s">
        <v>901</v>
      </c>
      <c r="B15" s="89">
        <v>518.79999999999995</v>
      </c>
      <c r="C15" s="89">
        <v>517.20000000000005</v>
      </c>
      <c r="D15" s="89">
        <v>516</v>
      </c>
      <c r="E15" s="89">
        <v>535</v>
      </c>
      <c r="H15" s="369"/>
      <c r="I15" s="370"/>
      <c r="J15" s="370"/>
      <c r="K15" s="371"/>
    </row>
    <row r="16" spans="1:11" x14ac:dyDescent="0.25">
      <c r="A16" s="329" t="s">
        <v>902</v>
      </c>
      <c r="B16" s="89">
        <v>521</v>
      </c>
      <c r="C16" s="89">
        <v>519.5</v>
      </c>
      <c r="D16" s="89">
        <v>518.20000000000005</v>
      </c>
      <c r="E16" s="89">
        <v>535</v>
      </c>
    </row>
    <row r="17" spans="1:5" x14ac:dyDescent="0.25">
      <c r="A17" s="329" t="s">
        <v>903</v>
      </c>
      <c r="B17" s="89">
        <v>523.1</v>
      </c>
      <c r="C17" s="89">
        <v>521.6</v>
      </c>
      <c r="D17" s="89">
        <v>520.4</v>
      </c>
      <c r="E17" s="89">
        <v>535</v>
      </c>
    </row>
    <row r="18" spans="1:5" x14ac:dyDescent="0.25">
      <c r="A18" s="329" t="s">
        <v>904</v>
      </c>
      <c r="B18" s="89">
        <v>525.29999999999995</v>
      </c>
      <c r="C18" s="89">
        <v>523.70000000000005</v>
      </c>
      <c r="D18" s="89">
        <v>522.5</v>
      </c>
      <c r="E18" s="89">
        <v>535</v>
      </c>
    </row>
    <row r="19" spans="1:5" x14ac:dyDescent="0.25">
      <c r="A19" s="329" t="s">
        <v>905</v>
      </c>
      <c r="B19" s="89">
        <v>527.4</v>
      </c>
      <c r="C19" s="89">
        <v>526</v>
      </c>
      <c r="D19" s="89">
        <v>524.6</v>
      </c>
      <c r="E19" s="89">
        <v>535</v>
      </c>
    </row>
    <row r="20" spans="1:5" x14ac:dyDescent="0.25">
      <c r="A20" s="329" t="s">
        <v>906</v>
      </c>
      <c r="B20" s="89">
        <v>529.20000000000005</v>
      </c>
      <c r="C20" s="89">
        <v>528</v>
      </c>
      <c r="D20" s="89">
        <v>526.70000000000005</v>
      </c>
      <c r="E20" s="89">
        <v>535</v>
      </c>
    </row>
    <row r="21" spans="1:5" x14ac:dyDescent="0.25">
      <c r="A21" s="329" t="s">
        <v>907</v>
      </c>
      <c r="B21" s="89">
        <v>530.5</v>
      </c>
      <c r="C21" s="89">
        <v>529.70000000000005</v>
      </c>
      <c r="D21" s="89">
        <v>528.29999999999995</v>
      </c>
      <c r="E21" s="89">
        <v>535</v>
      </c>
    </row>
    <row r="22" spans="1:5" x14ac:dyDescent="0.25">
      <c r="A22" s="329" t="s">
        <v>908</v>
      </c>
      <c r="B22" s="89">
        <v>531.6</v>
      </c>
      <c r="C22" s="89">
        <v>531.20000000000005</v>
      </c>
      <c r="D22" s="89">
        <v>529.70000000000005</v>
      </c>
      <c r="E22" s="89">
        <v>535</v>
      </c>
    </row>
    <row r="23" spans="1:5" x14ac:dyDescent="0.25">
      <c r="A23" s="329" t="s">
        <v>909</v>
      </c>
      <c r="B23" s="89">
        <v>532.6</v>
      </c>
      <c r="C23" s="89">
        <v>532.4</v>
      </c>
      <c r="D23" s="89">
        <v>530.9</v>
      </c>
      <c r="E23" s="89">
        <v>535</v>
      </c>
    </row>
    <row r="24" spans="1:5" x14ac:dyDescent="0.25">
      <c r="A24" s="329" t="s">
        <v>910</v>
      </c>
      <c r="B24" s="89">
        <v>533.20000000000005</v>
      </c>
      <c r="C24" s="89">
        <v>533.4</v>
      </c>
      <c r="D24" s="89">
        <v>531.9</v>
      </c>
      <c r="E24" s="89">
        <v>535</v>
      </c>
    </row>
    <row r="25" spans="1:5" x14ac:dyDescent="0.25">
      <c r="A25" s="329" t="s">
        <v>911</v>
      </c>
      <c r="B25" s="89">
        <v>533.5</v>
      </c>
      <c r="C25" s="89">
        <v>534.20000000000005</v>
      </c>
      <c r="D25" s="89">
        <v>532.6</v>
      </c>
      <c r="E25" s="89">
        <v>535</v>
      </c>
    </row>
    <row r="26" spans="1:5" x14ac:dyDescent="0.25">
      <c r="A26" s="329" t="s">
        <v>912</v>
      </c>
      <c r="B26" s="89">
        <v>533.70000000000005</v>
      </c>
      <c r="C26" s="89">
        <v>534.70000000000005</v>
      </c>
      <c r="D26" s="89">
        <v>533</v>
      </c>
      <c r="E26" s="89">
        <v>535</v>
      </c>
    </row>
    <row r="27" spans="1:5" x14ac:dyDescent="0.25">
      <c r="A27" s="329" t="s">
        <v>913</v>
      </c>
      <c r="B27" s="89">
        <v>533.79999999999995</v>
      </c>
      <c r="C27" s="89">
        <v>535</v>
      </c>
      <c r="D27" s="89">
        <v>533.4</v>
      </c>
      <c r="E27" s="89">
        <v>535</v>
      </c>
    </row>
    <row r="28" spans="1:5" x14ac:dyDescent="0.25">
      <c r="A28" s="329" t="s">
        <v>914</v>
      </c>
      <c r="B28" s="89">
        <v>533.79999999999995</v>
      </c>
      <c r="C28" s="89">
        <v>535.1</v>
      </c>
      <c r="D28" s="89">
        <v>533.5</v>
      </c>
      <c r="E28" s="89">
        <v>535</v>
      </c>
    </row>
    <row r="29" spans="1:5" x14ac:dyDescent="0.25">
      <c r="A29" s="329" t="s">
        <v>915</v>
      </c>
      <c r="B29" s="89">
        <v>533.79999999999995</v>
      </c>
      <c r="C29" s="89">
        <v>535.4</v>
      </c>
      <c r="D29" s="89">
        <v>533.70000000000005</v>
      </c>
      <c r="E29" s="89">
        <v>535</v>
      </c>
    </row>
    <row r="30" spans="1:5" x14ac:dyDescent="0.25">
      <c r="A30" s="329" t="s">
        <v>916</v>
      </c>
      <c r="B30" s="89">
        <v>533.70000000000005</v>
      </c>
      <c r="C30" s="89">
        <v>535.4</v>
      </c>
      <c r="D30" s="89">
        <v>533.79999999999995</v>
      </c>
      <c r="E30" s="89">
        <v>535</v>
      </c>
    </row>
    <row r="31" spans="1:5" x14ac:dyDescent="0.25">
      <c r="A31" s="329" t="s">
        <v>917</v>
      </c>
      <c r="B31" s="89">
        <v>533.6</v>
      </c>
      <c r="C31" s="89">
        <v>535.4</v>
      </c>
      <c r="D31" s="89">
        <v>533.79999999999995</v>
      </c>
      <c r="E31" s="89">
        <v>535</v>
      </c>
    </row>
    <row r="32" spans="1:5" x14ac:dyDescent="0.25">
      <c r="A32" s="329" t="s">
        <v>918</v>
      </c>
      <c r="B32" s="89">
        <v>533.5</v>
      </c>
      <c r="C32" s="89">
        <v>535.4</v>
      </c>
      <c r="D32" s="89">
        <v>533.9</v>
      </c>
      <c r="E32" s="89">
        <v>535</v>
      </c>
    </row>
    <row r="33" spans="1:5" x14ac:dyDescent="0.25">
      <c r="A33" s="329" t="s">
        <v>919</v>
      </c>
      <c r="B33" s="89">
        <v>533.5</v>
      </c>
      <c r="C33" s="89">
        <v>535.4</v>
      </c>
      <c r="D33" s="89">
        <v>533.79999999999995</v>
      </c>
      <c r="E33" s="89">
        <v>535</v>
      </c>
    </row>
    <row r="34" spans="1:5" x14ac:dyDescent="0.25">
      <c r="A34" s="329" t="s">
        <v>920</v>
      </c>
      <c r="B34" s="89">
        <v>533.4</v>
      </c>
      <c r="C34" s="89">
        <v>535.29999999999995</v>
      </c>
      <c r="D34" s="89">
        <v>533.79999999999995</v>
      </c>
      <c r="E34" s="89">
        <v>535</v>
      </c>
    </row>
    <row r="35" spans="1:5" x14ac:dyDescent="0.25">
      <c r="A35" s="329" t="s">
        <v>921</v>
      </c>
      <c r="B35" s="89">
        <v>533.4</v>
      </c>
      <c r="C35" s="89">
        <v>535.29999999999995</v>
      </c>
      <c r="D35" s="89">
        <v>533.79999999999995</v>
      </c>
      <c r="E35" s="89">
        <v>535</v>
      </c>
    </row>
    <row r="36" spans="1:5" x14ac:dyDescent="0.25">
      <c r="A36" s="329" t="s">
        <v>922</v>
      </c>
      <c r="B36" s="89">
        <v>533.4</v>
      </c>
      <c r="C36" s="89">
        <v>535.29999999999995</v>
      </c>
      <c r="D36" s="89">
        <v>533.79999999999995</v>
      </c>
      <c r="E36" s="89">
        <v>535</v>
      </c>
    </row>
    <row r="37" spans="1:5" x14ac:dyDescent="0.25">
      <c r="A37" s="329" t="s">
        <v>923</v>
      </c>
      <c r="B37" s="89">
        <v>533.4</v>
      </c>
      <c r="C37" s="89">
        <v>535.20000000000005</v>
      </c>
      <c r="D37" s="89">
        <v>533.79999999999995</v>
      </c>
      <c r="E37" s="89">
        <v>535</v>
      </c>
    </row>
    <row r="38" spans="1:5" x14ac:dyDescent="0.25">
      <c r="A38" s="329" t="s">
        <v>924</v>
      </c>
      <c r="B38" s="89">
        <v>533.29999999999995</v>
      </c>
      <c r="C38" s="89">
        <v>535.29999999999995</v>
      </c>
      <c r="D38" s="89">
        <v>533.79999999999995</v>
      </c>
      <c r="E38" s="89">
        <v>535</v>
      </c>
    </row>
    <row r="39" spans="1:5" x14ac:dyDescent="0.25">
      <c r="A39" s="329" t="s">
        <v>925</v>
      </c>
      <c r="B39" s="89">
        <v>533.29999999999995</v>
      </c>
      <c r="C39" s="89">
        <v>535.20000000000005</v>
      </c>
      <c r="D39" s="89">
        <v>533.79999999999995</v>
      </c>
      <c r="E39" s="89">
        <v>535</v>
      </c>
    </row>
    <row r="40" spans="1:5" x14ac:dyDescent="0.25">
      <c r="A40" s="329" t="s">
        <v>926</v>
      </c>
      <c r="B40" s="89">
        <v>533.29999999999995</v>
      </c>
      <c r="C40" s="89">
        <v>535.20000000000005</v>
      </c>
      <c r="D40" s="89">
        <v>533.70000000000005</v>
      </c>
      <c r="E40" s="89">
        <v>535</v>
      </c>
    </row>
    <row r="41" spans="1:5" x14ac:dyDescent="0.25">
      <c r="A41" s="329" t="s">
        <v>927</v>
      </c>
      <c r="B41" s="89">
        <v>533.29999999999995</v>
      </c>
      <c r="C41" s="89">
        <v>535.1</v>
      </c>
      <c r="D41" s="89">
        <v>533.70000000000005</v>
      </c>
      <c r="E41" s="89">
        <v>535</v>
      </c>
    </row>
    <row r="42" spans="1:5" x14ac:dyDescent="0.25">
      <c r="A42" s="329" t="s">
        <v>928</v>
      </c>
      <c r="B42" s="89">
        <v>533.29999999999995</v>
      </c>
      <c r="C42" s="89">
        <v>535.1</v>
      </c>
      <c r="D42" s="89">
        <v>533.79999999999995</v>
      </c>
      <c r="E42" s="89">
        <v>535</v>
      </c>
    </row>
    <row r="43" spans="1:5" x14ac:dyDescent="0.25">
      <c r="A43" s="329" t="s">
        <v>929</v>
      </c>
      <c r="B43" s="89">
        <v>533.29999999999995</v>
      </c>
      <c r="C43" s="89">
        <v>535.1</v>
      </c>
      <c r="D43" s="89">
        <v>533.70000000000005</v>
      </c>
      <c r="E43" s="89">
        <v>535</v>
      </c>
    </row>
    <row r="44" spans="1:5" x14ac:dyDescent="0.25">
      <c r="A44" s="329" t="s">
        <v>930</v>
      </c>
      <c r="B44" s="89">
        <v>533.29999999999995</v>
      </c>
      <c r="C44" s="89">
        <v>535.1</v>
      </c>
      <c r="D44" s="89">
        <v>533.70000000000005</v>
      </c>
      <c r="E44" s="89">
        <v>535</v>
      </c>
    </row>
    <row r="45" spans="1:5" x14ac:dyDescent="0.25">
      <c r="A45" s="329" t="s">
        <v>931</v>
      </c>
      <c r="B45" s="89">
        <v>533.4</v>
      </c>
      <c r="C45" s="89">
        <v>535.20000000000005</v>
      </c>
      <c r="D45" s="89">
        <v>533.70000000000005</v>
      </c>
      <c r="E45" s="89">
        <v>535</v>
      </c>
    </row>
    <row r="46" spans="1:5" x14ac:dyDescent="0.25">
      <c r="A46" s="329" t="s">
        <v>932</v>
      </c>
      <c r="B46" s="89">
        <v>533.29999999999995</v>
      </c>
      <c r="C46" s="89">
        <v>535.20000000000005</v>
      </c>
      <c r="D46" s="89">
        <v>533.79999999999995</v>
      </c>
      <c r="E46" s="89">
        <v>535</v>
      </c>
    </row>
  </sheetData>
  <sheetProtection algorithmName="SHA-512" hashValue="w6dl7e+TK4g/LWnzyHIty8CZSu4Pj7jSvetIWcwJFEak27lfB6Pgwq8ZunM1oqa3Gf0gH8tE+2C/nZutlzq6sQ==" saltValue="FseEAkrJOTZQhyi5EdmW1A==" spinCount="100000" sheet="1" objects="1" scenarios="1"/>
  <mergeCells count="1">
    <mergeCell ref="H9:K15"/>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929E7-BB41-4B1C-8558-DBEB45571675}">
  <sheetPr codeName="Feuil35">
    <tabColor rgb="FF002060"/>
  </sheetPr>
  <dimension ref="A1:AE509"/>
  <sheetViews>
    <sheetView topLeftCell="A124" zoomScale="85" zoomScaleNormal="85" workbookViewId="0">
      <selection activeCell="U142" sqref="U142:U145"/>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style="27" customWidth="1"/>
    <col min="26" max="26" width="17.7109375" customWidth="1"/>
    <col min="27" max="27" width="8.7109375" style="27" customWidth="1"/>
    <col min="28" max="28" width="10.7109375" style="27" customWidth="1"/>
    <col min="29" max="29" width="9.7109375" style="27" customWidth="1"/>
    <col min="31" max="31" width="16.85546875" bestFit="1" customWidth="1"/>
  </cols>
  <sheetData>
    <row r="1" spans="1:31" ht="23.25" x14ac:dyDescent="0.35">
      <c r="A1" s="372" t="str">
        <f>Mesures_Four!D27</f>
        <v>80°C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31" x14ac:dyDescent="0.25">
      <c r="A2" s="146"/>
      <c r="M2" s="23" t="s">
        <v>87</v>
      </c>
      <c r="N2" s="44">
        <f>Mesures_Four!D40</f>
        <v>0.26</v>
      </c>
      <c r="O2" s="44">
        <f>Mesures_Four!D41</f>
        <v>7.0000000000000007E-2</v>
      </c>
      <c r="P2" s="44">
        <f>Mesures_Four!D42</f>
        <v>0.3</v>
      </c>
      <c r="Q2" s="44">
        <f>Mesures_Four!D43</f>
        <v>0.11</v>
      </c>
      <c r="R2" s="44">
        <f>Mesures_Four!D44</f>
        <v>0.2</v>
      </c>
      <c r="S2" s="44">
        <f>Mesures_Four!D45</f>
        <v>0.3</v>
      </c>
      <c r="T2" s="44">
        <f>Mesures_Four!D46</f>
        <v>0.15</v>
      </c>
      <c r="U2" s="44">
        <f>Mesures_Four!D47</f>
        <v>0.27</v>
      </c>
      <c r="V2" s="44">
        <f>Mesures_Four!D48</f>
        <v>0.27</v>
      </c>
      <c r="W2" s="213"/>
      <c r="X2" s="159"/>
      <c r="Y2" s="159"/>
    </row>
    <row r="3" spans="1:31" x14ac:dyDescent="0.25">
      <c r="M3" s="23" t="s">
        <v>23</v>
      </c>
      <c r="N3" s="44">
        <f>Mesures_Four!D28</f>
        <v>0.22</v>
      </c>
      <c r="O3" s="44">
        <f>Mesures_Four!D29</f>
        <v>0.22</v>
      </c>
      <c r="P3" s="44">
        <f>Mesures_Four!D30</f>
        <v>0.22</v>
      </c>
      <c r="Q3" s="44">
        <f>Mesures_Four!D31</f>
        <v>0.22</v>
      </c>
      <c r="R3" s="44">
        <f>Mesures_Four!D32</f>
        <v>0.22</v>
      </c>
      <c r="S3" s="44">
        <f>Mesures_Four!D33</f>
        <v>0.22</v>
      </c>
      <c r="T3" s="44">
        <f>Mesures_Four!D34</f>
        <v>0.22</v>
      </c>
      <c r="U3" s="44">
        <f>Mesures_Four!D35</f>
        <v>0.22</v>
      </c>
      <c r="V3" s="44">
        <f>Mesures_Four!D36</f>
        <v>0.22</v>
      </c>
      <c r="W3" s="213"/>
      <c r="X3" s="159"/>
      <c r="Y3" s="159"/>
    </row>
    <row r="4" spans="1:31" x14ac:dyDescent="0.25">
      <c r="M4" s="23"/>
      <c r="N4" s="211"/>
      <c r="O4" s="211"/>
      <c r="P4" s="211"/>
      <c r="Q4" s="211"/>
      <c r="R4" s="211"/>
      <c r="S4" s="211"/>
      <c r="T4" s="211"/>
      <c r="U4" s="211"/>
      <c r="V4" s="211"/>
      <c r="W4" s="213"/>
      <c r="X4" s="159"/>
      <c r="Y4" s="159"/>
    </row>
    <row r="5" spans="1:31" x14ac:dyDescent="0.25">
      <c r="B5" s="374" t="s">
        <v>344</v>
      </c>
      <c r="C5" s="374"/>
      <c r="D5" s="374"/>
      <c r="E5" s="374"/>
      <c r="F5" s="374"/>
      <c r="G5" s="374"/>
      <c r="H5" s="374"/>
      <c r="I5" s="374"/>
      <c r="J5" s="374"/>
      <c r="N5" s="375" t="s">
        <v>88</v>
      </c>
      <c r="O5" s="375"/>
      <c r="P5" s="375"/>
      <c r="Q5" s="375"/>
      <c r="R5" s="375"/>
      <c r="S5" s="375"/>
      <c r="T5" s="375"/>
      <c r="U5" s="375"/>
      <c r="V5" s="375"/>
    </row>
    <row r="6" spans="1:31" x14ac:dyDescent="0.25">
      <c r="A6" s="208" t="str" cm="1">
        <f t="array" ref="A6:J186">tab_transfert80[#All]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2" t="str" cm="1">
        <f t="array" ref="N6:V6">tab_transfert80[[#Headers],[Connecteur 1]:[Connecteur 9]]</f>
        <v>Connecteur 1</v>
      </c>
      <c r="O6" s="202" t="str">
        <v>Connecteur 2</v>
      </c>
      <c r="P6" s="202" t="str">
        <v>Connecteur 3</v>
      </c>
      <c r="Q6" s="202" t="str">
        <v>Connecteur 4</v>
      </c>
      <c r="R6" s="202" t="str">
        <v>Connecteur 5</v>
      </c>
      <c r="S6" s="202" t="str">
        <v>Connecteur 6</v>
      </c>
      <c r="T6" s="202" t="str">
        <v>Connecteur 7</v>
      </c>
      <c r="U6" s="202" t="str">
        <v>Connecteur 8</v>
      </c>
      <c r="V6" s="202" t="str">
        <v>Connecteur 9</v>
      </c>
      <c r="W6" s="202" t="str" cm="1">
        <f t="array" ref="W6:W186">tab_four80[[#All],[Consigne T°]]</f>
        <v>Consigne T°</v>
      </c>
      <c r="Z6" s="202" t="str" cm="1">
        <f t="array" ref="Z6:AC186">tab_four80[[#All],[Date/Heure]:[Pt Chaud]]</f>
        <v>Date/Heure</v>
      </c>
      <c r="AA6" s="202" t="str">
        <v>Pt Froid</v>
      </c>
      <c r="AB6" s="202" t="str">
        <v>Regulation</v>
      </c>
      <c r="AC6" s="202" t="str">
        <v>Pt Chaud</v>
      </c>
      <c r="AE6" s="23"/>
    </row>
    <row r="7" spans="1:31" ht="14.45" customHeight="1" x14ac:dyDescent="0.25">
      <c r="A7" t="str">
        <v>13/02/2024  00:00</v>
      </c>
      <c r="B7">
        <v>41.72</v>
      </c>
      <c r="C7">
        <v>41.62</v>
      </c>
      <c r="D7">
        <v>41.55</v>
      </c>
      <c r="E7">
        <v>41.79</v>
      </c>
      <c r="F7">
        <v>41.91</v>
      </c>
      <c r="G7">
        <v>41.66</v>
      </c>
      <c r="H7">
        <v>40.61</v>
      </c>
      <c r="I7">
        <v>41.99</v>
      </c>
      <c r="J7">
        <v>41.69</v>
      </c>
      <c r="M7" s="378" t="s">
        <v>342</v>
      </c>
      <c r="N7" s="206" cm="1">
        <f t="array" ref="N7:V186">tab_transfert80[[Connecteur 1]:[Connecteur 9]]+N2:V2+N3:V3</f>
        <v>42.199999999999996</v>
      </c>
      <c r="O7" s="206">
        <v>41.91</v>
      </c>
      <c r="P7" s="206">
        <v>42.069999999999993</v>
      </c>
      <c r="Q7" s="206">
        <v>42.12</v>
      </c>
      <c r="R7" s="206">
        <v>42.33</v>
      </c>
      <c r="S7" s="206">
        <v>42.179999999999993</v>
      </c>
      <c r="T7" s="206">
        <v>40.98</v>
      </c>
      <c r="U7" s="206">
        <v>42.480000000000004</v>
      </c>
      <c r="V7" s="206">
        <v>42.18</v>
      </c>
      <c r="W7" s="214">
        <v>35.299999999999997</v>
      </c>
      <c r="Z7" s="23" t="str">
        <v>13/02/2024  00:00</v>
      </c>
      <c r="AA7" s="27">
        <v>39.799999999999997</v>
      </c>
      <c r="AB7" s="27">
        <v>39.9</v>
      </c>
      <c r="AC7" s="27">
        <v>40</v>
      </c>
    </row>
    <row r="8" spans="1:31" ht="14.45" customHeight="1" x14ac:dyDescent="0.25">
      <c r="A8" t="str">
        <v>13/02/2024  00:01</v>
      </c>
      <c r="B8">
        <v>41.99</v>
      </c>
      <c r="C8">
        <v>41.96</v>
      </c>
      <c r="D8">
        <v>41.84</v>
      </c>
      <c r="E8">
        <v>42.03</v>
      </c>
      <c r="F8">
        <v>42.18</v>
      </c>
      <c r="G8">
        <v>41.83</v>
      </c>
      <c r="H8">
        <v>40.89</v>
      </c>
      <c r="I8">
        <v>42.18</v>
      </c>
      <c r="J8">
        <v>41.97</v>
      </c>
      <c r="M8" s="378"/>
      <c r="N8" s="206">
        <v>42.47</v>
      </c>
      <c r="O8" s="206">
        <v>42.25</v>
      </c>
      <c r="P8" s="206">
        <v>42.36</v>
      </c>
      <c r="Q8" s="206">
        <v>42.36</v>
      </c>
      <c r="R8" s="206">
        <v>42.6</v>
      </c>
      <c r="S8" s="206">
        <v>42.349999999999994</v>
      </c>
      <c r="T8" s="206">
        <v>41.26</v>
      </c>
      <c r="U8" s="206">
        <v>42.67</v>
      </c>
      <c r="V8" s="206">
        <v>42.46</v>
      </c>
      <c r="W8" s="214">
        <v>35.6</v>
      </c>
      <c r="Z8" s="23" t="str">
        <v>13/02/2024  00:01</v>
      </c>
      <c r="AA8" s="27">
        <v>40.299999999999997</v>
      </c>
      <c r="AB8" s="27">
        <v>40.299999999999997</v>
      </c>
      <c r="AC8" s="27">
        <v>40.799999999999997</v>
      </c>
    </row>
    <row r="9" spans="1:31" ht="14.45" customHeight="1" x14ac:dyDescent="0.25">
      <c r="A9" t="str">
        <v>13/02/2024  00:02</v>
      </c>
      <c r="B9">
        <v>42.18</v>
      </c>
      <c r="C9">
        <v>42.19</v>
      </c>
      <c r="D9">
        <v>42.03</v>
      </c>
      <c r="E9">
        <v>42.17</v>
      </c>
      <c r="F9">
        <v>42.39</v>
      </c>
      <c r="G9">
        <v>42.17</v>
      </c>
      <c r="H9">
        <v>41.24</v>
      </c>
      <c r="I9">
        <v>42.42</v>
      </c>
      <c r="J9">
        <v>42.19</v>
      </c>
      <c r="M9" s="378"/>
      <c r="N9" s="206">
        <v>42.66</v>
      </c>
      <c r="O9" s="206">
        <v>42.48</v>
      </c>
      <c r="P9" s="206">
        <v>42.55</v>
      </c>
      <c r="Q9" s="206">
        <v>42.5</v>
      </c>
      <c r="R9" s="206">
        <v>42.81</v>
      </c>
      <c r="S9" s="206">
        <v>42.69</v>
      </c>
      <c r="T9" s="206">
        <v>41.61</v>
      </c>
      <c r="U9" s="206">
        <v>42.910000000000004</v>
      </c>
      <c r="V9" s="206">
        <v>42.68</v>
      </c>
      <c r="W9" s="214">
        <v>36</v>
      </c>
      <c r="Z9" s="23" t="str">
        <v>13/02/2024  00:02</v>
      </c>
      <c r="AA9" s="27">
        <v>40.6</v>
      </c>
      <c r="AB9" s="27">
        <v>40.6</v>
      </c>
      <c r="AC9" s="27">
        <v>41.3</v>
      </c>
    </row>
    <row r="10" spans="1:31" ht="14.45" customHeight="1" x14ac:dyDescent="0.25">
      <c r="A10" t="str">
        <v>13/02/2024  00:03</v>
      </c>
      <c r="B10">
        <v>42.36</v>
      </c>
      <c r="C10">
        <v>42.37</v>
      </c>
      <c r="D10">
        <v>42.21</v>
      </c>
      <c r="E10">
        <v>42.41</v>
      </c>
      <c r="F10">
        <v>42.55</v>
      </c>
      <c r="G10">
        <v>42.29</v>
      </c>
      <c r="H10">
        <v>41.38</v>
      </c>
      <c r="I10">
        <v>42.54</v>
      </c>
      <c r="J10">
        <v>42.34</v>
      </c>
      <c r="M10" s="378"/>
      <c r="N10" s="206">
        <v>42.839999999999996</v>
      </c>
      <c r="O10" s="206">
        <v>42.66</v>
      </c>
      <c r="P10" s="206">
        <v>42.73</v>
      </c>
      <c r="Q10" s="206">
        <v>42.739999999999995</v>
      </c>
      <c r="R10" s="206">
        <v>42.97</v>
      </c>
      <c r="S10" s="206">
        <v>42.809999999999995</v>
      </c>
      <c r="T10" s="206">
        <v>41.75</v>
      </c>
      <c r="U10" s="206">
        <v>43.03</v>
      </c>
      <c r="V10" s="206">
        <v>42.830000000000005</v>
      </c>
      <c r="W10" s="214">
        <v>36.299999999999997</v>
      </c>
      <c r="Z10" s="23" t="str">
        <v>13/02/2024  00:03</v>
      </c>
      <c r="AA10" s="27">
        <v>40.9</v>
      </c>
      <c r="AB10" s="27">
        <v>40.799999999999997</v>
      </c>
      <c r="AC10" s="27">
        <v>41.7</v>
      </c>
    </row>
    <row r="11" spans="1:31" ht="14.45" customHeight="1" x14ac:dyDescent="0.25">
      <c r="A11" t="str">
        <v>13/02/2024  00:04</v>
      </c>
      <c r="B11">
        <v>42.53</v>
      </c>
      <c r="C11">
        <v>42.5</v>
      </c>
      <c r="D11">
        <v>42.34</v>
      </c>
      <c r="E11">
        <v>42.58</v>
      </c>
      <c r="F11">
        <v>42.69</v>
      </c>
      <c r="G11">
        <v>42.5</v>
      </c>
      <c r="H11">
        <v>41.62</v>
      </c>
      <c r="I11">
        <v>42.75</v>
      </c>
      <c r="J11">
        <v>42.56</v>
      </c>
      <c r="M11" s="378"/>
      <c r="N11" s="206">
        <v>43.01</v>
      </c>
      <c r="O11" s="206">
        <v>42.79</v>
      </c>
      <c r="P11" s="206">
        <v>42.86</v>
      </c>
      <c r="Q11" s="206">
        <v>42.91</v>
      </c>
      <c r="R11" s="206">
        <v>43.11</v>
      </c>
      <c r="S11" s="206">
        <v>43.019999999999996</v>
      </c>
      <c r="T11" s="206">
        <v>41.989999999999995</v>
      </c>
      <c r="U11" s="206">
        <v>43.24</v>
      </c>
      <c r="V11" s="206">
        <v>43.050000000000004</v>
      </c>
      <c r="W11" s="214">
        <v>36.6</v>
      </c>
      <c r="Z11" s="23" t="str">
        <v>13/02/2024  00:04</v>
      </c>
      <c r="AA11" s="27">
        <v>41.1</v>
      </c>
      <c r="AB11" s="27">
        <v>41.1</v>
      </c>
      <c r="AC11" s="27">
        <v>42</v>
      </c>
    </row>
    <row r="12" spans="1:31" ht="14.45" customHeight="1" x14ac:dyDescent="0.25">
      <c r="A12" t="str">
        <v>13/02/2024  00:05</v>
      </c>
      <c r="B12">
        <v>42.65</v>
      </c>
      <c r="C12">
        <v>42.69</v>
      </c>
      <c r="D12">
        <v>42.56</v>
      </c>
      <c r="E12">
        <v>42.77</v>
      </c>
      <c r="F12">
        <v>42.86</v>
      </c>
      <c r="G12">
        <v>42.64</v>
      </c>
      <c r="H12">
        <v>41.77</v>
      </c>
      <c r="I12">
        <v>42.85</v>
      </c>
      <c r="J12">
        <v>42.67</v>
      </c>
      <c r="M12" s="378"/>
      <c r="N12" s="206">
        <v>43.129999999999995</v>
      </c>
      <c r="O12" s="206">
        <v>42.98</v>
      </c>
      <c r="P12" s="206">
        <v>43.08</v>
      </c>
      <c r="Q12" s="206">
        <v>43.1</v>
      </c>
      <c r="R12" s="206">
        <v>43.28</v>
      </c>
      <c r="S12" s="206">
        <v>43.16</v>
      </c>
      <c r="T12" s="206">
        <v>42.14</v>
      </c>
      <c r="U12" s="206">
        <v>43.34</v>
      </c>
      <c r="V12" s="206">
        <v>43.160000000000004</v>
      </c>
      <c r="W12" s="214">
        <v>37</v>
      </c>
      <c r="Z12" s="23" t="str">
        <v>13/02/2024  00:05</v>
      </c>
      <c r="AA12" s="27">
        <v>41.3</v>
      </c>
      <c r="AB12" s="27">
        <v>41.2</v>
      </c>
      <c r="AC12" s="27">
        <v>42.2</v>
      </c>
    </row>
    <row r="13" spans="1:31" ht="14.45" customHeight="1" x14ac:dyDescent="0.25">
      <c r="A13" t="str">
        <v>13/02/2024  00:06</v>
      </c>
      <c r="B13">
        <v>42.81</v>
      </c>
      <c r="C13">
        <v>42.81</v>
      </c>
      <c r="D13">
        <v>42.67</v>
      </c>
      <c r="E13">
        <v>42.87</v>
      </c>
      <c r="F13">
        <v>43</v>
      </c>
      <c r="G13">
        <v>42.74</v>
      </c>
      <c r="H13">
        <v>41.97</v>
      </c>
      <c r="I13">
        <v>43.02</v>
      </c>
      <c r="J13">
        <v>42.82</v>
      </c>
      <c r="M13" s="378"/>
      <c r="N13" s="206">
        <v>43.29</v>
      </c>
      <c r="O13" s="206">
        <v>43.1</v>
      </c>
      <c r="P13" s="206">
        <v>43.19</v>
      </c>
      <c r="Q13" s="206">
        <v>43.199999999999996</v>
      </c>
      <c r="R13" s="206">
        <v>43.42</v>
      </c>
      <c r="S13" s="206">
        <v>43.26</v>
      </c>
      <c r="T13" s="206">
        <v>42.339999999999996</v>
      </c>
      <c r="U13" s="206">
        <v>43.510000000000005</v>
      </c>
      <c r="V13" s="206">
        <v>43.31</v>
      </c>
      <c r="W13" s="214">
        <v>37.299999999999997</v>
      </c>
      <c r="Z13" s="23" t="str">
        <v>13/02/2024  00:06</v>
      </c>
      <c r="AA13" s="27">
        <v>41.5</v>
      </c>
      <c r="AB13" s="27">
        <v>41.4</v>
      </c>
      <c r="AC13" s="27">
        <v>42.4</v>
      </c>
    </row>
    <row r="14" spans="1:31" ht="14.45" customHeight="1" x14ac:dyDescent="0.25">
      <c r="A14" t="str">
        <v>13/02/2024  00:07</v>
      </c>
      <c r="B14">
        <v>42.91</v>
      </c>
      <c r="C14">
        <v>42.94</v>
      </c>
      <c r="D14">
        <v>42.78</v>
      </c>
      <c r="E14">
        <v>43.02</v>
      </c>
      <c r="F14">
        <v>43.14</v>
      </c>
      <c r="G14">
        <v>42.93</v>
      </c>
      <c r="H14">
        <v>42.14</v>
      </c>
      <c r="I14">
        <v>43.12</v>
      </c>
      <c r="J14">
        <v>42.98</v>
      </c>
      <c r="M14" s="378"/>
      <c r="N14" s="206">
        <v>43.389999999999993</v>
      </c>
      <c r="O14" s="206">
        <v>43.23</v>
      </c>
      <c r="P14" s="206">
        <v>43.3</v>
      </c>
      <c r="Q14" s="206">
        <v>43.35</v>
      </c>
      <c r="R14" s="206">
        <v>43.56</v>
      </c>
      <c r="S14" s="206">
        <v>43.449999999999996</v>
      </c>
      <c r="T14" s="206">
        <v>42.51</v>
      </c>
      <c r="U14" s="206">
        <v>43.61</v>
      </c>
      <c r="V14" s="206">
        <v>43.47</v>
      </c>
      <c r="W14" s="214">
        <v>37.6</v>
      </c>
      <c r="Z14" s="23" t="str">
        <v>13/02/2024  00:07</v>
      </c>
      <c r="AA14" s="27">
        <v>41.6</v>
      </c>
      <c r="AB14" s="27">
        <v>41.6</v>
      </c>
      <c r="AC14" s="27">
        <v>42.6</v>
      </c>
    </row>
    <row r="15" spans="1:31" ht="14.45" customHeight="1" x14ac:dyDescent="0.25">
      <c r="A15" t="str">
        <v>13/02/2024  00:08</v>
      </c>
      <c r="B15">
        <v>43.07</v>
      </c>
      <c r="C15">
        <v>43.04</v>
      </c>
      <c r="D15">
        <v>42.92</v>
      </c>
      <c r="E15">
        <v>43.15</v>
      </c>
      <c r="F15">
        <v>43.28</v>
      </c>
      <c r="G15">
        <v>43.1</v>
      </c>
      <c r="H15">
        <v>42.27</v>
      </c>
      <c r="I15">
        <v>43.29</v>
      </c>
      <c r="J15">
        <v>43.11</v>
      </c>
      <c r="M15" s="378"/>
      <c r="N15" s="206">
        <v>43.55</v>
      </c>
      <c r="O15" s="206">
        <v>43.33</v>
      </c>
      <c r="P15" s="206">
        <v>43.44</v>
      </c>
      <c r="Q15" s="206">
        <v>43.48</v>
      </c>
      <c r="R15" s="206">
        <v>43.7</v>
      </c>
      <c r="S15" s="206">
        <v>43.62</v>
      </c>
      <c r="T15" s="206">
        <v>42.64</v>
      </c>
      <c r="U15" s="206">
        <v>43.78</v>
      </c>
      <c r="V15" s="206">
        <v>43.6</v>
      </c>
      <c r="W15" s="214">
        <v>38</v>
      </c>
      <c r="Z15" s="23" t="str">
        <v>13/02/2024  00:08</v>
      </c>
      <c r="AA15" s="27">
        <v>41.8</v>
      </c>
      <c r="AB15" s="27">
        <v>41.7</v>
      </c>
      <c r="AC15" s="27">
        <v>42.7</v>
      </c>
    </row>
    <row r="16" spans="1:31" ht="14.45" customHeight="1" x14ac:dyDescent="0.25">
      <c r="A16" t="str">
        <v>13/02/2024  00:09</v>
      </c>
      <c r="B16">
        <v>43.3</v>
      </c>
      <c r="C16">
        <v>43.22</v>
      </c>
      <c r="D16">
        <v>43.09</v>
      </c>
      <c r="E16">
        <v>43.31</v>
      </c>
      <c r="F16">
        <v>43.42</v>
      </c>
      <c r="G16">
        <v>43.2</v>
      </c>
      <c r="H16">
        <v>42.49</v>
      </c>
      <c r="I16">
        <v>43.44</v>
      </c>
      <c r="J16">
        <v>43.26</v>
      </c>
      <c r="M16" s="378"/>
      <c r="N16" s="206">
        <v>43.779999999999994</v>
      </c>
      <c r="O16" s="206">
        <v>43.51</v>
      </c>
      <c r="P16" s="206">
        <v>43.61</v>
      </c>
      <c r="Q16" s="206">
        <v>43.64</v>
      </c>
      <c r="R16" s="206">
        <v>43.84</v>
      </c>
      <c r="S16" s="206">
        <v>43.72</v>
      </c>
      <c r="T16" s="206">
        <v>42.86</v>
      </c>
      <c r="U16" s="206">
        <v>43.93</v>
      </c>
      <c r="V16" s="206">
        <v>43.75</v>
      </c>
      <c r="W16" s="214">
        <v>38.299999999999997</v>
      </c>
      <c r="Z16" s="23" t="str">
        <v>13/02/2024  00:09</v>
      </c>
      <c r="AA16" s="27">
        <v>41.9</v>
      </c>
      <c r="AB16" s="27">
        <v>41.9</v>
      </c>
      <c r="AC16" s="27">
        <v>42.9</v>
      </c>
    </row>
    <row r="17" spans="1:29" ht="14.45" customHeight="1" x14ac:dyDescent="0.25">
      <c r="A17" t="str">
        <v>13/02/2024  00:10</v>
      </c>
      <c r="B17">
        <v>43.33</v>
      </c>
      <c r="C17">
        <v>43.32</v>
      </c>
      <c r="D17">
        <v>43.18</v>
      </c>
      <c r="E17">
        <v>43.44</v>
      </c>
      <c r="F17">
        <v>43.54</v>
      </c>
      <c r="G17">
        <v>43.36</v>
      </c>
      <c r="H17">
        <v>42.63</v>
      </c>
      <c r="I17">
        <v>43.58</v>
      </c>
      <c r="J17">
        <v>43.41</v>
      </c>
      <c r="M17" s="378"/>
      <c r="N17" s="206">
        <v>43.809999999999995</v>
      </c>
      <c r="O17" s="206">
        <v>43.61</v>
      </c>
      <c r="P17" s="206">
        <v>43.699999999999996</v>
      </c>
      <c r="Q17" s="206">
        <v>43.769999999999996</v>
      </c>
      <c r="R17" s="206">
        <v>43.96</v>
      </c>
      <c r="S17" s="206">
        <v>43.879999999999995</v>
      </c>
      <c r="T17" s="206">
        <v>43</v>
      </c>
      <c r="U17" s="206">
        <v>44.07</v>
      </c>
      <c r="V17" s="206">
        <v>43.9</v>
      </c>
      <c r="W17" s="214">
        <v>38.6</v>
      </c>
      <c r="Z17" s="23" t="str">
        <v>13/02/2024  00:10</v>
      </c>
      <c r="AA17" s="27">
        <v>42.1</v>
      </c>
      <c r="AB17" s="27">
        <v>42</v>
      </c>
      <c r="AC17" s="27">
        <v>43</v>
      </c>
    </row>
    <row r="18" spans="1:29" ht="14.45" customHeight="1" x14ac:dyDescent="0.25">
      <c r="A18" t="str">
        <v>13/02/2024  00:11</v>
      </c>
      <c r="B18">
        <v>43.49</v>
      </c>
      <c r="C18">
        <v>43.5</v>
      </c>
      <c r="D18">
        <v>43.35</v>
      </c>
      <c r="E18">
        <v>43.56</v>
      </c>
      <c r="F18">
        <v>43.69</v>
      </c>
      <c r="G18">
        <v>43.57</v>
      </c>
      <c r="H18">
        <v>42.8</v>
      </c>
      <c r="I18">
        <v>43.7</v>
      </c>
      <c r="J18">
        <v>43.52</v>
      </c>
      <c r="M18" s="378"/>
      <c r="N18" s="206">
        <v>43.97</v>
      </c>
      <c r="O18" s="206">
        <v>43.79</v>
      </c>
      <c r="P18" s="206">
        <v>43.87</v>
      </c>
      <c r="Q18" s="206">
        <v>43.89</v>
      </c>
      <c r="R18" s="206">
        <v>44.11</v>
      </c>
      <c r="S18" s="206">
        <v>44.089999999999996</v>
      </c>
      <c r="T18" s="206">
        <v>43.169999999999995</v>
      </c>
      <c r="U18" s="206">
        <v>44.190000000000005</v>
      </c>
      <c r="V18" s="206">
        <v>44.010000000000005</v>
      </c>
      <c r="W18" s="214">
        <v>39</v>
      </c>
      <c r="Z18" s="23" t="str">
        <v>13/02/2024  00:11</v>
      </c>
      <c r="AA18" s="27">
        <v>42.2</v>
      </c>
      <c r="AB18" s="27">
        <v>42.2</v>
      </c>
      <c r="AC18" s="27">
        <v>43.2</v>
      </c>
    </row>
    <row r="19" spans="1:29" ht="14.45" customHeight="1" x14ac:dyDescent="0.25">
      <c r="A19" t="str">
        <v>13/02/2024  00:12</v>
      </c>
      <c r="B19">
        <v>43.62</v>
      </c>
      <c r="C19">
        <v>43.62</v>
      </c>
      <c r="D19">
        <v>43.45</v>
      </c>
      <c r="E19">
        <v>43.71</v>
      </c>
      <c r="F19">
        <v>43.77</v>
      </c>
      <c r="G19">
        <v>43.66</v>
      </c>
      <c r="H19">
        <v>42.93</v>
      </c>
      <c r="I19">
        <v>43.81</v>
      </c>
      <c r="J19">
        <v>43.64</v>
      </c>
      <c r="M19" s="378"/>
      <c r="N19" s="206">
        <v>44.099999999999994</v>
      </c>
      <c r="O19" s="206">
        <v>43.91</v>
      </c>
      <c r="P19" s="206">
        <v>43.97</v>
      </c>
      <c r="Q19" s="206">
        <v>44.04</v>
      </c>
      <c r="R19" s="206">
        <v>44.190000000000005</v>
      </c>
      <c r="S19" s="206">
        <v>44.179999999999993</v>
      </c>
      <c r="T19" s="206">
        <v>43.3</v>
      </c>
      <c r="U19" s="206">
        <v>44.300000000000004</v>
      </c>
      <c r="V19" s="206">
        <v>44.13</v>
      </c>
      <c r="W19" s="214">
        <v>39.299999999999997</v>
      </c>
      <c r="Z19" s="23" t="str">
        <v>13/02/2024  00:12</v>
      </c>
      <c r="AA19" s="27">
        <v>42.4</v>
      </c>
      <c r="AB19" s="27">
        <v>42.4</v>
      </c>
      <c r="AC19" s="27">
        <v>43.3</v>
      </c>
    </row>
    <row r="20" spans="1:29" ht="14.45" customHeight="1" x14ac:dyDescent="0.25">
      <c r="A20" t="str">
        <v>13/02/2024  00:13</v>
      </c>
      <c r="B20">
        <v>43.73</v>
      </c>
      <c r="C20">
        <v>43.75</v>
      </c>
      <c r="D20">
        <v>43.57</v>
      </c>
      <c r="E20">
        <v>43.77</v>
      </c>
      <c r="F20">
        <v>43.89</v>
      </c>
      <c r="G20">
        <v>43.81</v>
      </c>
      <c r="H20">
        <v>43.06</v>
      </c>
      <c r="I20">
        <v>43.92</v>
      </c>
      <c r="J20">
        <v>43.76</v>
      </c>
      <c r="M20" s="378"/>
      <c r="N20" s="206">
        <v>44.209999999999994</v>
      </c>
      <c r="O20" s="206">
        <v>44.04</v>
      </c>
      <c r="P20" s="206">
        <v>44.089999999999996</v>
      </c>
      <c r="Q20" s="206">
        <v>44.1</v>
      </c>
      <c r="R20" s="206">
        <v>44.31</v>
      </c>
      <c r="S20" s="206">
        <v>44.33</v>
      </c>
      <c r="T20" s="206">
        <v>43.43</v>
      </c>
      <c r="U20" s="206">
        <v>44.410000000000004</v>
      </c>
      <c r="V20" s="206">
        <v>44.25</v>
      </c>
      <c r="W20" s="214">
        <v>39.6</v>
      </c>
      <c r="Z20" s="23" t="str">
        <v>13/02/2024  00:13</v>
      </c>
      <c r="AA20" s="27">
        <v>42.4</v>
      </c>
      <c r="AB20" s="27">
        <v>42.5</v>
      </c>
      <c r="AC20" s="27">
        <v>43.5</v>
      </c>
    </row>
    <row r="21" spans="1:29" ht="14.45" customHeight="1" x14ac:dyDescent="0.25">
      <c r="A21" t="str">
        <v>13/02/2024  00:14</v>
      </c>
      <c r="B21">
        <v>43.85</v>
      </c>
      <c r="C21">
        <v>43.83</v>
      </c>
      <c r="D21">
        <v>43.72</v>
      </c>
      <c r="E21">
        <v>43.96</v>
      </c>
      <c r="F21">
        <v>44.03</v>
      </c>
      <c r="G21">
        <v>43.85</v>
      </c>
      <c r="H21">
        <v>43.17</v>
      </c>
      <c r="I21">
        <v>44.03</v>
      </c>
      <c r="J21">
        <v>43.85</v>
      </c>
      <c r="M21" s="378"/>
      <c r="N21" s="206">
        <v>44.33</v>
      </c>
      <c r="O21" s="206">
        <v>44.12</v>
      </c>
      <c r="P21" s="206">
        <v>44.239999999999995</v>
      </c>
      <c r="Q21" s="206">
        <v>44.29</v>
      </c>
      <c r="R21" s="206">
        <v>44.45</v>
      </c>
      <c r="S21" s="206">
        <v>44.37</v>
      </c>
      <c r="T21" s="206">
        <v>43.54</v>
      </c>
      <c r="U21" s="206">
        <v>44.52</v>
      </c>
      <c r="V21" s="206">
        <v>44.34</v>
      </c>
      <c r="W21" s="214">
        <v>40</v>
      </c>
      <c r="Z21" s="23" t="str">
        <v>13/02/2024  00:14</v>
      </c>
      <c r="AA21" s="27">
        <v>42.6</v>
      </c>
      <c r="AB21" s="27">
        <v>42.6</v>
      </c>
      <c r="AC21" s="27">
        <v>43.6</v>
      </c>
    </row>
    <row r="22" spans="1:29" ht="14.45" customHeight="1" x14ac:dyDescent="0.25">
      <c r="A22" t="str">
        <v>13/02/2024  00:15</v>
      </c>
      <c r="B22">
        <v>44</v>
      </c>
      <c r="C22">
        <v>43.95</v>
      </c>
      <c r="D22">
        <v>43.81</v>
      </c>
      <c r="E22">
        <v>44.03</v>
      </c>
      <c r="F22">
        <v>44.14</v>
      </c>
      <c r="G22">
        <v>44.04</v>
      </c>
      <c r="H22">
        <v>43.36</v>
      </c>
      <c r="I22">
        <v>44.13</v>
      </c>
      <c r="J22">
        <v>43.99</v>
      </c>
      <c r="M22" s="378"/>
      <c r="N22" s="206">
        <v>44.48</v>
      </c>
      <c r="O22" s="206">
        <v>44.24</v>
      </c>
      <c r="P22" s="206">
        <v>44.33</v>
      </c>
      <c r="Q22" s="206">
        <v>44.36</v>
      </c>
      <c r="R22" s="206">
        <v>44.56</v>
      </c>
      <c r="S22" s="206">
        <v>44.559999999999995</v>
      </c>
      <c r="T22" s="206">
        <v>43.73</v>
      </c>
      <c r="U22" s="206">
        <v>44.620000000000005</v>
      </c>
      <c r="V22" s="206">
        <v>44.480000000000004</v>
      </c>
      <c r="W22" s="214">
        <v>40.299999999999997</v>
      </c>
      <c r="Z22" s="23" t="str">
        <v>13/02/2024  00:15</v>
      </c>
      <c r="AA22" s="27">
        <v>42.7</v>
      </c>
      <c r="AB22" s="27">
        <v>42.7</v>
      </c>
      <c r="AC22" s="27">
        <v>43.7</v>
      </c>
    </row>
    <row r="23" spans="1:29" ht="14.45" customHeight="1" x14ac:dyDescent="0.25">
      <c r="A23" t="str">
        <v>13/02/2024  00:16</v>
      </c>
      <c r="B23">
        <v>44.09</v>
      </c>
      <c r="C23">
        <v>44.13</v>
      </c>
      <c r="D23">
        <v>43.94</v>
      </c>
      <c r="E23">
        <v>44.15</v>
      </c>
      <c r="F23">
        <v>44.26</v>
      </c>
      <c r="G23">
        <v>44.11</v>
      </c>
      <c r="H23">
        <v>43.42</v>
      </c>
      <c r="I23">
        <v>44.26</v>
      </c>
      <c r="J23">
        <v>44.12</v>
      </c>
      <c r="M23" s="378"/>
      <c r="N23" s="206">
        <v>44.57</v>
      </c>
      <c r="O23" s="206">
        <v>44.42</v>
      </c>
      <c r="P23" s="206">
        <v>44.459999999999994</v>
      </c>
      <c r="Q23" s="206">
        <v>44.48</v>
      </c>
      <c r="R23" s="206">
        <v>44.68</v>
      </c>
      <c r="S23" s="206">
        <v>44.629999999999995</v>
      </c>
      <c r="T23" s="206">
        <v>43.79</v>
      </c>
      <c r="U23" s="206">
        <v>44.75</v>
      </c>
      <c r="V23" s="206">
        <v>44.61</v>
      </c>
      <c r="W23" s="214">
        <v>40.6</v>
      </c>
      <c r="Z23" s="23" t="str">
        <v>13/02/2024  00:16</v>
      </c>
      <c r="AA23" s="27">
        <v>42.8</v>
      </c>
      <c r="AB23" s="27">
        <v>42.9</v>
      </c>
      <c r="AC23" s="27">
        <v>43.9</v>
      </c>
    </row>
    <row r="24" spans="1:29" ht="14.45" customHeight="1" x14ac:dyDescent="0.25">
      <c r="A24" t="str">
        <v>13/02/2024  00:17</v>
      </c>
      <c r="B24">
        <v>44.18</v>
      </c>
      <c r="C24">
        <v>44.2</v>
      </c>
      <c r="D24">
        <v>44.02</v>
      </c>
      <c r="E24">
        <v>44.23</v>
      </c>
      <c r="F24">
        <v>44.35</v>
      </c>
      <c r="G24">
        <v>44.24</v>
      </c>
      <c r="H24">
        <v>43.59</v>
      </c>
      <c r="I24">
        <v>44.39</v>
      </c>
      <c r="J24">
        <v>44.27</v>
      </c>
      <c r="M24" s="378"/>
      <c r="N24" s="206">
        <v>44.66</v>
      </c>
      <c r="O24" s="206">
        <v>44.49</v>
      </c>
      <c r="P24" s="206">
        <v>44.54</v>
      </c>
      <c r="Q24" s="206">
        <v>44.559999999999995</v>
      </c>
      <c r="R24" s="206">
        <v>44.77</v>
      </c>
      <c r="S24" s="206">
        <v>44.76</v>
      </c>
      <c r="T24" s="206">
        <v>43.96</v>
      </c>
      <c r="U24" s="206">
        <v>44.88</v>
      </c>
      <c r="V24" s="206">
        <v>44.760000000000005</v>
      </c>
      <c r="W24" s="214">
        <v>41</v>
      </c>
      <c r="Z24" s="23" t="str">
        <v>13/02/2024  00:17</v>
      </c>
      <c r="AA24" s="27">
        <v>42.9</v>
      </c>
      <c r="AB24" s="27">
        <v>43</v>
      </c>
      <c r="AC24" s="27">
        <v>44</v>
      </c>
    </row>
    <row r="25" spans="1:29" ht="14.45" customHeight="1" x14ac:dyDescent="0.25">
      <c r="A25" t="str">
        <v>13/02/2024  00:18</v>
      </c>
      <c r="B25">
        <v>44.29</v>
      </c>
      <c r="C25">
        <v>44.31</v>
      </c>
      <c r="D25">
        <v>44.16</v>
      </c>
      <c r="E25">
        <v>44.37</v>
      </c>
      <c r="F25">
        <v>44.49</v>
      </c>
      <c r="G25">
        <v>44.37</v>
      </c>
      <c r="H25">
        <v>43.76</v>
      </c>
      <c r="I25">
        <v>44.52</v>
      </c>
      <c r="J25">
        <v>44.36</v>
      </c>
      <c r="M25" s="378"/>
      <c r="N25" s="206">
        <v>44.769999999999996</v>
      </c>
      <c r="O25" s="206">
        <v>44.6</v>
      </c>
      <c r="P25" s="206">
        <v>44.679999999999993</v>
      </c>
      <c r="Q25" s="206">
        <v>44.699999999999996</v>
      </c>
      <c r="R25" s="206">
        <v>44.910000000000004</v>
      </c>
      <c r="S25" s="206">
        <v>44.889999999999993</v>
      </c>
      <c r="T25" s="206">
        <v>44.129999999999995</v>
      </c>
      <c r="U25" s="206">
        <v>45.010000000000005</v>
      </c>
      <c r="V25" s="206">
        <v>44.85</v>
      </c>
      <c r="W25" s="214">
        <v>41.3</v>
      </c>
      <c r="Z25" s="23" t="str">
        <v>13/02/2024  00:18</v>
      </c>
      <c r="AA25" s="27">
        <v>43</v>
      </c>
      <c r="AB25" s="27">
        <v>43.1</v>
      </c>
      <c r="AC25" s="27">
        <v>44.1</v>
      </c>
    </row>
    <row r="26" spans="1:29" ht="14.45" customHeight="1" x14ac:dyDescent="0.25">
      <c r="A26" t="str">
        <v>13/02/2024  00:19</v>
      </c>
      <c r="B26">
        <v>44.44</v>
      </c>
      <c r="C26">
        <v>44.42</v>
      </c>
      <c r="D26">
        <v>44.26</v>
      </c>
      <c r="E26">
        <v>44.52</v>
      </c>
      <c r="F26">
        <v>44.6</v>
      </c>
      <c r="G26">
        <v>44.43</v>
      </c>
      <c r="H26">
        <v>43.84</v>
      </c>
      <c r="I26">
        <v>44.6</v>
      </c>
      <c r="J26">
        <v>44.5</v>
      </c>
      <c r="M26" s="378"/>
      <c r="N26" s="206">
        <v>44.919999999999995</v>
      </c>
      <c r="O26" s="206">
        <v>44.71</v>
      </c>
      <c r="P26" s="206">
        <v>44.779999999999994</v>
      </c>
      <c r="Q26" s="206">
        <v>44.85</v>
      </c>
      <c r="R26" s="206">
        <v>45.02</v>
      </c>
      <c r="S26" s="206">
        <v>44.949999999999996</v>
      </c>
      <c r="T26" s="206">
        <v>44.21</v>
      </c>
      <c r="U26" s="206">
        <v>45.09</v>
      </c>
      <c r="V26" s="206">
        <v>44.99</v>
      </c>
      <c r="W26" s="214">
        <v>41.6</v>
      </c>
      <c r="Z26" s="23" t="str">
        <v>13/02/2024  00:19</v>
      </c>
      <c r="AA26" s="27">
        <v>43.1</v>
      </c>
      <c r="AB26" s="27">
        <v>43.2</v>
      </c>
      <c r="AC26" s="27">
        <v>44.2</v>
      </c>
    </row>
    <row r="27" spans="1:29" ht="14.45" customHeight="1" x14ac:dyDescent="0.25">
      <c r="A27" t="str">
        <v>13/02/2024  00:20</v>
      </c>
      <c r="B27">
        <v>44.49</v>
      </c>
      <c r="C27">
        <v>44.47</v>
      </c>
      <c r="D27">
        <v>44.37</v>
      </c>
      <c r="E27">
        <v>44.57</v>
      </c>
      <c r="F27">
        <v>44.75</v>
      </c>
      <c r="G27">
        <v>44.64</v>
      </c>
      <c r="H27">
        <v>44</v>
      </c>
      <c r="I27">
        <v>44.69</v>
      </c>
      <c r="J27">
        <v>44.6</v>
      </c>
      <c r="M27" s="378"/>
      <c r="N27" s="206">
        <v>44.97</v>
      </c>
      <c r="O27" s="206">
        <v>44.76</v>
      </c>
      <c r="P27" s="206">
        <v>44.889999999999993</v>
      </c>
      <c r="Q27" s="206">
        <v>44.9</v>
      </c>
      <c r="R27" s="206">
        <v>45.17</v>
      </c>
      <c r="S27" s="206">
        <v>45.16</v>
      </c>
      <c r="T27" s="206">
        <v>44.37</v>
      </c>
      <c r="U27" s="206">
        <v>45.18</v>
      </c>
      <c r="V27" s="206">
        <v>45.09</v>
      </c>
      <c r="W27" s="214">
        <v>42</v>
      </c>
      <c r="Z27" s="23" t="str">
        <v>13/02/2024  00:20</v>
      </c>
      <c r="AA27" s="27">
        <v>43.2</v>
      </c>
      <c r="AB27" s="27">
        <v>43.3</v>
      </c>
      <c r="AC27" s="27">
        <v>44.4</v>
      </c>
    </row>
    <row r="28" spans="1:29" ht="14.45" customHeight="1" x14ac:dyDescent="0.25">
      <c r="A28" t="str">
        <v>13/02/2024  00:21</v>
      </c>
      <c r="B28">
        <v>44.66</v>
      </c>
      <c r="C28">
        <v>44.67</v>
      </c>
      <c r="D28">
        <v>44.49</v>
      </c>
      <c r="E28">
        <v>44.7</v>
      </c>
      <c r="F28">
        <v>44.85</v>
      </c>
      <c r="G28">
        <v>44.66</v>
      </c>
      <c r="H28">
        <v>44.1</v>
      </c>
      <c r="I28">
        <v>44.8</v>
      </c>
      <c r="J28">
        <v>44.7</v>
      </c>
      <c r="M28" s="378"/>
      <c r="N28" s="206">
        <v>45.139999999999993</v>
      </c>
      <c r="O28" s="206">
        <v>44.96</v>
      </c>
      <c r="P28" s="206">
        <v>45.01</v>
      </c>
      <c r="Q28" s="206">
        <v>45.03</v>
      </c>
      <c r="R28" s="206">
        <v>45.27</v>
      </c>
      <c r="S28" s="206">
        <v>45.179999999999993</v>
      </c>
      <c r="T28" s="206">
        <v>44.47</v>
      </c>
      <c r="U28" s="206">
        <v>45.29</v>
      </c>
      <c r="V28" s="206">
        <v>45.190000000000005</v>
      </c>
      <c r="W28" s="214">
        <v>42.3</v>
      </c>
      <c r="Z28" s="23" t="str">
        <v>13/02/2024  00:21</v>
      </c>
      <c r="AA28" s="27">
        <v>43.4</v>
      </c>
      <c r="AB28" s="27">
        <v>43.4</v>
      </c>
      <c r="AC28" s="27">
        <v>44.5</v>
      </c>
    </row>
    <row r="29" spans="1:29" ht="14.45" customHeight="1" x14ac:dyDescent="0.25">
      <c r="A29" t="str">
        <v>13/02/2024  00:22</v>
      </c>
      <c r="B29">
        <v>44.74</v>
      </c>
      <c r="C29">
        <v>44.79</v>
      </c>
      <c r="D29">
        <v>44.58</v>
      </c>
      <c r="E29">
        <v>44.83</v>
      </c>
      <c r="F29">
        <v>44.93</v>
      </c>
      <c r="G29">
        <v>44.83</v>
      </c>
      <c r="H29">
        <v>44.3</v>
      </c>
      <c r="I29">
        <v>44.89</v>
      </c>
      <c r="J29">
        <v>44.76</v>
      </c>
      <c r="M29" s="378"/>
      <c r="N29" s="206">
        <v>45.22</v>
      </c>
      <c r="O29" s="206">
        <v>45.08</v>
      </c>
      <c r="P29" s="206">
        <v>45.099999999999994</v>
      </c>
      <c r="Q29" s="206">
        <v>45.16</v>
      </c>
      <c r="R29" s="206">
        <v>45.35</v>
      </c>
      <c r="S29" s="206">
        <v>45.349999999999994</v>
      </c>
      <c r="T29" s="206">
        <v>44.669999999999995</v>
      </c>
      <c r="U29" s="206">
        <v>45.38</v>
      </c>
      <c r="V29" s="206">
        <v>45.25</v>
      </c>
      <c r="W29" s="214">
        <v>42.6</v>
      </c>
      <c r="Z29" s="23" t="str">
        <v>13/02/2024  00:22</v>
      </c>
      <c r="AA29" s="27">
        <v>43.5</v>
      </c>
      <c r="AB29" s="27">
        <v>43.6</v>
      </c>
      <c r="AC29" s="27">
        <v>44.6</v>
      </c>
    </row>
    <row r="30" spans="1:29" ht="14.45" customHeight="1" x14ac:dyDescent="0.25">
      <c r="A30" t="str">
        <v>13/02/2024  00:23</v>
      </c>
      <c r="B30">
        <v>44.88</v>
      </c>
      <c r="C30">
        <v>44.87</v>
      </c>
      <c r="D30">
        <v>44.7</v>
      </c>
      <c r="E30">
        <v>44.93</v>
      </c>
      <c r="F30">
        <v>45.01</v>
      </c>
      <c r="G30">
        <v>44.96</v>
      </c>
      <c r="H30">
        <v>44.35</v>
      </c>
      <c r="I30">
        <v>45</v>
      </c>
      <c r="J30">
        <v>44.9</v>
      </c>
      <c r="M30" s="378"/>
      <c r="N30" s="206">
        <v>45.36</v>
      </c>
      <c r="O30" s="206">
        <v>45.16</v>
      </c>
      <c r="P30" s="206">
        <v>45.22</v>
      </c>
      <c r="Q30" s="206">
        <v>45.26</v>
      </c>
      <c r="R30" s="206">
        <v>45.43</v>
      </c>
      <c r="S30" s="206">
        <v>45.48</v>
      </c>
      <c r="T30" s="206">
        <v>44.72</v>
      </c>
      <c r="U30" s="206">
        <v>45.49</v>
      </c>
      <c r="V30" s="206">
        <v>45.39</v>
      </c>
      <c r="W30" s="214">
        <v>43</v>
      </c>
      <c r="Z30" s="23" t="str">
        <v>13/02/2024  00:23</v>
      </c>
      <c r="AA30" s="27">
        <v>43.6</v>
      </c>
      <c r="AB30" s="27">
        <v>43.7</v>
      </c>
      <c r="AC30" s="27">
        <v>44.7</v>
      </c>
    </row>
    <row r="31" spans="1:29" ht="14.45" customHeight="1" x14ac:dyDescent="0.25">
      <c r="A31" t="str">
        <v>13/02/2024  00:24</v>
      </c>
      <c r="B31">
        <v>45.02</v>
      </c>
      <c r="C31">
        <v>44.96</v>
      </c>
      <c r="D31">
        <v>44.85</v>
      </c>
      <c r="E31">
        <v>45.02</v>
      </c>
      <c r="F31">
        <v>45.11</v>
      </c>
      <c r="G31">
        <v>45.06</v>
      </c>
      <c r="H31">
        <v>44.47</v>
      </c>
      <c r="I31">
        <v>45.13</v>
      </c>
      <c r="J31">
        <v>44.99</v>
      </c>
      <c r="M31" s="378"/>
      <c r="N31" s="206">
        <v>45.5</v>
      </c>
      <c r="O31" s="206">
        <v>45.25</v>
      </c>
      <c r="P31" s="206">
        <v>45.37</v>
      </c>
      <c r="Q31" s="206">
        <v>45.35</v>
      </c>
      <c r="R31" s="206">
        <v>45.53</v>
      </c>
      <c r="S31" s="206">
        <v>45.58</v>
      </c>
      <c r="T31" s="206">
        <v>44.839999999999996</v>
      </c>
      <c r="U31" s="206">
        <v>45.620000000000005</v>
      </c>
      <c r="V31" s="206">
        <v>45.480000000000004</v>
      </c>
      <c r="W31" s="214">
        <v>43.3</v>
      </c>
      <c r="Z31" s="23" t="str">
        <v>13/02/2024  00:24</v>
      </c>
      <c r="AA31" s="27">
        <v>43.7</v>
      </c>
      <c r="AB31" s="27">
        <v>43.8</v>
      </c>
      <c r="AC31" s="27">
        <v>44.8</v>
      </c>
    </row>
    <row r="32" spans="1:29" ht="14.45" customHeight="1" x14ac:dyDescent="0.25">
      <c r="A32" t="str">
        <v>13/02/2024  00:25</v>
      </c>
      <c r="B32">
        <v>45.07</v>
      </c>
      <c r="C32">
        <v>45.03</v>
      </c>
      <c r="D32">
        <v>44.89</v>
      </c>
      <c r="E32">
        <v>45.12</v>
      </c>
      <c r="F32">
        <v>45.21</v>
      </c>
      <c r="G32">
        <v>45.11</v>
      </c>
      <c r="H32">
        <v>44.57</v>
      </c>
      <c r="I32">
        <v>45.2</v>
      </c>
      <c r="J32">
        <v>45.05</v>
      </c>
      <c r="M32" s="378"/>
      <c r="N32" s="206">
        <v>45.55</v>
      </c>
      <c r="O32" s="206">
        <v>45.32</v>
      </c>
      <c r="P32" s="206">
        <v>45.41</v>
      </c>
      <c r="Q32" s="206">
        <v>45.449999999999996</v>
      </c>
      <c r="R32" s="206">
        <v>45.63</v>
      </c>
      <c r="S32" s="206">
        <v>45.629999999999995</v>
      </c>
      <c r="T32" s="206">
        <v>44.94</v>
      </c>
      <c r="U32" s="206">
        <v>45.690000000000005</v>
      </c>
      <c r="V32" s="206">
        <v>45.54</v>
      </c>
      <c r="W32" s="214">
        <v>43.6</v>
      </c>
      <c r="Z32" s="23" t="str">
        <v>13/02/2024  00:25</v>
      </c>
      <c r="AA32" s="27">
        <v>43.8</v>
      </c>
      <c r="AB32" s="27">
        <v>43.9</v>
      </c>
      <c r="AC32" s="27">
        <v>44.9</v>
      </c>
    </row>
    <row r="33" spans="1:29" ht="14.45" customHeight="1" x14ac:dyDescent="0.25">
      <c r="A33" t="str">
        <v>13/02/2024  00:26</v>
      </c>
      <c r="B33">
        <v>45.16</v>
      </c>
      <c r="C33">
        <v>45.13</v>
      </c>
      <c r="D33">
        <v>45.01</v>
      </c>
      <c r="E33">
        <v>45.25</v>
      </c>
      <c r="F33">
        <v>45.33</v>
      </c>
      <c r="G33">
        <v>45.27</v>
      </c>
      <c r="H33">
        <v>44.64</v>
      </c>
      <c r="I33">
        <v>45.35</v>
      </c>
      <c r="J33">
        <v>45.18</v>
      </c>
      <c r="M33" s="378"/>
      <c r="N33" s="206">
        <v>45.639999999999993</v>
      </c>
      <c r="O33" s="206">
        <v>45.42</v>
      </c>
      <c r="P33" s="206">
        <v>45.529999999999994</v>
      </c>
      <c r="Q33" s="206">
        <v>45.58</v>
      </c>
      <c r="R33" s="206">
        <v>45.75</v>
      </c>
      <c r="S33" s="206">
        <v>45.79</v>
      </c>
      <c r="T33" s="206">
        <v>45.01</v>
      </c>
      <c r="U33" s="206">
        <v>45.84</v>
      </c>
      <c r="V33" s="206">
        <v>45.67</v>
      </c>
      <c r="W33" s="214">
        <v>44</v>
      </c>
      <c r="Z33" s="23" t="str">
        <v>13/02/2024  00:26</v>
      </c>
      <c r="AA33" s="27">
        <v>43.9</v>
      </c>
      <c r="AB33" s="27">
        <v>44</v>
      </c>
      <c r="AC33" s="27">
        <v>45</v>
      </c>
    </row>
    <row r="34" spans="1:29" ht="14.45" customHeight="1" x14ac:dyDescent="0.25">
      <c r="A34" t="str">
        <v>13/02/2024  00:27</v>
      </c>
      <c r="B34">
        <v>45.3</v>
      </c>
      <c r="C34">
        <v>45.27</v>
      </c>
      <c r="D34">
        <v>45.12</v>
      </c>
      <c r="E34">
        <v>45.33</v>
      </c>
      <c r="F34">
        <v>45.46</v>
      </c>
      <c r="G34">
        <v>45.35</v>
      </c>
      <c r="H34">
        <v>44.77</v>
      </c>
      <c r="I34">
        <v>45.4</v>
      </c>
      <c r="J34">
        <v>45.27</v>
      </c>
      <c r="M34" s="378"/>
      <c r="N34" s="206">
        <v>45.779999999999994</v>
      </c>
      <c r="O34" s="206">
        <v>45.56</v>
      </c>
      <c r="P34" s="206">
        <v>45.639999999999993</v>
      </c>
      <c r="Q34" s="206">
        <v>45.66</v>
      </c>
      <c r="R34" s="206">
        <v>45.88</v>
      </c>
      <c r="S34" s="206">
        <v>45.87</v>
      </c>
      <c r="T34" s="206">
        <v>45.14</v>
      </c>
      <c r="U34" s="206">
        <v>45.89</v>
      </c>
      <c r="V34" s="206">
        <v>45.760000000000005</v>
      </c>
      <c r="W34" s="214">
        <v>44.3</v>
      </c>
      <c r="Z34" s="23" t="str">
        <v>13/02/2024  00:27</v>
      </c>
      <c r="AA34" s="27">
        <v>44</v>
      </c>
      <c r="AB34" s="27">
        <v>44.1</v>
      </c>
      <c r="AC34" s="27">
        <v>45.1</v>
      </c>
    </row>
    <row r="35" spans="1:29" ht="14.45" customHeight="1" x14ac:dyDescent="0.25">
      <c r="A35" t="str">
        <v>13/02/2024  00:28</v>
      </c>
      <c r="B35">
        <v>45.4</v>
      </c>
      <c r="C35">
        <v>45.35</v>
      </c>
      <c r="D35">
        <v>45.17</v>
      </c>
      <c r="E35">
        <v>45.37</v>
      </c>
      <c r="F35">
        <v>45.51</v>
      </c>
      <c r="G35">
        <v>45.44</v>
      </c>
      <c r="H35">
        <v>44.82</v>
      </c>
      <c r="I35">
        <v>45.51</v>
      </c>
      <c r="J35">
        <v>45.39</v>
      </c>
      <c r="M35" s="378"/>
      <c r="N35" s="206">
        <v>45.879999999999995</v>
      </c>
      <c r="O35" s="206">
        <v>45.64</v>
      </c>
      <c r="P35" s="206">
        <v>45.69</v>
      </c>
      <c r="Q35" s="206">
        <v>45.699999999999996</v>
      </c>
      <c r="R35" s="206">
        <v>45.93</v>
      </c>
      <c r="S35" s="206">
        <v>45.959999999999994</v>
      </c>
      <c r="T35" s="206">
        <v>45.19</v>
      </c>
      <c r="U35" s="206">
        <v>46</v>
      </c>
      <c r="V35" s="206">
        <v>45.88</v>
      </c>
      <c r="W35" s="214">
        <v>44.6</v>
      </c>
      <c r="Z35" s="23" t="str">
        <v>13/02/2024  00:28</v>
      </c>
      <c r="AA35" s="27">
        <v>44.1</v>
      </c>
      <c r="AB35" s="27">
        <v>44.2</v>
      </c>
      <c r="AC35" s="27">
        <v>45.2</v>
      </c>
    </row>
    <row r="36" spans="1:29" ht="14.45" customHeight="1" x14ac:dyDescent="0.25">
      <c r="A36" t="str">
        <v>13/02/2024  00:29</v>
      </c>
      <c r="B36">
        <v>45.5</v>
      </c>
      <c r="C36">
        <v>45.44</v>
      </c>
      <c r="D36">
        <v>45.3</v>
      </c>
      <c r="E36">
        <v>45.53</v>
      </c>
      <c r="F36">
        <v>45.62</v>
      </c>
      <c r="G36">
        <v>45.56</v>
      </c>
      <c r="H36">
        <v>44.99</v>
      </c>
      <c r="I36">
        <v>45.58</v>
      </c>
      <c r="J36">
        <v>45.47</v>
      </c>
      <c r="M36" s="378"/>
      <c r="N36" s="206">
        <v>45.98</v>
      </c>
      <c r="O36" s="206">
        <v>45.73</v>
      </c>
      <c r="P36" s="206">
        <v>45.819999999999993</v>
      </c>
      <c r="Q36" s="206">
        <v>45.86</v>
      </c>
      <c r="R36" s="206">
        <v>46.04</v>
      </c>
      <c r="S36" s="206">
        <v>46.08</v>
      </c>
      <c r="T36" s="206">
        <v>45.36</v>
      </c>
      <c r="U36" s="206">
        <v>46.07</v>
      </c>
      <c r="V36" s="206">
        <v>45.96</v>
      </c>
      <c r="W36" s="214">
        <v>45</v>
      </c>
      <c r="Z36" s="23" t="str">
        <v>13/02/2024  00:29</v>
      </c>
      <c r="AA36" s="27">
        <v>44.2</v>
      </c>
      <c r="AB36" s="27">
        <v>44.3</v>
      </c>
      <c r="AC36" s="27">
        <v>45.3</v>
      </c>
    </row>
    <row r="37" spans="1:29" ht="14.45" customHeight="1" x14ac:dyDescent="0.25">
      <c r="A37" t="str">
        <v>13/02/2024  00:30</v>
      </c>
      <c r="B37">
        <v>45.5</v>
      </c>
      <c r="C37">
        <v>45.5</v>
      </c>
      <c r="D37">
        <v>45.34</v>
      </c>
      <c r="E37">
        <v>45.58</v>
      </c>
      <c r="F37">
        <v>45.66</v>
      </c>
      <c r="G37">
        <v>45.61</v>
      </c>
      <c r="H37">
        <v>45.1</v>
      </c>
      <c r="I37">
        <v>45.68</v>
      </c>
      <c r="J37">
        <v>45.55</v>
      </c>
      <c r="M37" s="378"/>
      <c r="N37" s="206">
        <v>45.98</v>
      </c>
      <c r="O37" s="206">
        <v>45.79</v>
      </c>
      <c r="P37" s="206">
        <v>45.86</v>
      </c>
      <c r="Q37" s="206">
        <v>45.91</v>
      </c>
      <c r="R37" s="206">
        <v>46.08</v>
      </c>
      <c r="S37" s="206">
        <v>46.129999999999995</v>
      </c>
      <c r="T37" s="206">
        <v>45.47</v>
      </c>
      <c r="U37" s="206">
        <v>46.17</v>
      </c>
      <c r="V37" s="206">
        <v>46.04</v>
      </c>
      <c r="W37" s="214">
        <v>45.3</v>
      </c>
      <c r="Z37" s="23" t="str">
        <v>13/02/2024  00:30</v>
      </c>
      <c r="AA37" s="27">
        <v>44.3</v>
      </c>
      <c r="AB37" s="27">
        <v>44.4</v>
      </c>
      <c r="AC37" s="27">
        <v>45.4</v>
      </c>
    </row>
    <row r="38" spans="1:29" ht="14.45" customHeight="1" x14ac:dyDescent="0.25">
      <c r="A38" t="str">
        <v>13/02/2024  00:31</v>
      </c>
      <c r="B38">
        <v>45.63</v>
      </c>
      <c r="C38">
        <v>45.61</v>
      </c>
      <c r="D38">
        <v>45.46</v>
      </c>
      <c r="E38">
        <v>45.68</v>
      </c>
      <c r="F38">
        <v>45.8</v>
      </c>
      <c r="G38">
        <v>45.75</v>
      </c>
      <c r="H38">
        <v>45.19</v>
      </c>
      <c r="I38">
        <v>45.8</v>
      </c>
      <c r="J38">
        <v>45.64</v>
      </c>
      <c r="M38" s="378"/>
      <c r="N38" s="206">
        <v>46.11</v>
      </c>
      <c r="O38" s="206">
        <v>45.9</v>
      </c>
      <c r="P38" s="206">
        <v>45.98</v>
      </c>
      <c r="Q38" s="206">
        <v>46.01</v>
      </c>
      <c r="R38" s="206">
        <v>46.22</v>
      </c>
      <c r="S38" s="206">
        <v>46.269999999999996</v>
      </c>
      <c r="T38" s="206">
        <v>45.559999999999995</v>
      </c>
      <c r="U38" s="206">
        <v>46.29</v>
      </c>
      <c r="V38" s="206">
        <v>46.13</v>
      </c>
      <c r="W38" s="214">
        <v>45.6</v>
      </c>
      <c r="Z38" s="23" t="str">
        <v>13/02/2024  00:31</v>
      </c>
      <c r="AA38" s="27">
        <v>44.4</v>
      </c>
      <c r="AB38" s="27">
        <v>44.5</v>
      </c>
      <c r="AC38" s="27">
        <v>45.5</v>
      </c>
    </row>
    <row r="39" spans="1:29" ht="14.45" customHeight="1" x14ac:dyDescent="0.25">
      <c r="A39" t="str">
        <v>13/02/2024  00:32</v>
      </c>
      <c r="B39">
        <v>45.73</v>
      </c>
      <c r="C39">
        <v>45.74</v>
      </c>
      <c r="D39">
        <v>45.58</v>
      </c>
      <c r="E39">
        <v>45.78</v>
      </c>
      <c r="F39">
        <v>45.88</v>
      </c>
      <c r="G39">
        <v>45.86</v>
      </c>
      <c r="H39">
        <v>45.33</v>
      </c>
      <c r="I39">
        <v>45.87</v>
      </c>
      <c r="J39">
        <v>45.73</v>
      </c>
      <c r="M39" s="378"/>
      <c r="N39" s="206">
        <v>46.209999999999994</v>
      </c>
      <c r="O39" s="206">
        <v>46.03</v>
      </c>
      <c r="P39" s="206">
        <v>46.099999999999994</v>
      </c>
      <c r="Q39" s="206">
        <v>46.11</v>
      </c>
      <c r="R39" s="206">
        <v>46.300000000000004</v>
      </c>
      <c r="S39" s="206">
        <v>46.379999999999995</v>
      </c>
      <c r="T39" s="206">
        <v>45.699999999999996</v>
      </c>
      <c r="U39" s="206">
        <v>46.36</v>
      </c>
      <c r="V39" s="206">
        <v>46.22</v>
      </c>
      <c r="W39" s="214">
        <v>46</v>
      </c>
      <c r="Z39" s="23" t="str">
        <v>13/02/2024  00:32</v>
      </c>
      <c r="AA39" s="27">
        <v>44.4</v>
      </c>
      <c r="AB39" s="27">
        <v>44.6</v>
      </c>
      <c r="AC39" s="27">
        <v>45.6</v>
      </c>
    </row>
    <row r="40" spans="1:29" ht="14.45" customHeight="1" x14ac:dyDescent="0.25">
      <c r="A40" t="str">
        <v>13/02/2024  00:33</v>
      </c>
      <c r="B40">
        <v>45.8</v>
      </c>
      <c r="C40">
        <v>45.85</v>
      </c>
      <c r="D40">
        <v>45.7</v>
      </c>
      <c r="E40">
        <v>45.9</v>
      </c>
      <c r="F40">
        <v>45.99</v>
      </c>
      <c r="G40">
        <v>45.91</v>
      </c>
      <c r="H40">
        <v>45.44</v>
      </c>
      <c r="I40">
        <v>45.98</v>
      </c>
      <c r="J40">
        <v>45.84</v>
      </c>
      <c r="M40" s="378"/>
      <c r="N40" s="206">
        <v>46.279999999999994</v>
      </c>
      <c r="O40" s="206">
        <v>46.14</v>
      </c>
      <c r="P40" s="206">
        <v>46.22</v>
      </c>
      <c r="Q40" s="206">
        <v>46.23</v>
      </c>
      <c r="R40" s="206">
        <v>46.410000000000004</v>
      </c>
      <c r="S40" s="206">
        <v>46.429999999999993</v>
      </c>
      <c r="T40" s="206">
        <v>45.809999999999995</v>
      </c>
      <c r="U40" s="206">
        <v>46.47</v>
      </c>
      <c r="V40" s="206">
        <v>46.330000000000005</v>
      </c>
      <c r="W40" s="214">
        <v>46.3</v>
      </c>
      <c r="Z40" s="23" t="str">
        <v>13/02/2024  00:33</v>
      </c>
      <c r="AA40" s="27">
        <v>44.5</v>
      </c>
      <c r="AB40" s="27">
        <v>44.7</v>
      </c>
      <c r="AC40" s="27">
        <v>45.7</v>
      </c>
    </row>
    <row r="41" spans="1:29" ht="14.45" customHeight="1" x14ac:dyDescent="0.25">
      <c r="A41" t="str">
        <v>13/02/2024  00:34</v>
      </c>
      <c r="B41">
        <v>45.89</v>
      </c>
      <c r="C41">
        <v>45.91</v>
      </c>
      <c r="D41">
        <v>45.76</v>
      </c>
      <c r="E41">
        <v>45.97</v>
      </c>
      <c r="F41">
        <v>46.07</v>
      </c>
      <c r="G41">
        <v>46.02</v>
      </c>
      <c r="H41">
        <v>45.52</v>
      </c>
      <c r="I41">
        <v>46.05</v>
      </c>
      <c r="J41">
        <v>45.93</v>
      </c>
      <c r="M41" s="378"/>
      <c r="N41" s="206">
        <v>46.37</v>
      </c>
      <c r="O41" s="206">
        <v>46.199999999999996</v>
      </c>
      <c r="P41" s="206">
        <v>46.279999999999994</v>
      </c>
      <c r="Q41" s="206">
        <v>46.3</v>
      </c>
      <c r="R41" s="206">
        <v>46.49</v>
      </c>
      <c r="S41" s="206">
        <v>46.54</v>
      </c>
      <c r="T41" s="206">
        <v>45.89</v>
      </c>
      <c r="U41" s="206">
        <v>46.54</v>
      </c>
      <c r="V41" s="206">
        <v>46.42</v>
      </c>
      <c r="W41" s="214">
        <v>46.6</v>
      </c>
      <c r="Z41" s="23" t="str">
        <v>13/02/2024  00:34</v>
      </c>
      <c r="AA41" s="27">
        <v>44.7</v>
      </c>
      <c r="AB41" s="27">
        <v>44.8</v>
      </c>
      <c r="AC41" s="27">
        <v>45.8</v>
      </c>
    </row>
    <row r="42" spans="1:29" ht="14.45" customHeight="1" x14ac:dyDescent="0.25">
      <c r="A42" t="str">
        <v>13/02/2024  00:35</v>
      </c>
      <c r="B42">
        <v>46.02</v>
      </c>
      <c r="C42">
        <v>46.01</v>
      </c>
      <c r="D42">
        <v>45.88</v>
      </c>
      <c r="E42">
        <v>46.07</v>
      </c>
      <c r="F42">
        <v>46.14</v>
      </c>
      <c r="G42">
        <v>46.12</v>
      </c>
      <c r="H42">
        <v>45.57</v>
      </c>
      <c r="I42">
        <v>46.08</v>
      </c>
      <c r="J42">
        <v>46.03</v>
      </c>
      <c r="M42" s="378"/>
      <c r="N42" s="206">
        <v>46.5</v>
      </c>
      <c r="O42" s="206">
        <v>46.3</v>
      </c>
      <c r="P42" s="206">
        <v>46.4</v>
      </c>
      <c r="Q42" s="206">
        <v>46.4</v>
      </c>
      <c r="R42" s="206">
        <v>46.56</v>
      </c>
      <c r="S42" s="206">
        <v>46.639999999999993</v>
      </c>
      <c r="T42" s="206">
        <v>45.94</v>
      </c>
      <c r="U42" s="206">
        <v>46.57</v>
      </c>
      <c r="V42" s="206">
        <v>46.52</v>
      </c>
      <c r="W42" s="214">
        <v>47</v>
      </c>
      <c r="Z42" s="23" t="str">
        <v>13/02/2024  00:35</v>
      </c>
      <c r="AA42" s="27">
        <v>44.7</v>
      </c>
      <c r="AB42" s="27">
        <v>44.9</v>
      </c>
      <c r="AC42" s="27">
        <v>45.9</v>
      </c>
    </row>
    <row r="43" spans="1:29" ht="14.45" customHeight="1" x14ac:dyDescent="0.25">
      <c r="A43" t="str">
        <v>13/02/2024  00:36</v>
      </c>
      <c r="B43">
        <v>46.06</v>
      </c>
      <c r="C43">
        <v>46.05</v>
      </c>
      <c r="D43">
        <v>45.92</v>
      </c>
      <c r="E43">
        <v>46.1</v>
      </c>
      <c r="F43">
        <v>46.2</v>
      </c>
      <c r="G43">
        <v>46.22</v>
      </c>
      <c r="H43">
        <v>45.67</v>
      </c>
      <c r="I43">
        <v>46.23</v>
      </c>
      <c r="J43">
        <v>46.12</v>
      </c>
      <c r="M43" s="378"/>
      <c r="N43" s="206">
        <v>46.54</v>
      </c>
      <c r="O43" s="206">
        <v>46.339999999999996</v>
      </c>
      <c r="P43" s="206">
        <v>46.44</v>
      </c>
      <c r="Q43" s="206">
        <v>46.43</v>
      </c>
      <c r="R43" s="206">
        <v>46.620000000000005</v>
      </c>
      <c r="S43" s="206">
        <v>46.739999999999995</v>
      </c>
      <c r="T43" s="206">
        <v>46.04</v>
      </c>
      <c r="U43" s="206">
        <v>46.72</v>
      </c>
      <c r="V43" s="206">
        <v>46.61</v>
      </c>
      <c r="W43" s="214">
        <v>47.3</v>
      </c>
      <c r="Z43" s="23" t="str">
        <v>13/02/2024  00:36</v>
      </c>
      <c r="AA43" s="27">
        <v>44.8</v>
      </c>
      <c r="AB43" s="27">
        <v>45</v>
      </c>
      <c r="AC43" s="27">
        <v>46</v>
      </c>
    </row>
    <row r="44" spans="1:29" ht="14.45" customHeight="1" x14ac:dyDescent="0.25">
      <c r="A44" t="str">
        <v>13/02/2024  00:37</v>
      </c>
      <c r="B44">
        <v>46.15</v>
      </c>
      <c r="C44">
        <v>46.12</v>
      </c>
      <c r="D44">
        <v>46</v>
      </c>
      <c r="E44">
        <v>46.18</v>
      </c>
      <c r="F44">
        <v>46.3</v>
      </c>
      <c r="G44">
        <v>46.2</v>
      </c>
      <c r="H44">
        <v>45.74</v>
      </c>
      <c r="I44">
        <v>46.27</v>
      </c>
      <c r="J44">
        <v>46.17</v>
      </c>
      <c r="M44" s="378"/>
      <c r="N44" s="206">
        <v>46.629999999999995</v>
      </c>
      <c r="O44" s="206">
        <v>46.41</v>
      </c>
      <c r="P44" s="206">
        <v>46.519999999999996</v>
      </c>
      <c r="Q44" s="206">
        <v>46.51</v>
      </c>
      <c r="R44" s="206">
        <v>46.72</v>
      </c>
      <c r="S44" s="206">
        <v>46.72</v>
      </c>
      <c r="T44" s="206">
        <v>46.11</v>
      </c>
      <c r="U44" s="206">
        <v>46.760000000000005</v>
      </c>
      <c r="V44" s="206">
        <v>46.660000000000004</v>
      </c>
      <c r="W44" s="214">
        <v>47.6</v>
      </c>
      <c r="Z44" s="23" t="str">
        <v>13/02/2024  00:37</v>
      </c>
      <c r="AA44" s="27">
        <v>44.9</v>
      </c>
      <c r="AB44" s="27">
        <v>45.1</v>
      </c>
      <c r="AC44" s="27">
        <v>46.1</v>
      </c>
    </row>
    <row r="45" spans="1:29" ht="14.45" customHeight="1" x14ac:dyDescent="0.25">
      <c r="A45" t="str">
        <v>13/02/2024  00:38</v>
      </c>
      <c r="B45">
        <v>46.26</v>
      </c>
      <c r="C45">
        <v>46.22</v>
      </c>
      <c r="D45">
        <v>46.11</v>
      </c>
      <c r="E45">
        <v>46.31</v>
      </c>
      <c r="F45">
        <v>46.4</v>
      </c>
      <c r="G45">
        <v>46.38</v>
      </c>
      <c r="H45">
        <v>45.86</v>
      </c>
      <c r="I45">
        <v>46.36</v>
      </c>
      <c r="J45">
        <v>46.26</v>
      </c>
      <c r="M45" s="378"/>
      <c r="N45" s="206">
        <v>46.739999999999995</v>
      </c>
      <c r="O45" s="206">
        <v>46.51</v>
      </c>
      <c r="P45" s="206">
        <v>46.629999999999995</v>
      </c>
      <c r="Q45" s="206">
        <v>46.64</v>
      </c>
      <c r="R45" s="206">
        <v>46.82</v>
      </c>
      <c r="S45" s="206">
        <v>46.9</v>
      </c>
      <c r="T45" s="206">
        <v>46.23</v>
      </c>
      <c r="U45" s="206">
        <v>46.85</v>
      </c>
      <c r="V45" s="206">
        <v>46.75</v>
      </c>
      <c r="W45" s="214">
        <v>48</v>
      </c>
      <c r="Z45" s="23" t="str">
        <v>13/02/2024  00:38</v>
      </c>
      <c r="AA45" s="27">
        <v>45</v>
      </c>
      <c r="AB45" s="27">
        <v>45.2</v>
      </c>
      <c r="AC45" s="27">
        <v>46.2</v>
      </c>
    </row>
    <row r="46" spans="1:29" ht="14.45" customHeight="1" x14ac:dyDescent="0.25">
      <c r="A46" t="str">
        <v>13/02/2024  00:39</v>
      </c>
      <c r="B46">
        <v>46.35</v>
      </c>
      <c r="C46">
        <v>46.34</v>
      </c>
      <c r="D46">
        <v>46.21</v>
      </c>
      <c r="E46">
        <v>46.41</v>
      </c>
      <c r="F46">
        <v>46.51</v>
      </c>
      <c r="G46">
        <v>46.43</v>
      </c>
      <c r="H46">
        <v>45.95</v>
      </c>
      <c r="I46">
        <v>46.45</v>
      </c>
      <c r="J46">
        <v>46.36</v>
      </c>
      <c r="M46" s="378"/>
      <c r="N46" s="206">
        <v>46.83</v>
      </c>
      <c r="O46" s="206">
        <v>46.63</v>
      </c>
      <c r="P46" s="206">
        <v>46.73</v>
      </c>
      <c r="Q46" s="206">
        <v>46.739999999999995</v>
      </c>
      <c r="R46" s="206">
        <v>46.93</v>
      </c>
      <c r="S46" s="206">
        <v>46.949999999999996</v>
      </c>
      <c r="T46" s="206">
        <v>46.32</v>
      </c>
      <c r="U46" s="206">
        <v>46.940000000000005</v>
      </c>
      <c r="V46" s="206">
        <v>46.85</v>
      </c>
      <c r="W46" s="214">
        <v>48.3</v>
      </c>
      <c r="Z46" s="23" t="str">
        <v>13/02/2024  00:39</v>
      </c>
      <c r="AA46" s="27">
        <v>45</v>
      </c>
      <c r="AB46" s="27">
        <v>45.3</v>
      </c>
      <c r="AC46" s="27">
        <v>46.3</v>
      </c>
    </row>
    <row r="47" spans="1:29" ht="14.45" customHeight="1" x14ac:dyDescent="0.25">
      <c r="A47" t="str">
        <v>13/02/2024  00:40</v>
      </c>
      <c r="B47">
        <v>46.39</v>
      </c>
      <c r="C47">
        <v>46.41</v>
      </c>
      <c r="D47">
        <v>46.27</v>
      </c>
      <c r="E47">
        <v>46.48</v>
      </c>
      <c r="F47">
        <v>46.6</v>
      </c>
      <c r="G47">
        <v>46.51</v>
      </c>
      <c r="H47">
        <v>46.04</v>
      </c>
      <c r="I47">
        <v>46.53</v>
      </c>
      <c r="J47">
        <v>46.39</v>
      </c>
      <c r="M47" s="378"/>
      <c r="N47" s="206">
        <v>46.87</v>
      </c>
      <c r="O47" s="206">
        <v>46.699999999999996</v>
      </c>
      <c r="P47" s="206">
        <v>46.79</v>
      </c>
      <c r="Q47" s="206">
        <v>46.809999999999995</v>
      </c>
      <c r="R47" s="206">
        <v>47.02</v>
      </c>
      <c r="S47" s="206">
        <v>47.029999999999994</v>
      </c>
      <c r="T47" s="206">
        <v>46.41</v>
      </c>
      <c r="U47" s="206">
        <v>47.02</v>
      </c>
      <c r="V47" s="206">
        <v>46.88</v>
      </c>
      <c r="W47" s="214">
        <v>48.6</v>
      </c>
      <c r="Z47" s="23" t="str">
        <v>13/02/2024  00:40</v>
      </c>
      <c r="AA47" s="27">
        <v>45.2</v>
      </c>
      <c r="AB47" s="27">
        <v>45.3</v>
      </c>
      <c r="AC47" s="27">
        <v>46.4</v>
      </c>
    </row>
    <row r="48" spans="1:29" ht="14.45" customHeight="1" x14ac:dyDescent="0.25">
      <c r="A48" t="str">
        <v>13/02/2024  00:41</v>
      </c>
      <c r="B48">
        <v>46.51</v>
      </c>
      <c r="C48">
        <v>46.5</v>
      </c>
      <c r="D48">
        <v>46.37</v>
      </c>
      <c r="E48">
        <v>46.58</v>
      </c>
      <c r="F48">
        <v>46.64</v>
      </c>
      <c r="G48">
        <v>46.53</v>
      </c>
      <c r="H48">
        <v>46.08</v>
      </c>
      <c r="I48">
        <v>46.53</v>
      </c>
      <c r="J48">
        <v>46.44</v>
      </c>
      <c r="M48" s="378"/>
      <c r="N48" s="206">
        <v>46.989999999999995</v>
      </c>
      <c r="O48" s="206">
        <v>46.79</v>
      </c>
      <c r="P48" s="206">
        <v>46.889999999999993</v>
      </c>
      <c r="Q48" s="206">
        <v>46.91</v>
      </c>
      <c r="R48" s="206">
        <v>47.06</v>
      </c>
      <c r="S48" s="206">
        <v>47.05</v>
      </c>
      <c r="T48" s="206">
        <v>46.449999999999996</v>
      </c>
      <c r="U48" s="206">
        <v>47.02</v>
      </c>
      <c r="V48" s="206">
        <v>46.93</v>
      </c>
      <c r="W48" s="214">
        <v>49</v>
      </c>
      <c r="Z48" s="23" t="str">
        <v>13/02/2024  00:41</v>
      </c>
      <c r="AA48" s="27">
        <v>45.2</v>
      </c>
      <c r="AB48" s="27">
        <v>45.4</v>
      </c>
      <c r="AC48" s="27">
        <v>46.5</v>
      </c>
    </row>
    <row r="49" spans="1:29" ht="14.45" customHeight="1" x14ac:dyDescent="0.25">
      <c r="A49" t="str">
        <v>13/02/2024  00:42</v>
      </c>
      <c r="B49">
        <v>46.57</v>
      </c>
      <c r="C49">
        <v>46.54</v>
      </c>
      <c r="D49">
        <v>46.41</v>
      </c>
      <c r="E49">
        <v>46.61</v>
      </c>
      <c r="F49">
        <v>46.7</v>
      </c>
      <c r="G49">
        <v>46.66</v>
      </c>
      <c r="H49">
        <v>46.23</v>
      </c>
      <c r="I49">
        <v>46.71</v>
      </c>
      <c r="J49">
        <v>46.61</v>
      </c>
      <c r="M49" s="378"/>
      <c r="N49" s="206">
        <v>47.05</v>
      </c>
      <c r="O49" s="206">
        <v>46.83</v>
      </c>
      <c r="P49" s="206">
        <v>46.929999999999993</v>
      </c>
      <c r="Q49" s="206">
        <v>46.94</v>
      </c>
      <c r="R49" s="206">
        <v>47.120000000000005</v>
      </c>
      <c r="S49" s="206">
        <v>47.179999999999993</v>
      </c>
      <c r="T49" s="206">
        <v>46.599999999999994</v>
      </c>
      <c r="U49" s="206">
        <v>47.2</v>
      </c>
      <c r="V49" s="206">
        <v>47.1</v>
      </c>
      <c r="W49" s="214">
        <v>49.3</v>
      </c>
      <c r="Z49" s="23" t="str">
        <v>13/02/2024  00:42</v>
      </c>
      <c r="AA49" s="27">
        <v>45.3</v>
      </c>
      <c r="AB49" s="27">
        <v>45.5</v>
      </c>
      <c r="AC49" s="27">
        <v>46.5</v>
      </c>
    </row>
    <row r="50" spans="1:29" ht="14.45" customHeight="1" x14ac:dyDescent="0.25">
      <c r="A50" t="str">
        <v>13/02/2024  00:43</v>
      </c>
      <c r="B50">
        <v>46.65</v>
      </c>
      <c r="C50">
        <v>46.62</v>
      </c>
      <c r="D50">
        <v>46.5</v>
      </c>
      <c r="E50">
        <v>46.67</v>
      </c>
      <c r="F50">
        <v>46.78</v>
      </c>
      <c r="G50">
        <v>46.75</v>
      </c>
      <c r="H50">
        <v>46.29</v>
      </c>
      <c r="I50">
        <v>46.77</v>
      </c>
      <c r="J50">
        <v>46.68</v>
      </c>
      <c r="M50" s="378"/>
      <c r="N50" s="206">
        <v>47.129999999999995</v>
      </c>
      <c r="O50" s="206">
        <v>46.91</v>
      </c>
      <c r="P50" s="206">
        <v>47.019999999999996</v>
      </c>
      <c r="Q50" s="206">
        <v>47</v>
      </c>
      <c r="R50" s="206">
        <v>47.2</v>
      </c>
      <c r="S50" s="206">
        <v>47.269999999999996</v>
      </c>
      <c r="T50" s="206">
        <v>46.66</v>
      </c>
      <c r="U50" s="206">
        <v>47.260000000000005</v>
      </c>
      <c r="V50" s="206">
        <v>47.17</v>
      </c>
      <c r="W50" s="214">
        <v>49.6</v>
      </c>
      <c r="Z50" s="23" t="str">
        <v>13/02/2024  00:43</v>
      </c>
      <c r="AA50" s="27">
        <v>45.3</v>
      </c>
      <c r="AB50" s="27">
        <v>45.5</v>
      </c>
      <c r="AC50" s="27">
        <v>46.6</v>
      </c>
    </row>
    <row r="51" spans="1:29" ht="14.45" customHeight="1" x14ac:dyDescent="0.25">
      <c r="A51" t="str">
        <v>13/02/2024  00:44</v>
      </c>
      <c r="B51">
        <v>46.76</v>
      </c>
      <c r="C51">
        <v>46.7</v>
      </c>
      <c r="D51">
        <v>46.59</v>
      </c>
      <c r="E51">
        <v>46.74</v>
      </c>
      <c r="F51">
        <v>46.86</v>
      </c>
      <c r="G51">
        <v>46.78</v>
      </c>
      <c r="H51">
        <v>46.38</v>
      </c>
      <c r="I51">
        <v>46.83</v>
      </c>
      <c r="J51">
        <v>46.74</v>
      </c>
      <c r="M51" s="378"/>
      <c r="N51" s="206">
        <v>47.239999999999995</v>
      </c>
      <c r="O51" s="206">
        <v>46.99</v>
      </c>
      <c r="P51" s="206">
        <v>47.11</v>
      </c>
      <c r="Q51" s="206">
        <v>47.07</v>
      </c>
      <c r="R51" s="206">
        <v>47.28</v>
      </c>
      <c r="S51" s="206">
        <v>47.3</v>
      </c>
      <c r="T51" s="206">
        <v>46.75</v>
      </c>
      <c r="U51" s="206">
        <v>47.32</v>
      </c>
      <c r="V51" s="206">
        <v>47.230000000000004</v>
      </c>
      <c r="W51" s="214">
        <v>50</v>
      </c>
      <c r="Z51" s="23" t="str">
        <v>13/02/2024  00:44</v>
      </c>
      <c r="AA51" s="27">
        <v>45.4</v>
      </c>
      <c r="AB51" s="27">
        <v>45.6</v>
      </c>
      <c r="AC51" s="27">
        <v>46.7</v>
      </c>
    </row>
    <row r="52" spans="1:29" ht="14.45" customHeight="1" x14ac:dyDescent="0.25">
      <c r="A52" t="str">
        <v>13/02/2024  00:45</v>
      </c>
      <c r="B52">
        <v>46.8</v>
      </c>
      <c r="C52">
        <v>46.82</v>
      </c>
      <c r="D52">
        <v>46.68</v>
      </c>
      <c r="E52">
        <v>46.85</v>
      </c>
      <c r="F52">
        <v>46.92</v>
      </c>
      <c r="G52">
        <v>46.87</v>
      </c>
      <c r="H52">
        <v>46.45</v>
      </c>
      <c r="I52">
        <v>46.91</v>
      </c>
      <c r="J52">
        <v>46.81</v>
      </c>
      <c r="M52" s="378"/>
      <c r="N52" s="206">
        <v>47.279999999999994</v>
      </c>
      <c r="O52" s="206">
        <v>47.11</v>
      </c>
      <c r="P52" s="206">
        <v>47.199999999999996</v>
      </c>
      <c r="Q52" s="206">
        <v>47.18</v>
      </c>
      <c r="R52" s="206">
        <v>47.34</v>
      </c>
      <c r="S52" s="206">
        <v>47.389999999999993</v>
      </c>
      <c r="T52" s="206">
        <v>46.82</v>
      </c>
      <c r="U52" s="206">
        <v>47.4</v>
      </c>
      <c r="V52" s="206">
        <v>47.300000000000004</v>
      </c>
      <c r="W52" s="214">
        <v>50.3</v>
      </c>
      <c r="Z52" s="23" t="str">
        <v>13/02/2024  00:45</v>
      </c>
      <c r="AA52" s="27">
        <v>45.5</v>
      </c>
      <c r="AB52" s="27">
        <v>45.7</v>
      </c>
      <c r="AC52" s="27">
        <v>46.8</v>
      </c>
    </row>
    <row r="53" spans="1:29" ht="14.45" customHeight="1" x14ac:dyDescent="0.25">
      <c r="A53" t="str">
        <v>13/02/2024  00:46</v>
      </c>
      <c r="B53">
        <v>46.86</v>
      </c>
      <c r="C53">
        <v>46.84</v>
      </c>
      <c r="D53">
        <v>46.74</v>
      </c>
      <c r="E53">
        <v>46.88</v>
      </c>
      <c r="F53">
        <v>47</v>
      </c>
      <c r="G53">
        <v>47.02</v>
      </c>
      <c r="H53">
        <v>46.55</v>
      </c>
      <c r="I53">
        <v>46.99</v>
      </c>
      <c r="J53">
        <v>46.86</v>
      </c>
      <c r="M53" s="378"/>
      <c r="N53" s="206">
        <v>47.339999999999996</v>
      </c>
      <c r="O53" s="206">
        <v>47.13</v>
      </c>
      <c r="P53" s="206">
        <v>47.26</v>
      </c>
      <c r="Q53" s="206">
        <v>47.21</v>
      </c>
      <c r="R53" s="206">
        <v>47.42</v>
      </c>
      <c r="S53" s="206">
        <v>47.54</v>
      </c>
      <c r="T53" s="206">
        <v>46.919999999999995</v>
      </c>
      <c r="U53" s="206">
        <v>47.480000000000004</v>
      </c>
      <c r="V53" s="206">
        <v>47.35</v>
      </c>
      <c r="W53" s="214">
        <v>50.6</v>
      </c>
      <c r="Z53" s="23" t="str">
        <v>13/02/2024  00:46</v>
      </c>
      <c r="AA53" s="27">
        <v>45.6</v>
      </c>
      <c r="AB53" s="27">
        <v>45.8</v>
      </c>
      <c r="AC53" s="27">
        <v>46.8</v>
      </c>
    </row>
    <row r="54" spans="1:29" ht="14.45" customHeight="1" x14ac:dyDescent="0.25">
      <c r="A54" t="str">
        <v>13/02/2024  00:47</v>
      </c>
      <c r="B54">
        <v>46.97</v>
      </c>
      <c r="C54">
        <v>46.94</v>
      </c>
      <c r="D54">
        <v>46.83</v>
      </c>
      <c r="E54">
        <v>46.99</v>
      </c>
      <c r="F54">
        <v>47.08</v>
      </c>
      <c r="G54">
        <v>47.08</v>
      </c>
      <c r="H54">
        <v>46.64</v>
      </c>
      <c r="I54">
        <v>47.04</v>
      </c>
      <c r="J54">
        <v>46.97</v>
      </c>
      <c r="M54" s="378"/>
      <c r="N54" s="206">
        <v>47.449999999999996</v>
      </c>
      <c r="O54" s="206">
        <v>47.23</v>
      </c>
      <c r="P54" s="206">
        <v>47.349999999999994</v>
      </c>
      <c r="Q54" s="206">
        <v>47.32</v>
      </c>
      <c r="R54" s="206">
        <v>47.5</v>
      </c>
      <c r="S54" s="206">
        <v>47.599999999999994</v>
      </c>
      <c r="T54" s="206">
        <v>47.01</v>
      </c>
      <c r="U54" s="206">
        <v>47.53</v>
      </c>
      <c r="V54" s="206">
        <v>47.46</v>
      </c>
      <c r="W54" s="214">
        <v>51</v>
      </c>
      <c r="Z54" s="23" t="str">
        <v>13/02/2024  00:47</v>
      </c>
      <c r="AA54" s="27">
        <v>45.6</v>
      </c>
      <c r="AB54" s="27">
        <v>45.8</v>
      </c>
      <c r="AC54" s="27">
        <v>46.9</v>
      </c>
    </row>
    <row r="55" spans="1:29" ht="14.45" customHeight="1" x14ac:dyDescent="0.25">
      <c r="A55" t="str">
        <v>13/02/2024  00:48</v>
      </c>
      <c r="B55">
        <v>47.04</v>
      </c>
      <c r="C55">
        <v>47.01</v>
      </c>
      <c r="D55">
        <v>46.88</v>
      </c>
      <c r="E55">
        <v>47.08</v>
      </c>
      <c r="F55">
        <v>47.14</v>
      </c>
      <c r="G55">
        <v>47.12</v>
      </c>
      <c r="H55">
        <v>46.71</v>
      </c>
      <c r="I55">
        <v>47.09</v>
      </c>
      <c r="J55">
        <v>47.03</v>
      </c>
      <c r="M55" s="378"/>
      <c r="N55" s="206">
        <v>47.519999999999996</v>
      </c>
      <c r="O55" s="206">
        <v>47.3</v>
      </c>
      <c r="P55" s="206">
        <v>47.4</v>
      </c>
      <c r="Q55" s="206">
        <v>47.41</v>
      </c>
      <c r="R55" s="206">
        <v>47.56</v>
      </c>
      <c r="S55" s="206">
        <v>47.639999999999993</v>
      </c>
      <c r="T55" s="206">
        <v>47.08</v>
      </c>
      <c r="U55" s="206">
        <v>47.580000000000005</v>
      </c>
      <c r="V55" s="206">
        <v>47.52</v>
      </c>
      <c r="W55" s="214">
        <v>51.3</v>
      </c>
      <c r="Z55" s="23" t="str">
        <v>13/02/2024  00:48</v>
      </c>
      <c r="AA55" s="27">
        <v>45.7</v>
      </c>
      <c r="AB55" s="27">
        <v>45.9</v>
      </c>
      <c r="AC55" s="27">
        <v>47</v>
      </c>
    </row>
    <row r="56" spans="1:29" ht="14.45" customHeight="1" x14ac:dyDescent="0.25">
      <c r="A56" t="str">
        <v>13/02/2024  00:49</v>
      </c>
      <c r="B56">
        <v>47.13</v>
      </c>
      <c r="C56">
        <v>47.1</v>
      </c>
      <c r="D56">
        <v>47</v>
      </c>
      <c r="E56">
        <v>47.18</v>
      </c>
      <c r="F56">
        <v>47.26</v>
      </c>
      <c r="G56">
        <v>47.18</v>
      </c>
      <c r="H56">
        <v>46.78</v>
      </c>
      <c r="I56">
        <v>47.16</v>
      </c>
      <c r="J56">
        <v>47.07</v>
      </c>
      <c r="M56" s="378"/>
      <c r="N56" s="206">
        <v>47.61</v>
      </c>
      <c r="O56" s="206">
        <v>47.39</v>
      </c>
      <c r="P56" s="206">
        <v>47.519999999999996</v>
      </c>
      <c r="Q56" s="206">
        <v>47.51</v>
      </c>
      <c r="R56" s="206">
        <v>47.68</v>
      </c>
      <c r="S56" s="206">
        <v>47.699999999999996</v>
      </c>
      <c r="T56" s="206">
        <v>47.15</v>
      </c>
      <c r="U56" s="206">
        <v>47.65</v>
      </c>
      <c r="V56" s="206">
        <v>47.56</v>
      </c>
      <c r="W56" s="214">
        <v>51.6</v>
      </c>
      <c r="Z56" s="23" t="str">
        <v>13/02/2024  00:49</v>
      </c>
      <c r="AA56" s="27">
        <v>45.8</v>
      </c>
      <c r="AB56" s="27">
        <v>46</v>
      </c>
      <c r="AC56" s="27">
        <v>47.1</v>
      </c>
    </row>
    <row r="57" spans="1:29" ht="14.45" customHeight="1" x14ac:dyDescent="0.25">
      <c r="A57" t="str">
        <v>13/02/2024  00:50</v>
      </c>
      <c r="B57">
        <v>47.2</v>
      </c>
      <c r="C57">
        <v>47.15</v>
      </c>
      <c r="D57">
        <v>47.05</v>
      </c>
      <c r="E57">
        <v>47.18</v>
      </c>
      <c r="F57">
        <v>47.26</v>
      </c>
      <c r="G57">
        <v>47.27</v>
      </c>
      <c r="H57">
        <v>46.84</v>
      </c>
      <c r="I57">
        <v>47.26</v>
      </c>
      <c r="J57">
        <v>47.16</v>
      </c>
      <c r="M57" s="378"/>
      <c r="N57" s="206">
        <v>47.68</v>
      </c>
      <c r="O57" s="206">
        <v>47.44</v>
      </c>
      <c r="P57" s="206">
        <v>47.569999999999993</v>
      </c>
      <c r="Q57" s="206">
        <v>47.51</v>
      </c>
      <c r="R57" s="206">
        <v>47.68</v>
      </c>
      <c r="S57" s="206">
        <v>47.79</v>
      </c>
      <c r="T57" s="206">
        <v>47.21</v>
      </c>
      <c r="U57" s="206">
        <v>47.75</v>
      </c>
      <c r="V57" s="206">
        <v>47.65</v>
      </c>
      <c r="W57" s="214">
        <v>52</v>
      </c>
      <c r="Z57" s="23" t="str">
        <v>13/02/2024  00:50</v>
      </c>
      <c r="AA57" s="27">
        <v>45.9</v>
      </c>
      <c r="AB57" s="27">
        <v>46.1</v>
      </c>
      <c r="AC57" s="27">
        <v>47.2</v>
      </c>
    </row>
    <row r="58" spans="1:29" ht="14.45" customHeight="1" x14ac:dyDescent="0.25">
      <c r="A58" t="str">
        <v>13/02/2024  00:51</v>
      </c>
      <c r="B58">
        <v>47.26</v>
      </c>
      <c r="C58">
        <v>47.24</v>
      </c>
      <c r="D58">
        <v>47.16</v>
      </c>
      <c r="E58">
        <v>47.23</v>
      </c>
      <c r="F58">
        <v>47.38</v>
      </c>
      <c r="G58">
        <v>47.34</v>
      </c>
      <c r="H58">
        <v>46.93</v>
      </c>
      <c r="I58">
        <v>47.34</v>
      </c>
      <c r="J58">
        <v>47.26</v>
      </c>
      <c r="M58" s="378"/>
      <c r="N58" s="206">
        <v>47.739999999999995</v>
      </c>
      <c r="O58" s="206">
        <v>47.53</v>
      </c>
      <c r="P58" s="206">
        <v>47.679999999999993</v>
      </c>
      <c r="Q58" s="206">
        <v>47.559999999999995</v>
      </c>
      <c r="R58" s="206">
        <v>47.800000000000004</v>
      </c>
      <c r="S58" s="206">
        <v>47.86</v>
      </c>
      <c r="T58" s="206">
        <v>47.3</v>
      </c>
      <c r="U58" s="206">
        <v>47.830000000000005</v>
      </c>
      <c r="V58" s="206">
        <v>47.75</v>
      </c>
      <c r="W58" s="214">
        <v>52.3</v>
      </c>
      <c r="Z58" s="23" t="str">
        <v>13/02/2024  00:51</v>
      </c>
      <c r="AA58" s="27">
        <v>46</v>
      </c>
      <c r="AB58" s="27">
        <v>46.2</v>
      </c>
      <c r="AC58" s="27">
        <v>47.2</v>
      </c>
    </row>
    <row r="59" spans="1:29" ht="14.45" customHeight="1" x14ac:dyDescent="0.25">
      <c r="A59" t="str">
        <v>13/02/2024  00:52</v>
      </c>
      <c r="B59">
        <v>47.31</v>
      </c>
      <c r="C59">
        <v>47.3</v>
      </c>
      <c r="D59">
        <v>47.2</v>
      </c>
      <c r="E59">
        <v>47.35</v>
      </c>
      <c r="F59">
        <v>47.42</v>
      </c>
      <c r="G59">
        <v>47.39</v>
      </c>
      <c r="H59">
        <v>47</v>
      </c>
      <c r="I59">
        <v>47.39</v>
      </c>
      <c r="J59">
        <v>47.29</v>
      </c>
      <c r="M59" s="378"/>
      <c r="N59" s="206">
        <v>47.79</v>
      </c>
      <c r="O59" s="206">
        <v>47.589999999999996</v>
      </c>
      <c r="P59" s="206">
        <v>47.72</v>
      </c>
      <c r="Q59" s="206">
        <v>47.68</v>
      </c>
      <c r="R59" s="206">
        <v>47.84</v>
      </c>
      <c r="S59" s="206">
        <v>47.91</v>
      </c>
      <c r="T59" s="206">
        <v>47.37</v>
      </c>
      <c r="U59" s="206">
        <v>47.88</v>
      </c>
      <c r="V59" s="206">
        <v>47.78</v>
      </c>
      <c r="W59" s="214">
        <v>52.6</v>
      </c>
      <c r="Z59" s="23" t="str">
        <v>13/02/2024  00:52</v>
      </c>
      <c r="AA59" s="27">
        <v>46</v>
      </c>
      <c r="AB59" s="27">
        <v>46.2</v>
      </c>
      <c r="AC59" s="27">
        <v>47.3</v>
      </c>
    </row>
    <row r="60" spans="1:29" ht="14.45" customHeight="1" x14ac:dyDescent="0.25">
      <c r="A60" t="str">
        <v>13/02/2024  00:53</v>
      </c>
      <c r="B60">
        <v>47.38</v>
      </c>
      <c r="C60">
        <v>47.42</v>
      </c>
      <c r="D60">
        <v>47.23</v>
      </c>
      <c r="E60">
        <v>47.41</v>
      </c>
      <c r="F60">
        <v>47.53</v>
      </c>
      <c r="G60">
        <v>47.51</v>
      </c>
      <c r="H60">
        <v>47.08</v>
      </c>
      <c r="I60">
        <v>47.47</v>
      </c>
      <c r="J60">
        <v>47.38</v>
      </c>
      <c r="M60" s="378"/>
      <c r="N60" s="206">
        <v>47.86</v>
      </c>
      <c r="O60" s="206">
        <v>47.71</v>
      </c>
      <c r="P60" s="206">
        <v>47.749999999999993</v>
      </c>
      <c r="Q60" s="206">
        <v>47.739999999999995</v>
      </c>
      <c r="R60" s="206">
        <v>47.95</v>
      </c>
      <c r="S60" s="206">
        <v>48.029999999999994</v>
      </c>
      <c r="T60" s="206">
        <v>47.449999999999996</v>
      </c>
      <c r="U60" s="206">
        <v>47.96</v>
      </c>
      <c r="V60" s="206">
        <v>47.870000000000005</v>
      </c>
      <c r="W60" s="214">
        <v>53</v>
      </c>
      <c r="Z60" s="23" t="str">
        <v>13/02/2024  00:53</v>
      </c>
      <c r="AA60" s="27">
        <v>46</v>
      </c>
      <c r="AB60" s="27">
        <v>46.3</v>
      </c>
      <c r="AC60" s="27">
        <v>47.4</v>
      </c>
    </row>
    <row r="61" spans="1:29" ht="14.45" customHeight="1" x14ac:dyDescent="0.25">
      <c r="A61" t="str">
        <v>13/02/2024  00:54</v>
      </c>
      <c r="B61">
        <v>47.51</v>
      </c>
      <c r="C61">
        <v>47.54</v>
      </c>
      <c r="D61">
        <v>47.4</v>
      </c>
      <c r="E61">
        <v>47.58</v>
      </c>
      <c r="F61">
        <v>47.68</v>
      </c>
      <c r="G61">
        <v>47.67</v>
      </c>
      <c r="H61">
        <v>47.2</v>
      </c>
      <c r="I61">
        <v>47.7</v>
      </c>
      <c r="J61">
        <v>47.56</v>
      </c>
      <c r="M61" s="378"/>
      <c r="N61" s="206">
        <v>47.989999999999995</v>
      </c>
      <c r="O61" s="206">
        <v>47.83</v>
      </c>
      <c r="P61" s="206">
        <v>47.919999999999995</v>
      </c>
      <c r="Q61" s="206">
        <v>47.91</v>
      </c>
      <c r="R61" s="206">
        <v>48.1</v>
      </c>
      <c r="S61" s="206">
        <v>48.19</v>
      </c>
      <c r="T61" s="206">
        <v>47.57</v>
      </c>
      <c r="U61" s="206">
        <v>48.190000000000005</v>
      </c>
      <c r="V61" s="206">
        <v>48.050000000000004</v>
      </c>
      <c r="W61" s="214">
        <v>53.3</v>
      </c>
      <c r="Z61" s="23" t="str">
        <v>13/02/2024  00:54</v>
      </c>
      <c r="AA61" s="27">
        <v>46.1</v>
      </c>
      <c r="AB61" s="27">
        <v>46.3</v>
      </c>
      <c r="AC61" s="27">
        <v>47.5</v>
      </c>
    </row>
    <row r="62" spans="1:29" ht="14.45" customHeight="1" x14ac:dyDescent="0.25">
      <c r="A62" t="str">
        <v>13/02/2024  00:55</v>
      </c>
      <c r="B62">
        <v>48.34</v>
      </c>
      <c r="C62">
        <v>48.32</v>
      </c>
      <c r="D62">
        <v>48.07</v>
      </c>
      <c r="E62">
        <v>48.4</v>
      </c>
      <c r="F62">
        <v>48.61</v>
      </c>
      <c r="G62">
        <v>48.49</v>
      </c>
      <c r="H62">
        <v>47.62</v>
      </c>
      <c r="I62">
        <v>48.7</v>
      </c>
      <c r="J62">
        <v>48.29</v>
      </c>
      <c r="M62" s="378"/>
      <c r="N62" s="206">
        <v>48.82</v>
      </c>
      <c r="O62" s="206">
        <v>48.61</v>
      </c>
      <c r="P62" s="206">
        <v>48.589999999999996</v>
      </c>
      <c r="Q62" s="206">
        <v>48.73</v>
      </c>
      <c r="R62" s="206">
        <v>49.03</v>
      </c>
      <c r="S62" s="206">
        <v>49.01</v>
      </c>
      <c r="T62" s="206">
        <v>47.989999999999995</v>
      </c>
      <c r="U62" s="206">
        <v>49.190000000000005</v>
      </c>
      <c r="V62" s="206">
        <v>48.78</v>
      </c>
      <c r="W62" s="214">
        <v>53.6</v>
      </c>
      <c r="Z62" s="23" t="str">
        <v>13/02/2024  00:55</v>
      </c>
      <c r="AA62" s="27">
        <v>46.5</v>
      </c>
      <c r="AB62" s="27">
        <v>46.6</v>
      </c>
      <c r="AC62" s="27">
        <v>47.8</v>
      </c>
    </row>
    <row r="63" spans="1:29" ht="14.45" customHeight="1" x14ac:dyDescent="0.25">
      <c r="A63" t="str">
        <v>13/02/2024  00:56</v>
      </c>
      <c r="B63">
        <v>49.58</v>
      </c>
      <c r="C63">
        <v>49.56</v>
      </c>
      <c r="D63">
        <v>49.21</v>
      </c>
      <c r="E63">
        <v>49.81</v>
      </c>
      <c r="F63">
        <v>50.09</v>
      </c>
      <c r="G63">
        <v>50</v>
      </c>
      <c r="H63">
        <v>48.35</v>
      </c>
      <c r="I63">
        <v>50.25</v>
      </c>
      <c r="J63">
        <v>49.67</v>
      </c>
      <c r="M63" s="378"/>
      <c r="N63" s="206">
        <v>50.059999999999995</v>
      </c>
      <c r="O63" s="206">
        <v>49.85</v>
      </c>
      <c r="P63" s="206">
        <v>49.73</v>
      </c>
      <c r="Q63" s="206">
        <v>50.14</v>
      </c>
      <c r="R63" s="206">
        <v>50.510000000000005</v>
      </c>
      <c r="S63" s="206">
        <v>50.519999999999996</v>
      </c>
      <c r="T63" s="206">
        <v>48.72</v>
      </c>
      <c r="U63" s="206">
        <v>50.74</v>
      </c>
      <c r="V63" s="206">
        <v>50.160000000000004</v>
      </c>
      <c r="W63" s="214">
        <v>54</v>
      </c>
      <c r="Z63" s="23" t="str">
        <v>13/02/2024  00:56</v>
      </c>
      <c r="AA63" s="27">
        <v>47.2</v>
      </c>
      <c r="AB63" s="27">
        <v>47</v>
      </c>
      <c r="AC63" s="27">
        <v>48.5</v>
      </c>
    </row>
    <row r="64" spans="1:29" ht="14.45" customHeight="1" x14ac:dyDescent="0.25">
      <c r="A64" t="str">
        <v>13/02/2024  00:57</v>
      </c>
      <c r="B64">
        <v>51.11</v>
      </c>
      <c r="C64">
        <v>51.1</v>
      </c>
      <c r="D64">
        <v>50.53</v>
      </c>
      <c r="E64">
        <v>51.43</v>
      </c>
      <c r="F64">
        <v>51.71</v>
      </c>
      <c r="G64">
        <v>51.44</v>
      </c>
      <c r="H64">
        <v>49.27</v>
      </c>
      <c r="I64">
        <v>51.93</v>
      </c>
      <c r="J64">
        <v>51.1</v>
      </c>
      <c r="M64" s="378"/>
      <c r="N64" s="206">
        <v>51.589999999999996</v>
      </c>
      <c r="O64" s="206">
        <v>51.39</v>
      </c>
      <c r="P64" s="206">
        <v>51.05</v>
      </c>
      <c r="Q64" s="206">
        <v>51.76</v>
      </c>
      <c r="R64" s="206">
        <v>52.13</v>
      </c>
      <c r="S64" s="206">
        <v>51.959999999999994</v>
      </c>
      <c r="T64" s="206">
        <v>49.64</v>
      </c>
      <c r="U64" s="206">
        <v>52.42</v>
      </c>
      <c r="V64" s="206">
        <v>51.59</v>
      </c>
      <c r="W64" s="214">
        <v>54.3</v>
      </c>
      <c r="Z64" s="23" t="str">
        <v>13/02/2024  00:57</v>
      </c>
      <c r="AA64" s="27">
        <v>48.4</v>
      </c>
      <c r="AB64" s="27">
        <v>47.8</v>
      </c>
      <c r="AC64" s="27">
        <v>49.7</v>
      </c>
    </row>
    <row r="65" spans="1:29" ht="14.45" customHeight="1" x14ac:dyDescent="0.25">
      <c r="A65" t="str">
        <v>13/02/2024  00:58</v>
      </c>
      <c r="B65">
        <v>52.52</v>
      </c>
      <c r="C65">
        <v>52.57</v>
      </c>
      <c r="D65">
        <v>51.9</v>
      </c>
      <c r="E65">
        <v>52.96</v>
      </c>
      <c r="F65">
        <v>53.35</v>
      </c>
      <c r="G65">
        <v>52.99</v>
      </c>
      <c r="H65">
        <v>50.26</v>
      </c>
      <c r="I65">
        <v>53.6</v>
      </c>
      <c r="J65">
        <v>52.61</v>
      </c>
      <c r="M65" s="378"/>
      <c r="N65" s="206">
        <v>53</v>
      </c>
      <c r="O65" s="206">
        <v>52.86</v>
      </c>
      <c r="P65" s="206">
        <v>52.419999999999995</v>
      </c>
      <c r="Q65" s="206">
        <v>53.29</v>
      </c>
      <c r="R65" s="206">
        <v>53.77</v>
      </c>
      <c r="S65" s="206">
        <v>53.51</v>
      </c>
      <c r="T65" s="206">
        <v>50.629999999999995</v>
      </c>
      <c r="U65" s="206">
        <v>54.09</v>
      </c>
      <c r="V65" s="206">
        <v>53.1</v>
      </c>
      <c r="W65" s="214">
        <v>54.6</v>
      </c>
      <c r="Z65" s="23" t="str">
        <v>13/02/2024  00:58</v>
      </c>
      <c r="AA65" s="27">
        <v>49.8</v>
      </c>
      <c r="AB65" s="27">
        <v>48.7</v>
      </c>
      <c r="AC65" s="27">
        <v>51</v>
      </c>
    </row>
    <row r="66" spans="1:29" ht="14.45" customHeight="1" x14ac:dyDescent="0.25">
      <c r="A66" t="str">
        <v>13/02/2024  00:59</v>
      </c>
      <c r="B66">
        <v>53.84</v>
      </c>
      <c r="C66">
        <v>53.97</v>
      </c>
      <c r="D66">
        <v>53.18</v>
      </c>
      <c r="E66">
        <v>54.5</v>
      </c>
      <c r="F66">
        <v>54.95</v>
      </c>
      <c r="G66">
        <v>54.43</v>
      </c>
      <c r="H66">
        <v>51.26</v>
      </c>
      <c r="I66">
        <v>55.19</v>
      </c>
      <c r="J66">
        <v>54.1</v>
      </c>
      <c r="M66" s="378"/>
      <c r="N66" s="206">
        <v>54.32</v>
      </c>
      <c r="O66" s="206">
        <v>54.26</v>
      </c>
      <c r="P66" s="206">
        <v>53.699999999999996</v>
      </c>
      <c r="Q66" s="206">
        <v>54.83</v>
      </c>
      <c r="R66" s="206">
        <v>55.370000000000005</v>
      </c>
      <c r="S66" s="206">
        <v>54.949999999999996</v>
      </c>
      <c r="T66" s="206">
        <v>51.629999999999995</v>
      </c>
      <c r="U66" s="206">
        <v>55.68</v>
      </c>
      <c r="V66" s="206">
        <v>54.59</v>
      </c>
      <c r="W66" s="214">
        <v>55</v>
      </c>
      <c r="Z66" s="23" t="str">
        <v>13/02/2024  00:59</v>
      </c>
      <c r="AA66" s="27">
        <v>51.4</v>
      </c>
      <c r="AB66" s="27">
        <v>49.8</v>
      </c>
      <c r="AC66" s="27">
        <v>52.5</v>
      </c>
    </row>
    <row r="67" spans="1:29" ht="14.45" customHeight="1" x14ac:dyDescent="0.25">
      <c r="A67" t="str">
        <v>13/02/2024  01:00</v>
      </c>
      <c r="B67">
        <v>55.28</v>
      </c>
      <c r="C67">
        <v>55.36</v>
      </c>
      <c r="D67">
        <v>54.46</v>
      </c>
      <c r="E67">
        <v>55.89</v>
      </c>
      <c r="F67">
        <v>56.25</v>
      </c>
      <c r="G67">
        <v>55.82</v>
      </c>
      <c r="H67">
        <v>52.39</v>
      </c>
      <c r="I67">
        <v>56.54</v>
      </c>
      <c r="J67">
        <v>55.51</v>
      </c>
      <c r="M67" s="378"/>
      <c r="N67" s="206">
        <v>55.76</v>
      </c>
      <c r="O67" s="206">
        <v>55.65</v>
      </c>
      <c r="P67" s="206">
        <v>54.98</v>
      </c>
      <c r="Q67" s="206">
        <v>56.22</v>
      </c>
      <c r="R67" s="206">
        <v>56.67</v>
      </c>
      <c r="S67" s="206">
        <v>56.339999999999996</v>
      </c>
      <c r="T67" s="206">
        <v>52.76</v>
      </c>
      <c r="U67" s="206">
        <v>57.03</v>
      </c>
      <c r="V67" s="206">
        <v>56</v>
      </c>
      <c r="W67" s="214">
        <v>55.3</v>
      </c>
      <c r="Z67" s="23" t="str">
        <v>13/02/2024  01:00</v>
      </c>
      <c r="AA67" s="27">
        <v>53.1</v>
      </c>
      <c r="AB67" s="27">
        <v>50.9</v>
      </c>
      <c r="AC67" s="27">
        <v>54</v>
      </c>
    </row>
    <row r="68" spans="1:29" ht="14.45" customHeight="1" x14ac:dyDescent="0.25">
      <c r="A68" t="str">
        <v>13/02/2024  01:01</v>
      </c>
      <c r="B68">
        <v>56.27</v>
      </c>
      <c r="C68">
        <v>56.42</v>
      </c>
      <c r="D68">
        <v>55.5</v>
      </c>
      <c r="E68">
        <v>56.98</v>
      </c>
      <c r="F68">
        <v>57.32</v>
      </c>
      <c r="G68">
        <v>56.89</v>
      </c>
      <c r="H68">
        <v>52.9</v>
      </c>
      <c r="I68">
        <v>57.8</v>
      </c>
      <c r="J68">
        <v>56.57</v>
      </c>
      <c r="M68" s="378"/>
      <c r="N68" s="206">
        <v>56.75</v>
      </c>
      <c r="O68" s="206">
        <v>56.71</v>
      </c>
      <c r="P68" s="206">
        <v>56.019999999999996</v>
      </c>
      <c r="Q68" s="206">
        <v>57.309999999999995</v>
      </c>
      <c r="R68" s="206">
        <v>57.74</v>
      </c>
      <c r="S68" s="206">
        <v>57.41</v>
      </c>
      <c r="T68" s="206">
        <v>53.269999999999996</v>
      </c>
      <c r="U68" s="206">
        <v>58.29</v>
      </c>
      <c r="V68" s="206">
        <v>57.06</v>
      </c>
      <c r="W68" s="214">
        <v>55.6</v>
      </c>
      <c r="Z68" s="23" t="str">
        <v>13/02/2024  01:01</v>
      </c>
      <c r="AA68" s="27">
        <v>54.5</v>
      </c>
      <c r="AB68" s="27">
        <v>52.1</v>
      </c>
      <c r="AC68" s="27">
        <v>55.3</v>
      </c>
    </row>
    <row r="69" spans="1:29" ht="14.45" customHeight="1" x14ac:dyDescent="0.25">
      <c r="A69" t="str">
        <v>13/02/2024  01:02</v>
      </c>
      <c r="B69">
        <v>57.28</v>
      </c>
      <c r="C69">
        <v>57.41</v>
      </c>
      <c r="D69">
        <v>56.38</v>
      </c>
      <c r="E69">
        <v>57.89</v>
      </c>
      <c r="F69">
        <v>58.31</v>
      </c>
      <c r="G69">
        <v>57.84</v>
      </c>
      <c r="H69">
        <v>53.95</v>
      </c>
      <c r="I69">
        <v>58.69</v>
      </c>
      <c r="J69">
        <v>57.44</v>
      </c>
      <c r="M69" s="378"/>
      <c r="N69" s="206">
        <v>57.76</v>
      </c>
      <c r="O69" s="206">
        <v>57.699999999999996</v>
      </c>
      <c r="P69" s="206">
        <v>56.9</v>
      </c>
      <c r="Q69" s="206">
        <v>58.22</v>
      </c>
      <c r="R69" s="206">
        <v>58.730000000000004</v>
      </c>
      <c r="S69" s="206">
        <v>58.36</v>
      </c>
      <c r="T69" s="206">
        <v>54.32</v>
      </c>
      <c r="U69" s="206">
        <v>59.18</v>
      </c>
      <c r="V69" s="206">
        <v>57.93</v>
      </c>
      <c r="W69" s="214">
        <v>56</v>
      </c>
      <c r="Z69" s="23" t="str">
        <v>13/02/2024  01:02</v>
      </c>
      <c r="AA69" s="27">
        <v>55.8</v>
      </c>
      <c r="AB69" s="27">
        <v>53.2</v>
      </c>
      <c r="AC69" s="27">
        <v>56.5</v>
      </c>
    </row>
    <row r="70" spans="1:29" ht="14.45" customHeight="1" x14ac:dyDescent="0.25">
      <c r="A70" t="str">
        <v>13/02/2024  01:03</v>
      </c>
      <c r="B70">
        <v>58.05</v>
      </c>
      <c r="C70">
        <v>58.2</v>
      </c>
      <c r="D70">
        <v>57.15</v>
      </c>
      <c r="E70">
        <v>58.75</v>
      </c>
      <c r="F70">
        <v>59.11</v>
      </c>
      <c r="G70">
        <v>58.62</v>
      </c>
      <c r="H70">
        <v>54.83</v>
      </c>
      <c r="I70">
        <v>59.52</v>
      </c>
      <c r="J70">
        <v>58.38</v>
      </c>
      <c r="M70" s="378"/>
      <c r="N70" s="206">
        <v>58.529999999999994</v>
      </c>
      <c r="O70" s="206">
        <v>58.49</v>
      </c>
      <c r="P70" s="206">
        <v>57.669999999999995</v>
      </c>
      <c r="Q70" s="206">
        <v>59.08</v>
      </c>
      <c r="R70" s="206">
        <v>59.53</v>
      </c>
      <c r="S70" s="206">
        <v>59.139999999999993</v>
      </c>
      <c r="T70" s="206">
        <v>55.199999999999996</v>
      </c>
      <c r="U70" s="206">
        <v>60.010000000000005</v>
      </c>
      <c r="V70" s="206">
        <v>58.870000000000005</v>
      </c>
      <c r="W70" s="214">
        <v>56.3</v>
      </c>
      <c r="Z70" s="23" t="str">
        <v>13/02/2024  01:03</v>
      </c>
      <c r="AA70" s="27">
        <v>57</v>
      </c>
      <c r="AB70" s="27">
        <v>54.2</v>
      </c>
      <c r="AC70" s="27">
        <v>57.5</v>
      </c>
    </row>
    <row r="71" spans="1:29" ht="14.45" customHeight="1" x14ac:dyDescent="0.25">
      <c r="A71" t="str">
        <v>13/02/2024  01:04</v>
      </c>
      <c r="B71">
        <v>58.59</v>
      </c>
      <c r="C71">
        <v>58.79</v>
      </c>
      <c r="D71">
        <v>57.79</v>
      </c>
      <c r="E71">
        <v>59.3</v>
      </c>
      <c r="F71">
        <v>59.44</v>
      </c>
      <c r="G71">
        <v>59.2</v>
      </c>
      <c r="H71">
        <v>55.38</v>
      </c>
      <c r="I71">
        <v>60.05</v>
      </c>
      <c r="J71">
        <v>58.92</v>
      </c>
      <c r="M71" s="378"/>
      <c r="N71" s="206">
        <v>59.07</v>
      </c>
      <c r="O71" s="206">
        <v>59.08</v>
      </c>
      <c r="P71" s="206">
        <v>58.309999999999995</v>
      </c>
      <c r="Q71" s="206">
        <v>59.629999999999995</v>
      </c>
      <c r="R71" s="206">
        <v>59.86</v>
      </c>
      <c r="S71" s="206">
        <v>59.72</v>
      </c>
      <c r="T71" s="206">
        <v>55.75</v>
      </c>
      <c r="U71" s="206">
        <v>60.54</v>
      </c>
      <c r="V71" s="206">
        <v>59.410000000000004</v>
      </c>
      <c r="W71" s="214">
        <v>56.6</v>
      </c>
      <c r="Z71" s="23" t="str">
        <v>13/02/2024  01:04</v>
      </c>
      <c r="AA71" s="27">
        <v>57.9</v>
      </c>
      <c r="AB71" s="27">
        <v>55.1</v>
      </c>
      <c r="AC71" s="27">
        <v>58.3</v>
      </c>
    </row>
    <row r="72" spans="1:29" ht="14.45" customHeight="1" x14ac:dyDescent="0.25">
      <c r="A72" t="str">
        <v>13/02/2024  01:05</v>
      </c>
      <c r="B72">
        <v>59.14</v>
      </c>
      <c r="C72">
        <v>59.29</v>
      </c>
      <c r="D72">
        <v>58.23</v>
      </c>
      <c r="E72">
        <v>59.79</v>
      </c>
      <c r="F72">
        <v>60.07</v>
      </c>
      <c r="G72">
        <v>59.74</v>
      </c>
      <c r="H72">
        <v>56.2</v>
      </c>
      <c r="I72">
        <v>60.59</v>
      </c>
      <c r="J72">
        <v>59.44</v>
      </c>
      <c r="M72" s="378"/>
      <c r="N72" s="206">
        <v>59.62</v>
      </c>
      <c r="O72" s="206">
        <v>59.58</v>
      </c>
      <c r="P72" s="206">
        <v>58.749999999999993</v>
      </c>
      <c r="Q72" s="206">
        <v>60.12</v>
      </c>
      <c r="R72" s="206">
        <v>60.49</v>
      </c>
      <c r="S72" s="206">
        <v>60.26</v>
      </c>
      <c r="T72" s="206">
        <v>56.57</v>
      </c>
      <c r="U72" s="206">
        <v>61.080000000000005</v>
      </c>
      <c r="V72" s="206">
        <v>59.93</v>
      </c>
      <c r="W72" s="214">
        <v>57</v>
      </c>
      <c r="Z72" s="23" t="str">
        <v>13/02/2024  01:05</v>
      </c>
      <c r="AA72" s="27">
        <v>58.6</v>
      </c>
      <c r="AB72" s="27">
        <v>55.8</v>
      </c>
      <c r="AC72" s="27">
        <v>59</v>
      </c>
    </row>
    <row r="73" spans="1:29" ht="14.45" customHeight="1" x14ac:dyDescent="0.25">
      <c r="A73" t="str">
        <v>13/02/2024  01:06</v>
      </c>
      <c r="B73">
        <v>59.45</v>
      </c>
      <c r="C73">
        <v>59.59</v>
      </c>
      <c r="D73">
        <v>58.72</v>
      </c>
      <c r="E73">
        <v>60.15</v>
      </c>
      <c r="F73">
        <v>60.42</v>
      </c>
      <c r="G73">
        <v>60.09</v>
      </c>
      <c r="H73">
        <v>56.49</v>
      </c>
      <c r="I73">
        <v>60.94</v>
      </c>
      <c r="J73">
        <v>59.78</v>
      </c>
      <c r="M73" s="378"/>
      <c r="N73" s="206">
        <v>59.93</v>
      </c>
      <c r="O73" s="206">
        <v>59.88</v>
      </c>
      <c r="P73" s="206">
        <v>59.239999999999995</v>
      </c>
      <c r="Q73" s="206">
        <v>60.48</v>
      </c>
      <c r="R73" s="206">
        <v>60.84</v>
      </c>
      <c r="S73" s="206">
        <v>60.61</v>
      </c>
      <c r="T73" s="206">
        <v>56.86</v>
      </c>
      <c r="U73" s="206">
        <v>61.43</v>
      </c>
      <c r="V73" s="206">
        <v>60.27</v>
      </c>
      <c r="W73" s="214">
        <v>57.3</v>
      </c>
      <c r="Z73" s="23" t="str">
        <v>13/02/2024  01:06</v>
      </c>
      <c r="AA73" s="27">
        <v>59.2</v>
      </c>
      <c r="AB73" s="27">
        <v>56.6</v>
      </c>
      <c r="AC73" s="27">
        <v>59.6</v>
      </c>
    </row>
    <row r="74" spans="1:29" ht="14.45" customHeight="1" x14ac:dyDescent="0.25">
      <c r="A74" t="str">
        <v>13/02/2024  01:07</v>
      </c>
      <c r="B74">
        <v>59.82</v>
      </c>
      <c r="C74">
        <v>60.01</v>
      </c>
      <c r="D74">
        <v>59.09</v>
      </c>
      <c r="E74">
        <v>60.48</v>
      </c>
      <c r="F74">
        <v>60.65</v>
      </c>
      <c r="G74">
        <v>60.5</v>
      </c>
      <c r="H74">
        <v>57</v>
      </c>
      <c r="I74">
        <v>61.18</v>
      </c>
      <c r="J74">
        <v>60.15</v>
      </c>
      <c r="M74" s="378"/>
      <c r="N74" s="206">
        <v>60.3</v>
      </c>
      <c r="O74" s="206">
        <v>60.3</v>
      </c>
      <c r="P74" s="206">
        <v>59.61</v>
      </c>
      <c r="Q74" s="206">
        <v>60.809999999999995</v>
      </c>
      <c r="R74" s="206">
        <v>61.07</v>
      </c>
      <c r="S74" s="206">
        <v>61.019999999999996</v>
      </c>
      <c r="T74" s="206">
        <v>57.37</v>
      </c>
      <c r="U74" s="206">
        <v>61.67</v>
      </c>
      <c r="V74" s="206">
        <v>60.64</v>
      </c>
      <c r="W74" s="214">
        <v>57.6</v>
      </c>
      <c r="Z74" s="23" t="str">
        <v>13/02/2024  01:07</v>
      </c>
      <c r="AA74" s="27">
        <v>59.7</v>
      </c>
      <c r="AB74" s="27">
        <v>57.1</v>
      </c>
      <c r="AC74" s="27">
        <v>60.1</v>
      </c>
    </row>
    <row r="75" spans="1:29" ht="14.45" customHeight="1" x14ac:dyDescent="0.25">
      <c r="A75" t="str">
        <v>13/02/2024  01:08</v>
      </c>
      <c r="B75">
        <v>60.17</v>
      </c>
      <c r="C75">
        <v>60.41</v>
      </c>
      <c r="D75">
        <v>59.46</v>
      </c>
      <c r="E75">
        <v>60.77</v>
      </c>
      <c r="F75">
        <v>61.03</v>
      </c>
      <c r="G75">
        <v>60.78</v>
      </c>
      <c r="H75">
        <v>57.47</v>
      </c>
      <c r="I75">
        <v>61.4</v>
      </c>
      <c r="J75">
        <v>60.45</v>
      </c>
      <c r="M75" s="378"/>
      <c r="N75" s="206">
        <v>60.65</v>
      </c>
      <c r="O75" s="206">
        <v>60.699999999999996</v>
      </c>
      <c r="P75" s="206">
        <v>59.98</v>
      </c>
      <c r="Q75" s="206">
        <v>61.1</v>
      </c>
      <c r="R75" s="206">
        <v>61.45</v>
      </c>
      <c r="S75" s="206">
        <v>61.3</v>
      </c>
      <c r="T75" s="206">
        <v>57.839999999999996</v>
      </c>
      <c r="U75" s="206">
        <v>61.89</v>
      </c>
      <c r="V75" s="206">
        <v>60.940000000000005</v>
      </c>
      <c r="W75" s="214">
        <v>58</v>
      </c>
      <c r="Z75" s="23" t="str">
        <v>13/02/2024  01:08</v>
      </c>
      <c r="AA75" s="27">
        <v>60</v>
      </c>
      <c r="AB75" s="27">
        <v>57.7</v>
      </c>
      <c r="AC75" s="27">
        <v>60.5</v>
      </c>
    </row>
    <row r="76" spans="1:29" ht="14.45" customHeight="1" x14ac:dyDescent="0.25">
      <c r="A76" t="str">
        <v>13/02/2024  01:09</v>
      </c>
      <c r="B76">
        <v>60.36</v>
      </c>
      <c r="C76">
        <v>60.64</v>
      </c>
      <c r="D76">
        <v>59.79</v>
      </c>
      <c r="E76">
        <v>61.06</v>
      </c>
      <c r="F76">
        <v>61.23</v>
      </c>
      <c r="G76">
        <v>61.03</v>
      </c>
      <c r="H76">
        <v>58.07</v>
      </c>
      <c r="I76">
        <v>61.72</v>
      </c>
      <c r="J76">
        <v>60.79</v>
      </c>
      <c r="M76" s="378"/>
      <c r="N76" s="206">
        <v>60.839999999999996</v>
      </c>
      <c r="O76" s="206">
        <v>60.93</v>
      </c>
      <c r="P76" s="206">
        <v>60.309999999999995</v>
      </c>
      <c r="Q76" s="206">
        <v>61.39</v>
      </c>
      <c r="R76" s="206">
        <v>61.65</v>
      </c>
      <c r="S76" s="206">
        <v>61.55</v>
      </c>
      <c r="T76" s="206">
        <v>58.44</v>
      </c>
      <c r="U76" s="206">
        <v>62.21</v>
      </c>
      <c r="V76" s="206">
        <v>61.28</v>
      </c>
      <c r="W76" s="214">
        <v>58.3</v>
      </c>
      <c r="Z76" s="23" t="str">
        <v>13/02/2024  01:09</v>
      </c>
      <c r="AA76" s="27">
        <v>60.3</v>
      </c>
      <c r="AB76" s="27">
        <v>58.1</v>
      </c>
      <c r="AC76" s="27">
        <v>60.8</v>
      </c>
    </row>
    <row r="77" spans="1:29" ht="14.45" customHeight="1" x14ac:dyDescent="0.25">
      <c r="A77" t="str">
        <v>13/02/2024  01:10</v>
      </c>
      <c r="B77">
        <v>60.72</v>
      </c>
      <c r="C77">
        <v>60.92</v>
      </c>
      <c r="D77">
        <v>60.13</v>
      </c>
      <c r="E77">
        <v>61.28</v>
      </c>
      <c r="F77">
        <v>61.52</v>
      </c>
      <c r="G77">
        <v>61.31</v>
      </c>
      <c r="H77">
        <v>58.37</v>
      </c>
      <c r="I77">
        <v>61.92</v>
      </c>
      <c r="J77">
        <v>61.1</v>
      </c>
      <c r="M77" s="378"/>
      <c r="N77" s="206">
        <v>61.199999999999996</v>
      </c>
      <c r="O77" s="206">
        <v>61.21</v>
      </c>
      <c r="P77" s="206">
        <v>60.65</v>
      </c>
      <c r="Q77" s="206">
        <v>61.61</v>
      </c>
      <c r="R77" s="206">
        <v>61.940000000000005</v>
      </c>
      <c r="S77" s="206">
        <v>61.83</v>
      </c>
      <c r="T77" s="206">
        <v>58.739999999999995</v>
      </c>
      <c r="U77" s="206">
        <v>62.410000000000004</v>
      </c>
      <c r="V77" s="206">
        <v>61.59</v>
      </c>
      <c r="W77" s="214">
        <v>58.6</v>
      </c>
      <c r="Z77" s="23" t="str">
        <v>13/02/2024  01:10</v>
      </c>
      <c r="AA77" s="27">
        <v>60.6</v>
      </c>
      <c r="AB77" s="27">
        <v>58.5</v>
      </c>
      <c r="AC77" s="27">
        <v>61.1</v>
      </c>
    </row>
    <row r="78" spans="1:29" ht="14.45" customHeight="1" x14ac:dyDescent="0.25">
      <c r="A78" t="str">
        <v>13/02/2024  01:11</v>
      </c>
      <c r="B78">
        <v>61.04</v>
      </c>
      <c r="C78">
        <v>61.08</v>
      </c>
      <c r="D78">
        <v>60.45</v>
      </c>
      <c r="E78">
        <v>61.6</v>
      </c>
      <c r="F78">
        <v>61.83</v>
      </c>
      <c r="G78">
        <v>61.57</v>
      </c>
      <c r="H78">
        <v>58.71</v>
      </c>
      <c r="I78">
        <v>62.17</v>
      </c>
      <c r="J78">
        <v>61.38</v>
      </c>
      <c r="M78" s="378"/>
      <c r="N78" s="206">
        <v>61.519999999999996</v>
      </c>
      <c r="O78" s="206">
        <v>61.37</v>
      </c>
      <c r="P78" s="206">
        <v>60.97</v>
      </c>
      <c r="Q78" s="206">
        <v>61.93</v>
      </c>
      <c r="R78" s="206">
        <v>62.25</v>
      </c>
      <c r="S78" s="206">
        <v>62.089999999999996</v>
      </c>
      <c r="T78" s="206">
        <v>59.08</v>
      </c>
      <c r="U78" s="206">
        <v>62.660000000000004</v>
      </c>
      <c r="V78" s="206">
        <v>61.870000000000005</v>
      </c>
      <c r="W78" s="214">
        <v>59</v>
      </c>
      <c r="Z78" s="23" t="str">
        <v>13/02/2024  01:11</v>
      </c>
      <c r="AA78" s="27">
        <v>60.9</v>
      </c>
      <c r="AB78" s="27">
        <v>58.9</v>
      </c>
      <c r="AC78" s="27">
        <v>61.3</v>
      </c>
    </row>
    <row r="79" spans="1:29" ht="14.45" customHeight="1" x14ac:dyDescent="0.25">
      <c r="A79" t="str">
        <v>13/02/2024  01:12</v>
      </c>
      <c r="B79">
        <v>61.31</v>
      </c>
      <c r="C79">
        <v>61.46</v>
      </c>
      <c r="D79">
        <v>60.7</v>
      </c>
      <c r="E79">
        <v>61.81</v>
      </c>
      <c r="F79">
        <v>62</v>
      </c>
      <c r="G79">
        <v>61.97</v>
      </c>
      <c r="H79">
        <v>59.24</v>
      </c>
      <c r="I79">
        <v>62.4</v>
      </c>
      <c r="J79">
        <v>61.66</v>
      </c>
      <c r="M79" s="378"/>
      <c r="N79" s="206">
        <v>61.79</v>
      </c>
      <c r="O79" s="206">
        <v>61.75</v>
      </c>
      <c r="P79" s="206">
        <v>61.22</v>
      </c>
      <c r="Q79" s="206">
        <v>62.14</v>
      </c>
      <c r="R79" s="206">
        <v>62.42</v>
      </c>
      <c r="S79" s="206">
        <v>62.489999999999995</v>
      </c>
      <c r="T79" s="206">
        <v>59.61</v>
      </c>
      <c r="U79" s="206">
        <v>62.89</v>
      </c>
      <c r="V79" s="206">
        <v>62.15</v>
      </c>
      <c r="W79" s="214">
        <v>59.3</v>
      </c>
      <c r="Z79" s="23" t="str">
        <v>13/02/2024  01:12</v>
      </c>
      <c r="AA79" s="27">
        <v>61.1</v>
      </c>
      <c r="AB79" s="27">
        <v>59.2</v>
      </c>
      <c r="AC79" s="27">
        <v>61.7</v>
      </c>
    </row>
    <row r="80" spans="1:29" ht="14.45" customHeight="1" x14ac:dyDescent="0.25">
      <c r="A80" t="str">
        <v>13/02/2024  01:13</v>
      </c>
      <c r="B80">
        <v>61.69</v>
      </c>
      <c r="C80">
        <v>61.77</v>
      </c>
      <c r="D80">
        <v>61.04</v>
      </c>
      <c r="E80">
        <v>62.11</v>
      </c>
      <c r="F80">
        <v>62.21</v>
      </c>
      <c r="G80">
        <v>62.18</v>
      </c>
      <c r="H80">
        <v>59.63</v>
      </c>
      <c r="I80">
        <v>62.65</v>
      </c>
      <c r="J80">
        <v>61.89</v>
      </c>
      <c r="M80" s="378"/>
      <c r="N80" s="206">
        <v>62.169999999999995</v>
      </c>
      <c r="O80" s="206">
        <v>62.06</v>
      </c>
      <c r="P80" s="206">
        <v>61.559999999999995</v>
      </c>
      <c r="Q80" s="206">
        <v>62.44</v>
      </c>
      <c r="R80" s="206">
        <v>62.63</v>
      </c>
      <c r="S80" s="206">
        <v>62.699999999999996</v>
      </c>
      <c r="T80" s="206">
        <v>60</v>
      </c>
      <c r="U80" s="206">
        <v>63.14</v>
      </c>
      <c r="V80" s="206">
        <v>62.38</v>
      </c>
      <c r="W80" s="214">
        <v>59.6</v>
      </c>
      <c r="Z80" s="23" t="str">
        <v>13/02/2024  01:13</v>
      </c>
      <c r="AA80" s="27">
        <v>61.4</v>
      </c>
      <c r="AB80" s="27">
        <v>59.6</v>
      </c>
      <c r="AC80" s="27">
        <v>61.9</v>
      </c>
    </row>
    <row r="81" spans="1:29" ht="14.45" customHeight="1" x14ac:dyDescent="0.25">
      <c r="A81" t="str">
        <v>13/02/2024  01:14</v>
      </c>
      <c r="B81">
        <v>61.92</v>
      </c>
      <c r="C81">
        <v>62.1</v>
      </c>
      <c r="D81">
        <v>61.33</v>
      </c>
      <c r="E81">
        <v>62.41</v>
      </c>
      <c r="F81">
        <v>62.59</v>
      </c>
      <c r="G81">
        <v>62.44</v>
      </c>
      <c r="H81">
        <v>59.93</v>
      </c>
      <c r="I81">
        <v>62.94</v>
      </c>
      <c r="J81">
        <v>62.19</v>
      </c>
      <c r="M81" s="378"/>
      <c r="N81" s="206">
        <v>62.4</v>
      </c>
      <c r="O81" s="206">
        <v>62.39</v>
      </c>
      <c r="P81" s="206">
        <v>61.849999999999994</v>
      </c>
      <c r="Q81" s="206">
        <v>62.739999999999995</v>
      </c>
      <c r="R81" s="206">
        <v>63.010000000000005</v>
      </c>
      <c r="S81" s="206">
        <v>62.959999999999994</v>
      </c>
      <c r="T81" s="206">
        <v>60.3</v>
      </c>
      <c r="U81" s="206">
        <v>63.43</v>
      </c>
      <c r="V81" s="206">
        <v>62.68</v>
      </c>
      <c r="W81" s="214">
        <v>60</v>
      </c>
      <c r="Z81" s="23" t="str">
        <v>13/02/2024  01:14</v>
      </c>
      <c r="AA81" s="27">
        <v>61.6</v>
      </c>
      <c r="AB81" s="27">
        <v>59.9</v>
      </c>
      <c r="AC81" s="27">
        <v>62.2</v>
      </c>
    </row>
    <row r="82" spans="1:29" ht="14.45" customHeight="1" x14ac:dyDescent="0.25">
      <c r="A82" t="str">
        <v>13/02/2024  01:15</v>
      </c>
      <c r="B82">
        <v>62.24</v>
      </c>
      <c r="C82">
        <v>62.33</v>
      </c>
      <c r="D82">
        <v>61.65</v>
      </c>
      <c r="E82">
        <v>62.71</v>
      </c>
      <c r="F82">
        <v>62.82</v>
      </c>
      <c r="G82">
        <v>62.72</v>
      </c>
      <c r="H82">
        <v>60.29</v>
      </c>
      <c r="I82">
        <v>63.17</v>
      </c>
      <c r="J82">
        <v>62.4</v>
      </c>
      <c r="M82" s="378"/>
      <c r="N82" s="206">
        <v>62.72</v>
      </c>
      <c r="O82" s="206">
        <v>62.62</v>
      </c>
      <c r="P82" s="206">
        <v>62.169999999999995</v>
      </c>
      <c r="Q82" s="206">
        <v>63.04</v>
      </c>
      <c r="R82" s="206">
        <v>63.24</v>
      </c>
      <c r="S82" s="206">
        <v>63.239999999999995</v>
      </c>
      <c r="T82" s="206">
        <v>60.66</v>
      </c>
      <c r="U82" s="206">
        <v>63.660000000000004</v>
      </c>
      <c r="V82" s="206">
        <v>62.89</v>
      </c>
      <c r="W82" s="214">
        <v>60.3</v>
      </c>
      <c r="Z82" s="23" t="str">
        <v>13/02/2024  01:15</v>
      </c>
      <c r="AA82" s="27">
        <v>61.8</v>
      </c>
      <c r="AB82" s="27">
        <v>60.1</v>
      </c>
      <c r="AC82" s="27">
        <v>62.5</v>
      </c>
    </row>
    <row r="83" spans="1:29" ht="14.45" customHeight="1" x14ac:dyDescent="0.25">
      <c r="A83" t="str">
        <v>13/02/2024  01:16</v>
      </c>
      <c r="B83">
        <v>62.52</v>
      </c>
      <c r="C83">
        <v>62.63</v>
      </c>
      <c r="D83">
        <v>61.94</v>
      </c>
      <c r="E83">
        <v>62.92</v>
      </c>
      <c r="F83">
        <v>63.09</v>
      </c>
      <c r="G83">
        <v>63.11</v>
      </c>
      <c r="H83">
        <v>60.64</v>
      </c>
      <c r="I83">
        <v>63.45</v>
      </c>
      <c r="J83">
        <v>62.75</v>
      </c>
      <c r="M83" s="378"/>
      <c r="N83" s="206">
        <v>63</v>
      </c>
      <c r="O83" s="206">
        <v>62.92</v>
      </c>
      <c r="P83" s="206">
        <v>62.459999999999994</v>
      </c>
      <c r="Q83" s="206">
        <v>63.25</v>
      </c>
      <c r="R83" s="206">
        <v>63.510000000000005</v>
      </c>
      <c r="S83" s="206">
        <v>63.629999999999995</v>
      </c>
      <c r="T83" s="206">
        <v>61.01</v>
      </c>
      <c r="U83" s="206">
        <v>63.940000000000005</v>
      </c>
      <c r="V83" s="206">
        <v>63.24</v>
      </c>
      <c r="W83" s="214">
        <v>60.6</v>
      </c>
      <c r="Z83" s="23" t="str">
        <v>13/02/2024  01:16</v>
      </c>
      <c r="AA83" s="27">
        <v>62.1</v>
      </c>
      <c r="AB83" s="27">
        <v>60.5</v>
      </c>
      <c r="AC83" s="27">
        <v>62.7</v>
      </c>
    </row>
    <row r="84" spans="1:29" ht="14.45" customHeight="1" x14ac:dyDescent="0.25">
      <c r="A84" t="str">
        <v>13/02/2024  01:17</v>
      </c>
      <c r="B84">
        <v>62.78</v>
      </c>
      <c r="C84">
        <v>62.88</v>
      </c>
      <c r="D84">
        <v>62.24</v>
      </c>
      <c r="E84">
        <v>63.21</v>
      </c>
      <c r="F84">
        <v>63.27</v>
      </c>
      <c r="G84">
        <v>63.24</v>
      </c>
      <c r="H84">
        <v>61.09</v>
      </c>
      <c r="I84">
        <v>63.69</v>
      </c>
      <c r="J84">
        <v>63.01</v>
      </c>
      <c r="M84" s="378"/>
      <c r="N84" s="206">
        <v>63.26</v>
      </c>
      <c r="O84" s="206">
        <v>63.17</v>
      </c>
      <c r="P84" s="206">
        <v>62.76</v>
      </c>
      <c r="Q84" s="206">
        <v>63.54</v>
      </c>
      <c r="R84" s="206">
        <v>63.690000000000005</v>
      </c>
      <c r="S84" s="206">
        <v>63.76</v>
      </c>
      <c r="T84" s="206">
        <v>61.46</v>
      </c>
      <c r="U84" s="206">
        <v>64.180000000000007</v>
      </c>
      <c r="V84" s="206">
        <v>63.5</v>
      </c>
      <c r="W84" s="214">
        <v>61</v>
      </c>
      <c r="Z84" s="23" t="str">
        <v>13/02/2024  01:17</v>
      </c>
      <c r="AA84" s="27">
        <v>62.4</v>
      </c>
      <c r="AB84" s="27">
        <v>60.8</v>
      </c>
      <c r="AC84" s="27">
        <v>63</v>
      </c>
    </row>
    <row r="85" spans="1:29" ht="14.45" customHeight="1" x14ac:dyDescent="0.25">
      <c r="A85" t="str">
        <v>13/02/2024  01:18</v>
      </c>
      <c r="B85">
        <v>63.03</v>
      </c>
      <c r="C85">
        <v>63.2</v>
      </c>
      <c r="D85">
        <v>62.52</v>
      </c>
      <c r="E85">
        <v>63.46</v>
      </c>
      <c r="F85">
        <v>63.59</v>
      </c>
      <c r="G85">
        <v>63.53</v>
      </c>
      <c r="H85">
        <v>61.35</v>
      </c>
      <c r="I85">
        <v>63.96</v>
      </c>
      <c r="J85">
        <v>63.25</v>
      </c>
      <c r="M85" s="378"/>
      <c r="N85" s="206">
        <v>63.51</v>
      </c>
      <c r="O85" s="206">
        <v>63.49</v>
      </c>
      <c r="P85" s="206">
        <v>63.04</v>
      </c>
      <c r="Q85" s="206">
        <v>63.79</v>
      </c>
      <c r="R85" s="206">
        <v>64.010000000000005</v>
      </c>
      <c r="S85" s="206">
        <v>64.05</v>
      </c>
      <c r="T85" s="206">
        <v>61.72</v>
      </c>
      <c r="U85" s="206">
        <v>64.45</v>
      </c>
      <c r="V85" s="206">
        <v>63.74</v>
      </c>
      <c r="W85" s="214">
        <v>61.3</v>
      </c>
      <c r="Z85" s="23" t="str">
        <v>13/02/2024  01:18</v>
      </c>
      <c r="AA85" s="27">
        <v>62.6</v>
      </c>
      <c r="AB85" s="27">
        <v>61.1</v>
      </c>
      <c r="AC85" s="27">
        <v>63.3</v>
      </c>
    </row>
    <row r="86" spans="1:29" ht="14.45" customHeight="1" x14ac:dyDescent="0.25">
      <c r="A86" t="str">
        <v>13/02/2024  01:19</v>
      </c>
      <c r="B86">
        <v>63.4</v>
      </c>
      <c r="C86">
        <v>63.46</v>
      </c>
      <c r="D86">
        <v>62.86</v>
      </c>
      <c r="E86">
        <v>63.8</v>
      </c>
      <c r="F86">
        <v>63.95</v>
      </c>
      <c r="G86">
        <v>63.86</v>
      </c>
      <c r="H86">
        <v>61.7</v>
      </c>
      <c r="I86">
        <v>64.19</v>
      </c>
      <c r="J86">
        <v>63.56</v>
      </c>
      <c r="M86" s="378"/>
      <c r="N86" s="206">
        <v>63.879999999999995</v>
      </c>
      <c r="O86" s="206">
        <v>63.75</v>
      </c>
      <c r="P86" s="206">
        <v>63.379999999999995</v>
      </c>
      <c r="Q86" s="206">
        <v>64.13</v>
      </c>
      <c r="R86" s="206">
        <v>64.37</v>
      </c>
      <c r="S86" s="206">
        <v>64.38</v>
      </c>
      <c r="T86" s="206">
        <v>62.07</v>
      </c>
      <c r="U86" s="206">
        <v>64.679999999999993</v>
      </c>
      <c r="V86" s="206">
        <v>64.050000000000011</v>
      </c>
      <c r="W86" s="214">
        <v>61.6</v>
      </c>
      <c r="Z86" s="23" t="str">
        <v>13/02/2024  01:19</v>
      </c>
      <c r="AA86" s="27">
        <v>62.9</v>
      </c>
      <c r="AB86" s="27">
        <v>61.4</v>
      </c>
      <c r="AC86" s="27">
        <v>63.6</v>
      </c>
    </row>
    <row r="87" spans="1:29" ht="14.45" customHeight="1" x14ac:dyDescent="0.25">
      <c r="A87" t="str">
        <v>13/02/2024  01:20</v>
      </c>
      <c r="B87">
        <v>63.65</v>
      </c>
      <c r="C87">
        <v>63.8</v>
      </c>
      <c r="D87">
        <v>63.19</v>
      </c>
      <c r="E87">
        <v>64.06</v>
      </c>
      <c r="F87">
        <v>64.2</v>
      </c>
      <c r="G87">
        <v>64.150000000000006</v>
      </c>
      <c r="H87">
        <v>62.06</v>
      </c>
      <c r="I87">
        <v>64.5</v>
      </c>
      <c r="J87">
        <v>63.85</v>
      </c>
      <c r="M87" s="378"/>
      <c r="N87" s="206">
        <v>64.13</v>
      </c>
      <c r="O87" s="206">
        <v>64.09</v>
      </c>
      <c r="P87" s="206">
        <v>63.709999999999994</v>
      </c>
      <c r="Q87" s="206">
        <v>64.39</v>
      </c>
      <c r="R87" s="206">
        <v>64.62</v>
      </c>
      <c r="S87" s="206">
        <v>64.67</v>
      </c>
      <c r="T87" s="206">
        <v>62.43</v>
      </c>
      <c r="U87" s="206">
        <v>64.989999999999995</v>
      </c>
      <c r="V87" s="206">
        <v>64.34</v>
      </c>
      <c r="W87" s="214">
        <v>62</v>
      </c>
      <c r="Z87" s="23" t="str">
        <v>13/02/2024  01:20</v>
      </c>
      <c r="AA87" s="27">
        <v>63.1</v>
      </c>
      <c r="AB87" s="27">
        <v>61.7</v>
      </c>
      <c r="AC87" s="27">
        <v>63.9</v>
      </c>
    </row>
    <row r="88" spans="1:29" ht="14.45" customHeight="1" x14ac:dyDescent="0.25">
      <c r="A88" t="str">
        <v>13/02/2024  01:21</v>
      </c>
      <c r="B88">
        <v>63.97</v>
      </c>
      <c r="C88">
        <v>63.94</v>
      </c>
      <c r="D88">
        <v>63.47</v>
      </c>
      <c r="E88">
        <v>64.34</v>
      </c>
      <c r="F88">
        <v>64.459999999999994</v>
      </c>
      <c r="G88">
        <v>64.52</v>
      </c>
      <c r="H88">
        <v>62.36</v>
      </c>
      <c r="I88">
        <v>64.83</v>
      </c>
      <c r="J88">
        <v>64.260000000000005</v>
      </c>
      <c r="M88" s="378"/>
      <c r="N88" s="206">
        <v>64.45</v>
      </c>
      <c r="O88" s="206">
        <v>64.22999999999999</v>
      </c>
      <c r="P88" s="206">
        <v>63.989999999999995</v>
      </c>
      <c r="Q88" s="206">
        <v>64.67</v>
      </c>
      <c r="R88" s="206">
        <v>64.88</v>
      </c>
      <c r="S88" s="206">
        <v>65.039999999999992</v>
      </c>
      <c r="T88" s="206">
        <v>62.73</v>
      </c>
      <c r="U88" s="206">
        <v>65.319999999999993</v>
      </c>
      <c r="V88" s="206">
        <v>64.75</v>
      </c>
      <c r="W88" s="214">
        <v>62.3</v>
      </c>
      <c r="Z88" s="23" t="str">
        <v>13/02/2024  01:21</v>
      </c>
      <c r="AA88" s="27">
        <v>63.4</v>
      </c>
      <c r="AB88" s="27">
        <v>62</v>
      </c>
      <c r="AC88" s="27">
        <v>64.2</v>
      </c>
    </row>
    <row r="89" spans="1:29" ht="14.45" customHeight="1" x14ac:dyDescent="0.25">
      <c r="A89" t="str">
        <v>13/02/2024  01:22</v>
      </c>
      <c r="B89">
        <v>64.38</v>
      </c>
      <c r="C89">
        <v>64.33</v>
      </c>
      <c r="D89">
        <v>63.81</v>
      </c>
      <c r="E89">
        <v>64.69</v>
      </c>
      <c r="F89">
        <v>64.86</v>
      </c>
      <c r="G89">
        <v>64.760000000000005</v>
      </c>
      <c r="H89">
        <v>62.85</v>
      </c>
      <c r="I89">
        <v>65.150000000000006</v>
      </c>
      <c r="J89">
        <v>64.5</v>
      </c>
      <c r="M89" s="378"/>
      <c r="N89" s="206">
        <v>64.86</v>
      </c>
      <c r="O89" s="206">
        <v>64.61999999999999</v>
      </c>
      <c r="P89" s="206">
        <v>64.33</v>
      </c>
      <c r="Q89" s="206">
        <v>65.02</v>
      </c>
      <c r="R89" s="206">
        <v>65.28</v>
      </c>
      <c r="S89" s="206">
        <v>65.28</v>
      </c>
      <c r="T89" s="206">
        <v>63.22</v>
      </c>
      <c r="U89" s="206">
        <v>65.64</v>
      </c>
      <c r="V89" s="206">
        <v>64.989999999999995</v>
      </c>
      <c r="W89" s="214">
        <v>62.6</v>
      </c>
      <c r="Z89" s="23" t="str">
        <v>13/02/2024  01:22</v>
      </c>
      <c r="AA89" s="27">
        <v>63.7</v>
      </c>
      <c r="AB89" s="27">
        <v>62.3</v>
      </c>
      <c r="AC89" s="27">
        <v>64.5</v>
      </c>
    </row>
    <row r="90" spans="1:29" ht="14.45" customHeight="1" x14ac:dyDescent="0.25">
      <c r="A90" t="str">
        <v>13/02/2024  01:23</v>
      </c>
      <c r="B90">
        <v>64.66</v>
      </c>
      <c r="C90">
        <v>64.709999999999994</v>
      </c>
      <c r="D90">
        <v>64.11</v>
      </c>
      <c r="E90">
        <v>65.010000000000005</v>
      </c>
      <c r="F90">
        <v>65.13</v>
      </c>
      <c r="G90">
        <v>65.099999999999994</v>
      </c>
      <c r="H90">
        <v>63.18</v>
      </c>
      <c r="I90">
        <v>65.459999999999994</v>
      </c>
      <c r="J90">
        <v>64.81</v>
      </c>
      <c r="M90" s="378"/>
      <c r="N90" s="206">
        <v>65.14</v>
      </c>
      <c r="O90" s="206">
        <v>64.999999999999986</v>
      </c>
      <c r="P90" s="206">
        <v>64.63</v>
      </c>
      <c r="Q90" s="206">
        <v>65.34</v>
      </c>
      <c r="R90" s="206">
        <v>65.55</v>
      </c>
      <c r="S90" s="206">
        <v>65.61999999999999</v>
      </c>
      <c r="T90" s="206">
        <v>63.55</v>
      </c>
      <c r="U90" s="206">
        <v>65.949999999999989</v>
      </c>
      <c r="V90" s="206">
        <v>65.3</v>
      </c>
      <c r="W90" s="214">
        <v>63</v>
      </c>
      <c r="Z90" s="23" t="str">
        <v>13/02/2024  01:23</v>
      </c>
      <c r="AA90" s="27">
        <v>64</v>
      </c>
      <c r="AB90" s="27">
        <v>62.7</v>
      </c>
      <c r="AC90" s="27">
        <v>64.8</v>
      </c>
    </row>
    <row r="91" spans="1:29" ht="14.45" customHeight="1" x14ac:dyDescent="0.25">
      <c r="A91" t="str">
        <v>13/02/2024  01:24</v>
      </c>
      <c r="B91">
        <v>64.94</v>
      </c>
      <c r="C91">
        <v>64.98</v>
      </c>
      <c r="D91">
        <v>64.459999999999994</v>
      </c>
      <c r="E91">
        <v>65.31</v>
      </c>
      <c r="F91">
        <v>65.430000000000007</v>
      </c>
      <c r="G91">
        <v>65.459999999999994</v>
      </c>
      <c r="H91">
        <v>63.43</v>
      </c>
      <c r="I91">
        <v>65.739999999999995</v>
      </c>
      <c r="J91">
        <v>65.180000000000007</v>
      </c>
      <c r="M91" s="378"/>
      <c r="N91" s="206">
        <v>65.42</v>
      </c>
      <c r="O91" s="206">
        <v>65.27</v>
      </c>
      <c r="P91" s="206">
        <v>64.97999999999999</v>
      </c>
      <c r="Q91" s="206">
        <v>65.64</v>
      </c>
      <c r="R91" s="206">
        <v>65.850000000000009</v>
      </c>
      <c r="S91" s="206">
        <v>65.97999999999999</v>
      </c>
      <c r="T91" s="206">
        <v>63.8</v>
      </c>
      <c r="U91" s="206">
        <v>66.22999999999999</v>
      </c>
      <c r="V91" s="206">
        <v>65.67</v>
      </c>
      <c r="W91" s="214">
        <v>63.3</v>
      </c>
      <c r="Z91" s="23" t="str">
        <v>13/02/2024  01:24</v>
      </c>
      <c r="AA91" s="27">
        <v>64.3</v>
      </c>
      <c r="AB91" s="27">
        <v>63</v>
      </c>
      <c r="AC91" s="27">
        <v>65.099999999999994</v>
      </c>
    </row>
    <row r="92" spans="1:29" ht="14.45" customHeight="1" x14ac:dyDescent="0.25">
      <c r="A92" t="str">
        <v>13/02/2024  01:25</v>
      </c>
      <c r="B92">
        <v>65.290000000000006</v>
      </c>
      <c r="C92">
        <v>65.31</v>
      </c>
      <c r="D92">
        <v>64.8</v>
      </c>
      <c r="E92">
        <v>65.599999999999994</v>
      </c>
      <c r="F92">
        <v>65.709999999999994</v>
      </c>
      <c r="G92">
        <v>65.75</v>
      </c>
      <c r="H92">
        <v>63.75</v>
      </c>
      <c r="I92">
        <v>66.06</v>
      </c>
      <c r="J92">
        <v>65.400000000000006</v>
      </c>
      <c r="M92" s="378"/>
      <c r="N92" s="206">
        <v>65.77000000000001</v>
      </c>
      <c r="O92" s="206">
        <v>65.599999999999994</v>
      </c>
      <c r="P92" s="206">
        <v>65.319999999999993</v>
      </c>
      <c r="Q92" s="206">
        <v>65.929999999999993</v>
      </c>
      <c r="R92" s="206">
        <v>66.13</v>
      </c>
      <c r="S92" s="206">
        <v>66.27</v>
      </c>
      <c r="T92" s="206">
        <v>64.12</v>
      </c>
      <c r="U92" s="206">
        <v>66.55</v>
      </c>
      <c r="V92" s="206">
        <v>65.89</v>
      </c>
      <c r="W92" s="214">
        <v>63.6</v>
      </c>
      <c r="Z92" s="23" t="str">
        <v>13/02/2024  01:25</v>
      </c>
      <c r="AA92" s="27">
        <v>64.7</v>
      </c>
      <c r="AB92" s="27">
        <v>63.3</v>
      </c>
      <c r="AC92" s="27">
        <v>65.400000000000006</v>
      </c>
    </row>
    <row r="93" spans="1:29" ht="14.45" customHeight="1" x14ac:dyDescent="0.25">
      <c r="A93" t="str">
        <v>13/02/2024  01:26</v>
      </c>
      <c r="B93">
        <v>65.59</v>
      </c>
      <c r="C93">
        <v>65.599999999999994</v>
      </c>
      <c r="D93">
        <v>65.12</v>
      </c>
      <c r="E93">
        <v>65.94</v>
      </c>
      <c r="F93">
        <v>66.03</v>
      </c>
      <c r="G93">
        <v>66.099999999999994</v>
      </c>
      <c r="H93">
        <v>64.150000000000006</v>
      </c>
      <c r="I93">
        <v>66.38</v>
      </c>
      <c r="J93">
        <v>65.739999999999995</v>
      </c>
      <c r="M93" s="378"/>
      <c r="N93" s="206">
        <v>66.070000000000007</v>
      </c>
      <c r="O93" s="206">
        <v>65.889999999999986</v>
      </c>
      <c r="P93" s="206">
        <v>65.64</v>
      </c>
      <c r="Q93" s="206">
        <v>66.27</v>
      </c>
      <c r="R93" s="206">
        <v>66.45</v>
      </c>
      <c r="S93" s="206">
        <v>66.61999999999999</v>
      </c>
      <c r="T93" s="206">
        <v>64.52000000000001</v>
      </c>
      <c r="U93" s="206">
        <v>66.86999999999999</v>
      </c>
      <c r="V93" s="206">
        <v>66.22999999999999</v>
      </c>
      <c r="W93" s="214">
        <v>64</v>
      </c>
      <c r="Z93" s="23" t="str">
        <v>13/02/2024  01:26</v>
      </c>
      <c r="AA93" s="27">
        <v>65</v>
      </c>
      <c r="AB93" s="27">
        <v>63.7</v>
      </c>
      <c r="AC93" s="27">
        <v>65.8</v>
      </c>
    </row>
    <row r="94" spans="1:29" ht="14.45" customHeight="1" x14ac:dyDescent="0.25">
      <c r="A94" t="str">
        <v>13/02/2024  01:27</v>
      </c>
      <c r="B94">
        <v>65.94</v>
      </c>
      <c r="C94">
        <v>66.040000000000006</v>
      </c>
      <c r="D94">
        <v>65.430000000000007</v>
      </c>
      <c r="E94">
        <v>66.3</v>
      </c>
      <c r="F94">
        <v>66.459999999999994</v>
      </c>
      <c r="G94">
        <v>66.33</v>
      </c>
      <c r="H94">
        <v>64.37</v>
      </c>
      <c r="I94">
        <v>66.7</v>
      </c>
      <c r="J94">
        <v>66.03</v>
      </c>
      <c r="M94" s="378"/>
      <c r="N94" s="206">
        <v>66.42</v>
      </c>
      <c r="O94" s="206">
        <v>66.33</v>
      </c>
      <c r="P94" s="206">
        <v>65.95</v>
      </c>
      <c r="Q94" s="206">
        <v>66.63</v>
      </c>
      <c r="R94" s="206">
        <v>66.88</v>
      </c>
      <c r="S94" s="206">
        <v>66.849999999999994</v>
      </c>
      <c r="T94" s="206">
        <v>64.740000000000009</v>
      </c>
      <c r="U94" s="206">
        <v>67.19</v>
      </c>
      <c r="V94" s="206">
        <v>66.52</v>
      </c>
      <c r="W94" s="214">
        <v>64.3</v>
      </c>
      <c r="Z94" s="23" t="str">
        <v>13/02/2024  01:27</v>
      </c>
      <c r="AA94" s="27">
        <v>65.2</v>
      </c>
      <c r="AB94" s="27">
        <v>64</v>
      </c>
      <c r="AC94" s="27">
        <v>66.099999999999994</v>
      </c>
    </row>
    <row r="95" spans="1:29" ht="14.45" customHeight="1" x14ac:dyDescent="0.25">
      <c r="A95" t="str">
        <v>13/02/2024  01:28</v>
      </c>
      <c r="B95">
        <v>66.239999999999995</v>
      </c>
      <c r="C95">
        <v>66.36</v>
      </c>
      <c r="D95">
        <v>65.760000000000005</v>
      </c>
      <c r="E95">
        <v>66.64</v>
      </c>
      <c r="F95">
        <v>66.709999999999994</v>
      </c>
      <c r="G95">
        <v>66.72</v>
      </c>
      <c r="H95">
        <v>64.8</v>
      </c>
      <c r="I95">
        <v>67.05</v>
      </c>
      <c r="J95">
        <v>66.48</v>
      </c>
      <c r="M95" s="378"/>
      <c r="N95" s="206">
        <v>66.72</v>
      </c>
      <c r="O95" s="206">
        <v>66.649999999999991</v>
      </c>
      <c r="P95" s="206">
        <v>66.28</v>
      </c>
      <c r="Q95" s="206">
        <v>66.97</v>
      </c>
      <c r="R95" s="206">
        <v>67.13</v>
      </c>
      <c r="S95" s="206">
        <v>67.239999999999995</v>
      </c>
      <c r="T95" s="206">
        <v>65.17</v>
      </c>
      <c r="U95" s="206">
        <v>67.539999999999992</v>
      </c>
      <c r="V95" s="206">
        <v>66.97</v>
      </c>
      <c r="W95" s="214">
        <v>64.599999999999994</v>
      </c>
      <c r="Z95" s="23" t="str">
        <v>13/02/2024  01:28</v>
      </c>
      <c r="AA95" s="27">
        <v>65.599999999999994</v>
      </c>
      <c r="AB95" s="27">
        <v>64.3</v>
      </c>
      <c r="AC95" s="27">
        <v>66.400000000000006</v>
      </c>
    </row>
    <row r="96" spans="1:29" ht="14.45" customHeight="1" x14ac:dyDescent="0.25">
      <c r="A96" t="str">
        <v>13/02/2024  01:29</v>
      </c>
      <c r="B96">
        <v>66.56</v>
      </c>
      <c r="C96">
        <v>66.59</v>
      </c>
      <c r="D96">
        <v>66.13</v>
      </c>
      <c r="E96">
        <v>66.94</v>
      </c>
      <c r="F96">
        <v>67.040000000000006</v>
      </c>
      <c r="G96">
        <v>67.12</v>
      </c>
      <c r="H96">
        <v>65.17</v>
      </c>
      <c r="I96">
        <v>67.38</v>
      </c>
      <c r="J96">
        <v>66.77</v>
      </c>
      <c r="M96" s="378"/>
      <c r="N96" s="206">
        <v>67.040000000000006</v>
      </c>
      <c r="O96" s="206">
        <v>66.88</v>
      </c>
      <c r="P96" s="206">
        <v>66.649999999999991</v>
      </c>
      <c r="Q96" s="206">
        <v>67.27</v>
      </c>
      <c r="R96" s="206">
        <v>67.460000000000008</v>
      </c>
      <c r="S96" s="206">
        <v>67.64</v>
      </c>
      <c r="T96" s="206">
        <v>65.540000000000006</v>
      </c>
      <c r="U96" s="206">
        <v>67.86999999999999</v>
      </c>
      <c r="V96" s="206">
        <v>67.259999999999991</v>
      </c>
      <c r="W96" s="214">
        <v>65</v>
      </c>
      <c r="Z96" s="23" t="str">
        <v>13/02/2024  01:29</v>
      </c>
      <c r="AA96" s="27">
        <v>65.900000000000006</v>
      </c>
      <c r="AB96" s="27">
        <v>64.599999999999994</v>
      </c>
      <c r="AC96" s="27">
        <v>66.8</v>
      </c>
    </row>
    <row r="97" spans="1:29" ht="14.45" customHeight="1" x14ac:dyDescent="0.25">
      <c r="A97" t="str">
        <v>13/02/2024  01:30</v>
      </c>
      <c r="B97">
        <v>66.88</v>
      </c>
      <c r="C97">
        <v>66.98</v>
      </c>
      <c r="D97">
        <v>66.44</v>
      </c>
      <c r="E97">
        <v>67.260000000000005</v>
      </c>
      <c r="F97">
        <v>67.36</v>
      </c>
      <c r="G97">
        <v>67.47</v>
      </c>
      <c r="H97">
        <v>65.489999999999995</v>
      </c>
      <c r="I97">
        <v>67.739999999999995</v>
      </c>
      <c r="J97">
        <v>67.069999999999993</v>
      </c>
      <c r="M97" s="378"/>
      <c r="N97" s="206">
        <v>67.36</v>
      </c>
      <c r="O97" s="206">
        <v>67.27</v>
      </c>
      <c r="P97" s="206">
        <v>66.959999999999994</v>
      </c>
      <c r="Q97" s="206">
        <v>67.59</v>
      </c>
      <c r="R97" s="206">
        <v>67.78</v>
      </c>
      <c r="S97" s="206">
        <v>67.989999999999995</v>
      </c>
      <c r="T97" s="206">
        <v>65.86</v>
      </c>
      <c r="U97" s="206">
        <v>68.22999999999999</v>
      </c>
      <c r="V97" s="206">
        <v>67.559999999999988</v>
      </c>
      <c r="W97" s="214">
        <v>65.3</v>
      </c>
      <c r="Z97" s="23" t="str">
        <v>13/02/2024  01:30</v>
      </c>
      <c r="AA97" s="27">
        <v>66.2</v>
      </c>
      <c r="AB97" s="27">
        <v>65</v>
      </c>
      <c r="AC97" s="27">
        <v>67.099999999999994</v>
      </c>
    </row>
    <row r="98" spans="1:29" ht="14.45" customHeight="1" x14ac:dyDescent="0.25">
      <c r="A98" t="str">
        <v>13/02/2024  01:31</v>
      </c>
      <c r="B98">
        <v>67.28</v>
      </c>
      <c r="C98">
        <v>67.28</v>
      </c>
      <c r="D98">
        <v>66.77</v>
      </c>
      <c r="E98">
        <v>67.599999999999994</v>
      </c>
      <c r="F98">
        <v>67.73</v>
      </c>
      <c r="G98">
        <v>67.790000000000006</v>
      </c>
      <c r="H98">
        <v>65.790000000000006</v>
      </c>
      <c r="I98">
        <v>68.03</v>
      </c>
      <c r="J98">
        <v>67.38</v>
      </c>
      <c r="M98" s="378"/>
      <c r="N98" s="206">
        <v>67.760000000000005</v>
      </c>
      <c r="O98" s="206">
        <v>67.569999999999993</v>
      </c>
      <c r="P98" s="206">
        <v>67.289999999999992</v>
      </c>
      <c r="Q98" s="206">
        <v>67.929999999999993</v>
      </c>
      <c r="R98" s="206">
        <v>68.150000000000006</v>
      </c>
      <c r="S98" s="206">
        <v>68.31</v>
      </c>
      <c r="T98" s="206">
        <v>66.160000000000011</v>
      </c>
      <c r="U98" s="206">
        <v>68.52</v>
      </c>
      <c r="V98" s="206">
        <v>67.86999999999999</v>
      </c>
      <c r="W98" s="214">
        <v>65.599999999999994</v>
      </c>
      <c r="Z98" s="23" t="str">
        <v>13/02/2024  01:31</v>
      </c>
      <c r="AA98" s="27">
        <v>66.599999999999994</v>
      </c>
      <c r="AB98" s="27">
        <v>65.3</v>
      </c>
      <c r="AC98" s="27">
        <v>67.400000000000006</v>
      </c>
    </row>
    <row r="99" spans="1:29" ht="14.45" customHeight="1" x14ac:dyDescent="0.25">
      <c r="A99" t="str">
        <v>13/02/2024  01:32</v>
      </c>
      <c r="B99">
        <v>67.540000000000006</v>
      </c>
      <c r="C99">
        <v>67.63</v>
      </c>
      <c r="D99">
        <v>67.11</v>
      </c>
      <c r="E99">
        <v>67.92</v>
      </c>
      <c r="F99">
        <v>68.010000000000005</v>
      </c>
      <c r="G99">
        <v>68.010000000000005</v>
      </c>
      <c r="H99">
        <v>66.06</v>
      </c>
      <c r="I99">
        <v>68.33</v>
      </c>
      <c r="J99">
        <v>67.72</v>
      </c>
      <c r="M99" s="378"/>
      <c r="N99" s="206">
        <v>68.02000000000001</v>
      </c>
      <c r="O99" s="206">
        <v>67.919999999999987</v>
      </c>
      <c r="P99" s="206">
        <v>67.63</v>
      </c>
      <c r="Q99" s="206">
        <v>68.25</v>
      </c>
      <c r="R99" s="206">
        <v>68.430000000000007</v>
      </c>
      <c r="S99" s="206">
        <v>68.53</v>
      </c>
      <c r="T99" s="206">
        <v>66.430000000000007</v>
      </c>
      <c r="U99" s="206">
        <v>68.819999999999993</v>
      </c>
      <c r="V99" s="206">
        <v>68.209999999999994</v>
      </c>
      <c r="W99" s="214">
        <v>66</v>
      </c>
      <c r="Z99" s="23" t="str">
        <v>13/02/2024  01:32</v>
      </c>
      <c r="AA99" s="27">
        <v>66.900000000000006</v>
      </c>
      <c r="AB99" s="27">
        <v>65.599999999999994</v>
      </c>
      <c r="AC99" s="27">
        <v>67.8</v>
      </c>
    </row>
    <row r="100" spans="1:29" ht="14.45" customHeight="1" x14ac:dyDescent="0.25">
      <c r="A100" t="str">
        <v>13/02/2024  01:33</v>
      </c>
      <c r="B100">
        <v>67.89</v>
      </c>
      <c r="C100">
        <v>67.92</v>
      </c>
      <c r="D100">
        <v>67.41</v>
      </c>
      <c r="E100">
        <v>68.22</v>
      </c>
      <c r="F100">
        <v>68.349999999999994</v>
      </c>
      <c r="G100">
        <v>68.41</v>
      </c>
      <c r="H100">
        <v>66.45</v>
      </c>
      <c r="I100">
        <v>68.66</v>
      </c>
      <c r="J100">
        <v>68.05</v>
      </c>
      <c r="M100" s="378"/>
      <c r="N100" s="206">
        <v>68.37</v>
      </c>
      <c r="O100" s="206">
        <v>68.209999999999994</v>
      </c>
      <c r="P100" s="206">
        <v>67.929999999999993</v>
      </c>
      <c r="Q100" s="206">
        <v>68.55</v>
      </c>
      <c r="R100" s="206">
        <v>68.77</v>
      </c>
      <c r="S100" s="206">
        <v>68.929999999999993</v>
      </c>
      <c r="T100" s="206">
        <v>66.820000000000007</v>
      </c>
      <c r="U100" s="206">
        <v>69.149999999999991</v>
      </c>
      <c r="V100" s="206">
        <v>68.539999999999992</v>
      </c>
      <c r="W100" s="214">
        <v>66.3</v>
      </c>
      <c r="Z100" s="23" t="str">
        <v>13/02/2024  01:33</v>
      </c>
      <c r="AA100" s="27">
        <v>67.2</v>
      </c>
      <c r="AB100" s="27">
        <v>66</v>
      </c>
      <c r="AC100" s="27">
        <v>68.099999999999994</v>
      </c>
    </row>
    <row r="101" spans="1:29" ht="14.45" customHeight="1" x14ac:dyDescent="0.25">
      <c r="A101" t="str">
        <v>13/02/2024  01:34</v>
      </c>
      <c r="B101">
        <v>68.2</v>
      </c>
      <c r="C101">
        <v>68.34</v>
      </c>
      <c r="D101">
        <v>67.739999999999995</v>
      </c>
      <c r="E101">
        <v>68.56</v>
      </c>
      <c r="F101">
        <v>68.66</v>
      </c>
      <c r="G101">
        <v>68.7</v>
      </c>
      <c r="H101">
        <v>66.73</v>
      </c>
      <c r="I101">
        <v>69.010000000000005</v>
      </c>
      <c r="J101">
        <v>68.37</v>
      </c>
      <c r="M101" s="378"/>
      <c r="N101" s="206">
        <v>68.680000000000007</v>
      </c>
      <c r="O101" s="206">
        <v>68.63</v>
      </c>
      <c r="P101" s="206">
        <v>68.259999999999991</v>
      </c>
      <c r="Q101" s="206">
        <v>68.89</v>
      </c>
      <c r="R101" s="206">
        <v>69.08</v>
      </c>
      <c r="S101" s="206">
        <v>69.22</v>
      </c>
      <c r="T101" s="206">
        <v>67.100000000000009</v>
      </c>
      <c r="U101" s="206">
        <v>69.5</v>
      </c>
      <c r="V101" s="206">
        <v>68.86</v>
      </c>
      <c r="W101" s="214">
        <v>66.599999999999994</v>
      </c>
      <c r="Z101" s="23" t="str">
        <v>13/02/2024  01:34</v>
      </c>
      <c r="AA101" s="27">
        <v>67.5</v>
      </c>
      <c r="AB101" s="27">
        <v>66.3</v>
      </c>
      <c r="AC101" s="27">
        <v>68.5</v>
      </c>
    </row>
    <row r="102" spans="1:29" ht="14.45" customHeight="1" x14ac:dyDescent="0.25">
      <c r="A102" t="str">
        <v>13/02/2024  01:35</v>
      </c>
      <c r="B102">
        <v>68.56</v>
      </c>
      <c r="C102">
        <v>68.56</v>
      </c>
      <c r="D102">
        <v>68.099999999999994</v>
      </c>
      <c r="E102">
        <v>68.89</v>
      </c>
      <c r="F102">
        <v>68.989999999999995</v>
      </c>
      <c r="G102">
        <v>69.06</v>
      </c>
      <c r="H102">
        <v>67.12</v>
      </c>
      <c r="I102">
        <v>69.36</v>
      </c>
      <c r="J102">
        <v>68.73</v>
      </c>
      <c r="M102" s="378"/>
      <c r="N102" s="206">
        <v>69.040000000000006</v>
      </c>
      <c r="O102" s="206">
        <v>68.849999999999994</v>
      </c>
      <c r="P102" s="206">
        <v>68.61999999999999</v>
      </c>
      <c r="Q102" s="206">
        <v>69.22</v>
      </c>
      <c r="R102" s="206">
        <v>69.41</v>
      </c>
      <c r="S102" s="206">
        <v>69.58</v>
      </c>
      <c r="T102" s="206">
        <v>67.490000000000009</v>
      </c>
      <c r="U102" s="206">
        <v>69.849999999999994</v>
      </c>
      <c r="V102" s="206">
        <v>69.22</v>
      </c>
      <c r="W102" s="214">
        <v>67</v>
      </c>
      <c r="Z102" s="23" t="str">
        <v>13/02/2024  01:35</v>
      </c>
      <c r="AA102" s="27">
        <v>67.8</v>
      </c>
      <c r="AB102" s="27">
        <v>66.599999999999994</v>
      </c>
      <c r="AC102" s="27">
        <v>68.8</v>
      </c>
    </row>
    <row r="103" spans="1:29" ht="14.45" customHeight="1" x14ac:dyDescent="0.25">
      <c r="A103" t="str">
        <v>13/02/2024  01:36</v>
      </c>
      <c r="B103">
        <v>68.900000000000006</v>
      </c>
      <c r="C103">
        <v>68.95</v>
      </c>
      <c r="D103">
        <v>68.400000000000006</v>
      </c>
      <c r="E103">
        <v>69.22</v>
      </c>
      <c r="F103">
        <v>69.31</v>
      </c>
      <c r="G103">
        <v>69.41</v>
      </c>
      <c r="H103">
        <v>67.44</v>
      </c>
      <c r="I103">
        <v>69.67</v>
      </c>
      <c r="J103">
        <v>69.02</v>
      </c>
      <c r="M103" s="378"/>
      <c r="N103" s="206">
        <v>69.38000000000001</v>
      </c>
      <c r="O103" s="206">
        <v>69.239999999999995</v>
      </c>
      <c r="P103" s="206">
        <v>68.92</v>
      </c>
      <c r="Q103" s="206">
        <v>69.55</v>
      </c>
      <c r="R103" s="206">
        <v>69.73</v>
      </c>
      <c r="S103" s="206">
        <v>69.929999999999993</v>
      </c>
      <c r="T103" s="206">
        <v>67.81</v>
      </c>
      <c r="U103" s="206">
        <v>70.16</v>
      </c>
      <c r="V103" s="206">
        <v>69.509999999999991</v>
      </c>
      <c r="W103" s="214">
        <v>67.3</v>
      </c>
      <c r="Z103" s="23" t="str">
        <v>13/02/2024  01:36</v>
      </c>
      <c r="AA103" s="27">
        <v>68.2</v>
      </c>
      <c r="AB103" s="27">
        <v>66.900000000000006</v>
      </c>
      <c r="AC103" s="27">
        <v>69.099999999999994</v>
      </c>
    </row>
    <row r="104" spans="1:29" ht="14.45" customHeight="1" x14ac:dyDescent="0.25">
      <c r="A104" t="str">
        <v>13/02/2024  01:37</v>
      </c>
      <c r="B104">
        <v>69.19</v>
      </c>
      <c r="C104">
        <v>69.28</v>
      </c>
      <c r="D104">
        <v>68.72</v>
      </c>
      <c r="E104">
        <v>69.52</v>
      </c>
      <c r="F104">
        <v>69.62</v>
      </c>
      <c r="G104">
        <v>69.75</v>
      </c>
      <c r="H104">
        <v>67.709999999999994</v>
      </c>
      <c r="I104">
        <v>70.03</v>
      </c>
      <c r="J104">
        <v>69.39</v>
      </c>
      <c r="M104" s="378"/>
      <c r="N104" s="206">
        <v>69.67</v>
      </c>
      <c r="O104" s="206">
        <v>69.569999999999993</v>
      </c>
      <c r="P104" s="206">
        <v>69.239999999999995</v>
      </c>
      <c r="Q104" s="206">
        <v>69.849999999999994</v>
      </c>
      <c r="R104" s="206">
        <v>70.040000000000006</v>
      </c>
      <c r="S104" s="206">
        <v>70.27</v>
      </c>
      <c r="T104" s="206">
        <v>68.08</v>
      </c>
      <c r="U104" s="206">
        <v>70.52</v>
      </c>
      <c r="V104" s="206">
        <v>69.88</v>
      </c>
      <c r="W104" s="214">
        <v>67.599999999999994</v>
      </c>
      <c r="Z104" s="23" t="str">
        <v>13/02/2024  01:37</v>
      </c>
      <c r="AA104" s="27">
        <v>68.599999999999994</v>
      </c>
      <c r="AB104" s="27">
        <v>67.2</v>
      </c>
      <c r="AC104" s="27">
        <v>69.400000000000006</v>
      </c>
    </row>
    <row r="105" spans="1:29" ht="14.45" customHeight="1" x14ac:dyDescent="0.25">
      <c r="A105" t="str">
        <v>13/02/2024  01:38</v>
      </c>
      <c r="B105">
        <v>69.53</v>
      </c>
      <c r="C105">
        <v>69.650000000000006</v>
      </c>
      <c r="D105">
        <v>69.069999999999993</v>
      </c>
      <c r="E105">
        <v>69.849999999999994</v>
      </c>
      <c r="F105">
        <v>70.05</v>
      </c>
      <c r="G105">
        <v>70.06</v>
      </c>
      <c r="H105">
        <v>68.040000000000006</v>
      </c>
      <c r="I105">
        <v>70.33</v>
      </c>
      <c r="J105">
        <v>69.72</v>
      </c>
      <c r="M105" s="378"/>
      <c r="N105" s="206">
        <v>70.010000000000005</v>
      </c>
      <c r="O105" s="206">
        <v>69.94</v>
      </c>
      <c r="P105" s="206">
        <v>69.589999999999989</v>
      </c>
      <c r="Q105" s="206">
        <v>70.179999999999993</v>
      </c>
      <c r="R105" s="206">
        <v>70.47</v>
      </c>
      <c r="S105" s="206">
        <v>70.58</v>
      </c>
      <c r="T105" s="206">
        <v>68.410000000000011</v>
      </c>
      <c r="U105" s="206">
        <v>70.819999999999993</v>
      </c>
      <c r="V105" s="206">
        <v>70.209999999999994</v>
      </c>
      <c r="W105" s="214">
        <v>68</v>
      </c>
      <c r="Z105" s="23" t="str">
        <v>13/02/2024  01:38</v>
      </c>
      <c r="AA105" s="27">
        <v>68.900000000000006</v>
      </c>
      <c r="AB105" s="27">
        <v>67.599999999999994</v>
      </c>
      <c r="AC105" s="27">
        <v>69.8</v>
      </c>
    </row>
    <row r="106" spans="1:29" ht="14.45" customHeight="1" x14ac:dyDescent="0.25">
      <c r="A106" t="str">
        <v>13/02/2024  01:39</v>
      </c>
      <c r="B106">
        <v>69.819999999999993</v>
      </c>
      <c r="C106">
        <v>69.91</v>
      </c>
      <c r="D106">
        <v>69.38</v>
      </c>
      <c r="E106">
        <v>70.17</v>
      </c>
      <c r="F106">
        <v>70.31</v>
      </c>
      <c r="G106">
        <v>70.5</v>
      </c>
      <c r="H106">
        <v>68.47</v>
      </c>
      <c r="I106">
        <v>70.62</v>
      </c>
      <c r="J106">
        <v>70.03</v>
      </c>
      <c r="M106" s="378"/>
      <c r="N106" s="206">
        <v>70.3</v>
      </c>
      <c r="O106" s="206">
        <v>70.199999999999989</v>
      </c>
      <c r="P106" s="206">
        <v>69.899999999999991</v>
      </c>
      <c r="Q106" s="206">
        <v>70.5</v>
      </c>
      <c r="R106" s="206">
        <v>70.73</v>
      </c>
      <c r="S106" s="206">
        <v>71.02</v>
      </c>
      <c r="T106" s="206">
        <v>68.84</v>
      </c>
      <c r="U106" s="206">
        <v>71.11</v>
      </c>
      <c r="V106" s="206">
        <v>70.52</v>
      </c>
      <c r="W106" s="214">
        <v>68.3</v>
      </c>
      <c r="Z106" s="23" t="str">
        <v>13/02/2024  01:39</v>
      </c>
      <c r="AA106" s="27">
        <v>69.2</v>
      </c>
      <c r="AB106" s="27">
        <v>67.900000000000006</v>
      </c>
      <c r="AC106" s="27">
        <v>70.099999999999994</v>
      </c>
    </row>
    <row r="107" spans="1:29" ht="14.45" customHeight="1" x14ac:dyDescent="0.25">
      <c r="A107" t="str">
        <v>13/02/2024  01:40</v>
      </c>
      <c r="B107">
        <v>70.17</v>
      </c>
      <c r="C107">
        <v>70.25</v>
      </c>
      <c r="D107">
        <v>69.75</v>
      </c>
      <c r="E107">
        <v>70.540000000000006</v>
      </c>
      <c r="F107">
        <v>70.67</v>
      </c>
      <c r="G107">
        <v>70.680000000000007</v>
      </c>
      <c r="H107">
        <v>68.78</v>
      </c>
      <c r="I107">
        <v>70.98</v>
      </c>
      <c r="J107">
        <v>70.37</v>
      </c>
      <c r="M107" s="378"/>
      <c r="N107" s="206">
        <v>70.650000000000006</v>
      </c>
      <c r="O107" s="206">
        <v>70.539999999999992</v>
      </c>
      <c r="P107" s="206">
        <v>70.27</v>
      </c>
      <c r="Q107" s="206">
        <v>70.87</v>
      </c>
      <c r="R107" s="206">
        <v>71.09</v>
      </c>
      <c r="S107" s="206">
        <v>71.2</v>
      </c>
      <c r="T107" s="206">
        <v>69.150000000000006</v>
      </c>
      <c r="U107" s="206">
        <v>71.47</v>
      </c>
      <c r="V107" s="206">
        <v>70.86</v>
      </c>
      <c r="W107" s="214">
        <v>68.599999999999994</v>
      </c>
      <c r="Z107" s="23" t="str">
        <v>13/02/2024  01:40</v>
      </c>
      <c r="AA107" s="27">
        <v>69.599999999999994</v>
      </c>
      <c r="AB107" s="27">
        <v>68.3</v>
      </c>
      <c r="AC107" s="27">
        <v>70.5</v>
      </c>
    </row>
    <row r="108" spans="1:29" ht="14.45" customHeight="1" x14ac:dyDescent="0.25">
      <c r="A108" t="str">
        <v>13/02/2024  01:41</v>
      </c>
      <c r="B108">
        <v>70.430000000000007</v>
      </c>
      <c r="C108">
        <v>70.58</v>
      </c>
      <c r="D108">
        <v>70.040000000000006</v>
      </c>
      <c r="E108">
        <v>70.86</v>
      </c>
      <c r="F108">
        <v>70.94</v>
      </c>
      <c r="G108">
        <v>71.12</v>
      </c>
      <c r="H108">
        <v>69.02</v>
      </c>
      <c r="I108">
        <v>71.290000000000006</v>
      </c>
      <c r="J108">
        <v>70.66</v>
      </c>
      <c r="M108" s="378"/>
      <c r="N108" s="206">
        <v>70.910000000000011</v>
      </c>
      <c r="O108" s="206">
        <v>70.86999999999999</v>
      </c>
      <c r="P108" s="206">
        <v>70.56</v>
      </c>
      <c r="Q108" s="206">
        <v>71.19</v>
      </c>
      <c r="R108" s="206">
        <v>71.36</v>
      </c>
      <c r="S108" s="206">
        <v>71.64</v>
      </c>
      <c r="T108" s="206">
        <v>69.39</v>
      </c>
      <c r="U108" s="206">
        <v>71.78</v>
      </c>
      <c r="V108" s="206">
        <v>71.149999999999991</v>
      </c>
      <c r="W108" s="214">
        <v>69</v>
      </c>
      <c r="Z108" s="23" t="str">
        <v>13/02/2024  01:41</v>
      </c>
      <c r="AA108" s="27">
        <v>69.8</v>
      </c>
      <c r="AB108" s="27">
        <v>68.599999999999994</v>
      </c>
      <c r="AC108" s="27">
        <v>70.8</v>
      </c>
    </row>
    <row r="109" spans="1:29" ht="14.45" customHeight="1" x14ac:dyDescent="0.25">
      <c r="A109" t="str">
        <v>13/02/2024  01:42</v>
      </c>
      <c r="B109">
        <v>70.92</v>
      </c>
      <c r="C109">
        <v>70.89</v>
      </c>
      <c r="D109">
        <v>70.38</v>
      </c>
      <c r="E109">
        <v>71.19</v>
      </c>
      <c r="F109">
        <v>71.3</v>
      </c>
      <c r="G109">
        <v>71.48</v>
      </c>
      <c r="H109">
        <v>69.319999999999993</v>
      </c>
      <c r="I109">
        <v>71.62</v>
      </c>
      <c r="J109">
        <v>70.900000000000006</v>
      </c>
      <c r="M109" s="378"/>
      <c r="N109" s="206">
        <v>71.400000000000006</v>
      </c>
      <c r="O109" s="206">
        <v>71.179999999999993</v>
      </c>
      <c r="P109" s="206">
        <v>70.899999999999991</v>
      </c>
      <c r="Q109" s="206">
        <v>71.52</v>
      </c>
      <c r="R109" s="206">
        <v>71.72</v>
      </c>
      <c r="S109" s="206">
        <v>72</v>
      </c>
      <c r="T109" s="206">
        <v>69.69</v>
      </c>
      <c r="U109" s="206">
        <v>72.11</v>
      </c>
      <c r="V109" s="206">
        <v>71.39</v>
      </c>
      <c r="W109" s="214">
        <v>69.3</v>
      </c>
      <c r="Z109" s="23" t="str">
        <v>13/02/2024  01:42</v>
      </c>
      <c r="AA109" s="27">
        <v>70.2</v>
      </c>
      <c r="AB109" s="27">
        <v>68.900000000000006</v>
      </c>
      <c r="AC109" s="27">
        <v>71.099999999999994</v>
      </c>
    </row>
    <row r="110" spans="1:29" ht="14.45" customHeight="1" x14ac:dyDescent="0.25">
      <c r="A110" t="str">
        <v>13/02/2024  01:43</v>
      </c>
      <c r="B110">
        <v>71.12</v>
      </c>
      <c r="C110">
        <v>71.2</v>
      </c>
      <c r="D110">
        <v>70.709999999999994</v>
      </c>
      <c r="E110">
        <v>71.5</v>
      </c>
      <c r="F110">
        <v>71.61</v>
      </c>
      <c r="G110">
        <v>71.77</v>
      </c>
      <c r="H110">
        <v>69.63</v>
      </c>
      <c r="I110">
        <v>71.989999999999995</v>
      </c>
      <c r="J110">
        <v>71.37</v>
      </c>
      <c r="M110" s="378"/>
      <c r="N110" s="206">
        <v>71.600000000000009</v>
      </c>
      <c r="O110" s="206">
        <v>71.489999999999995</v>
      </c>
      <c r="P110" s="206">
        <v>71.22999999999999</v>
      </c>
      <c r="Q110" s="206">
        <v>71.83</v>
      </c>
      <c r="R110" s="206">
        <v>72.03</v>
      </c>
      <c r="S110" s="206">
        <v>72.289999999999992</v>
      </c>
      <c r="T110" s="206">
        <v>70</v>
      </c>
      <c r="U110" s="206">
        <v>72.47999999999999</v>
      </c>
      <c r="V110" s="206">
        <v>71.86</v>
      </c>
      <c r="W110" s="214">
        <v>69.599999999999994</v>
      </c>
      <c r="Z110" s="23" t="str">
        <v>13/02/2024  01:43</v>
      </c>
      <c r="AA110" s="27">
        <v>70.5</v>
      </c>
      <c r="AB110" s="27">
        <v>69.2</v>
      </c>
      <c r="AC110" s="27">
        <v>71.5</v>
      </c>
    </row>
    <row r="111" spans="1:29" ht="14.45" customHeight="1" x14ac:dyDescent="0.25">
      <c r="A111" t="str">
        <v>13/02/2024  01:44</v>
      </c>
      <c r="B111">
        <v>71.56</v>
      </c>
      <c r="C111">
        <v>71.56</v>
      </c>
      <c r="D111">
        <v>71.03</v>
      </c>
      <c r="E111">
        <v>71.88</v>
      </c>
      <c r="F111">
        <v>72.010000000000005</v>
      </c>
      <c r="G111">
        <v>72.099999999999994</v>
      </c>
      <c r="H111">
        <v>69.959999999999994</v>
      </c>
      <c r="I111">
        <v>72.37</v>
      </c>
      <c r="J111">
        <v>71.7</v>
      </c>
      <c r="M111" s="378"/>
      <c r="N111" s="206">
        <v>72.040000000000006</v>
      </c>
      <c r="O111" s="206">
        <v>71.849999999999994</v>
      </c>
      <c r="P111" s="206">
        <v>71.55</v>
      </c>
      <c r="Q111" s="206">
        <v>72.209999999999994</v>
      </c>
      <c r="R111" s="206">
        <v>72.430000000000007</v>
      </c>
      <c r="S111" s="206">
        <v>72.61999999999999</v>
      </c>
      <c r="T111" s="206">
        <v>70.33</v>
      </c>
      <c r="U111" s="206">
        <v>72.86</v>
      </c>
      <c r="V111" s="206">
        <v>72.19</v>
      </c>
      <c r="W111" s="214">
        <v>70</v>
      </c>
      <c r="Z111" s="23" t="str">
        <v>13/02/2024  01:44</v>
      </c>
      <c r="AA111" s="27">
        <v>70.900000000000006</v>
      </c>
      <c r="AB111" s="27">
        <v>69.599999999999994</v>
      </c>
      <c r="AC111" s="27">
        <v>71.8</v>
      </c>
    </row>
    <row r="112" spans="1:29" ht="14.45" customHeight="1" x14ac:dyDescent="0.25">
      <c r="A112" t="str">
        <v>13/02/2024  01:45</v>
      </c>
      <c r="B112">
        <v>71.88</v>
      </c>
      <c r="C112">
        <v>71.86</v>
      </c>
      <c r="D112">
        <v>71.459999999999994</v>
      </c>
      <c r="E112">
        <v>72.2</v>
      </c>
      <c r="F112">
        <v>72.31</v>
      </c>
      <c r="G112">
        <v>72.47</v>
      </c>
      <c r="H112">
        <v>70.36</v>
      </c>
      <c r="I112">
        <v>72.69</v>
      </c>
      <c r="J112">
        <v>72</v>
      </c>
      <c r="M112" s="378"/>
      <c r="N112" s="206">
        <v>72.36</v>
      </c>
      <c r="O112" s="206">
        <v>72.149999999999991</v>
      </c>
      <c r="P112" s="206">
        <v>71.97999999999999</v>
      </c>
      <c r="Q112" s="206">
        <v>72.53</v>
      </c>
      <c r="R112" s="206">
        <v>72.73</v>
      </c>
      <c r="S112" s="206">
        <v>72.989999999999995</v>
      </c>
      <c r="T112" s="206">
        <v>70.73</v>
      </c>
      <c r="U112" s="206">
        <v>73.179999999999993</v>
      </c>
      <c r="V112" s="206">
        <v>72.489999999999995</v>
      </c>
      <c r="W112" s="214">
        <v>70.3</v>
      </c>
      <c r="Z112" s="23" t="str">
        <v>13/02/2024  01:45</v>
      </c>
      <c r="AA112" s="27">
        <v>71.2</v>
      </c>
      <c r="AB112" s="27">
        <v>69.900000000000006</v>
      </c>
      <c r="AC112" s="27">
        <v>72.2</v>
      </c>
    </row>
    <row r="113" spans="1:29" ht="14.45" customHeight="1" x14ac:dyDescent="0.25">
      <c r="A113" t="str">
        <v>13/02/2024  01:46</v>
      </c>
      <c r="B113">
        <v>72.209999999999994</v>
      </c>
      <c r="C113">
        <v>72.260000000000005</v>
      </c>
      <c r="D113">
        <v>71.73</v>
      </c>
      <c r="E113">
        <v>72.540000000000006</v>
      </c>
      <c r="F113">
        <v>72.64</v>
      </c>
      <c r="G113">
        <v>72.790000000000006</v>
      </c>
      <c r="H113">
        <v>70.77</v>
      </c>
      <c r="I113">
        <v>73</v>
      </c>
      <c r="J113">
        <v>72.349999999999994</v>
      </c>
      <c r="M113" s="378"/>
      <c r="N113" s="206">
        <v>72.69</v>
      </c>
      <c r="O113" s="206">
        <v>72.55</v>
      </c>
      <c r="P113" s="206">
        <v>72.25</v>
      </c>
      <c r="Q113" s="206">
        <v>72.87</v>
      </c>
      <c r="R113" s="206">
        <v>73.06</v>
      </c>
      <c r="S113" s="206">
        <v>73.31</v>
      </c>
      <c r="T113" s="206">
        <v>71.14</v>
      </c>
      <c r="U113" s="206">
        <v>73.489999999999995</v>
      </c>
      <c r="V113" s="206">
        <v>72.839999999999989</v>
      </c>
      <c r="W113" s="214">
        <v>70.599999999999994</v>
      </c>
      <c r="Z113" s="23" t="str">
        <v>13/02/2024  01:46</v>
      </c>
      <c r="AA113" s="27">
        <v>71.599999999999994</v>
      </c>
      <c r="AB113" s="27">
        <v>70.2</v>
      </c>
      <c r="AC113" s="27">
        <v>72.5</v>
      </c>
    </row>
    <row r="114" spans="1:29" ht="14.45" customHeight="1" x14ac:dyDescent="0.25">
      <c r="A114" t="str">
        <v>13/02/2024  01:47</v>
      </c>
      <c r="B114">
        <v>72.540000000000006</v>
      </c>
      <c r="C114">
        <v>72.540000000000006</v>
      </c>
      <c r="D114">
        <v>72.05</v>
      </c>
      <c r="E114">
        <v>72.849999999999994</v>
      </c>
      <c r="F114">
        <v>72.97</v>
      </c>
      <c r="G114">
        <v>73.239999999999995</v>
      </c>
      <c r="H114">
        <v>70.959999999999994</v>
      </c>
      <c r="I114">
        <v>73.319999999999993</v>
      </c>
      <c r="J114">
        <v>72.72</v>
      </c>
      <c r="M114" s="378"/>
      <c r="N114" s="206">
        <v>73.02000000000001</v>
      </c>
      <c r="O114" s="206">
        <v>72.83</v>
      </c>
      <c r="P114" s="206">
        <v>72.569999999999993</v>
      </c>
      <c r="Q114" s="206">
        <v>73.179999999999993</v>
      </c>
      <c r="R114" s="206">
        <v>73.39</v>
      </c>
      <c r="S114" s="206">
        <v>73.759999999999991</v>
      </c>
      <c r="T114" s="206">
        <v>71.33</v>
      </c>
      <c r="U114" s="206">
        <v>73.809999999999988</v>
      </c>
      <c r="V114" s="206">
        <v>73.209999999999994</v>
      </c>
      <c r="W114" s="214">
        <v>71</v>
      </c>
      <c r="Z114" s="23" t="str">
        <v>13/02/2024  01:47</v>
      </c>
      <c r="AA114" s="27">
        <v>71.900000000000006</v>
      </c>
      <c r="AB114" s="27">
        <v>70.599999999999994</v>
      </c>
      <c r="AC114" s="27">
        <v>72.8</v>
      </c>
    </row>
    <row r="115" spans="1:29" ht="14.45" customHeight="1" x14ac:dyDescent="0.25">
      <c r="A115" t="str">
        <v>13/02/2024  01:48</v>
      </c>
      <c r="B115">
        <v>72.88</v>
      </c>
      <c r="C115">
        <v>72.86</v>
      </c>
      <c r="D115">
        <v>72.36</v>
      </c>
      <c r="E115">
        <v>73.25</v>
      </c>
      <c r="F115">
        <v>73.33</v>
      </c>
      <c r="G115">
        <v>73.41</v>
      </c>
      <c r="H115">
        <v>71.430000000000007</v>
      </c>
      <c r="I115">
        <v>73.650000000000006</v>
      </c>
      <c r="J115">
        <v>73.02</v>
      </c>
      <c r="M115" s="378"/>
      <c r="N115" s="206">
        <v>73.36</v>
      </c>
      <c r="O115" s="206">
        <v>73.149999999999991</v>
      </c>
      <c r="P115" s="206">
        <v>72.88</v>
      </c>
      <c r="Q115" s="206">
        <v>73.58</v>
      </c>
      <c r="R115" s="206">
        <v>73.75</v>
      </c>
      <c r="S115" s="206">
        <v>73.929999999999993</v>
      </c>
      <c r="T115" s="206">
        <v>71.800000000000011</v>
      </c>
      <c r="U115" s="206">
        <v>74.14</v>
      </c>
      <c r="V115" s="206">
        <v>73.509999999999991</v>
      </c>
      <c r="W115" s="214">
        <v>71.3</v>
      </c>
      <c r="Z115" s="23" t="str">
        <v>13/02/2024  01:48</v>
      </c>
      <c r="AA115" s="27">
        <v>72.2</v>
      </c>
      <c r="AB115" s="27">
        <v>70.900000000000006</v>
      </c>
      <c r="AC115" s="27">
        <v>73.2</v>
      </c>
    </row>
    <row r="116" spans="1:29" ht="14.45" customHeight="1" x14ac:dyDescent="0.25">
      <c r="A116" t="str">
        <v>13/02/2024  01:49</v>
      </c>
      <c r="B116">
        <v>73.239999999999995</v>
      </c>
      <c r="C116">
        <v>73.209999999999994</v>
      </c>
      <c r="D116">
        <v>72.739999999999995</v>
      </c>
      <c r="E116">
        <v>73.569999999999993</v>
      </c>
      <c r="F116">
        <v>73.680000000000007</v>
      </c>
      <c r="G116">
        <v>73.819999999999993</v>
      </c>
      <c r="H116">
        <v>71.72</v>
      </c>
      <c r="I116">
        <v>74.040000000000006</v>
      </c>
      <c r="J116">
        <v>73.38</v>
      </c>
      <c r="M116" s="378"/>
      <c r="N116" s="206">
        <v>73.72</v>
      </c>
      <c r="O116" s="206">
        <v>73.499999999999986</v>
      </c>
      <c r="P116" s="206">
        <v>73.259999999999991</v>
      </c>
      <c r="Q116" s="206">
        <v>73.899999999999991</v>
      </c>
      <c r="R116" s="206">
        <v>74.100000000000009</v>
      </c>
      <c r="S116" s="206">
        <v>74.339999999999989</v>
      </c>
      <c r="T116" s="206">
        <v>72.09</v>
      </c>
      <c r="U116" s="206">
        <v>74.53</v>
      </c>
      <c r="V116" s="206">
        <v>73.86999999999999</v>
      </c>
      <c r="W116" s="214">
        <v>71.599999999999994</v>
      </c>
      <c r="Z116" s="23" t="str">
        <v>13/02/2024  01:49</v>
      </c>
      <c r="AA116" s="27">
        <v>72.599999999999994</v>
      </c>
      <c r="AB116" s="27">
        <v>71.2</v>
      </c>
      <c r="AC116" s="27">
        <v>73.5</v>
      </c>
    </row>
    <row r="117" spans="1:29" ht="14.45" customHeight="1" x14ac:dyDescent="0.25">
      <c r="A117" t="str">
        <v>13/02/2024  01:50</v>
      </c>
      <c r="B117">
        <v>73.56</v>
      </c>
      <c r="C117">
        <v>73.62</v>
      </c>
      <c r="D117">
        <v>73.05</v>
      </c>
      <c r="E117">
        <v>73.900000000000006</v>
      </c>
      <c r="F117">
        <v>74.03</v>
      </c>
      <c r="G117">
        <v>74.180000000000007</v>
      </c>
      <c r="H117">
        <v>71.98</v>
      </c>
      <c r="I117">
        <v>74.39</v>
      </c>
      <c r="J117">
        <v>73.69</v>
      </c>
      <c r="M117" s="378"/>
      <c r="N117" s="206">
        <v>74.040000000000006</v>
      </c>
      <c r="O117" s="206">
        <v>73.91</v>
      </c>
      <c r="P117" s="206">
        <v>73.569999999999993</v>
      </c>
      <c r="Q117" s="206">
        <v>74.23</v>
      </c>
      <c r="R117" s="206">
        <v>74.45</v>
      </c>
      <c r="S117" s="206">
        <v>74.7</v>
      </c>
      <c r="T117" s="206">
        <v>72.350000000000009</v>
      </c>
      <c r="U117" s="206">
        <v>74.88</v>
      </c>
      <c r="V117" s="206">
        <v>74.179999999999993</v>
      </c>
      <c r="W117" s="214">
        <v>72</v>
      </c>
      <c r="Z117" s="23" t="str">
        <v>13/02/2024  01:50</v>
      </c>
      <c r="AA117" s="27">
        <v>72.900000000000006</v>
      </c>
      <c r="AB117" s="27">
        <v>71.599999999999994</v>
      </c>
      <c r="AC117" s="27">
        <v>73.8</v>
      </c>
    </row>
    <row r="118" spans="1:29" ht="14.45" customHeight="1" x14ac:dyDescent="0.25">
      <c r="A118" t="str">
        <v>13/02/2024  01:51</v>
      </c>
      <c r="B118">
        <v>73.88</v>
      </c>
      <c r="C118">
        <v>73.89</v>
      </c>
      <c r="D118">
        <v>73.39</v>
      </c>
      <c r="E118">
        <v>74.2</v>
      </c>
      <c r="F118">
        <v>74.25</v>
      </c>
      <c r="G118">
        <v>74.489999999999995</v>
      </c>
      <c r="H118">
        <v>72.36</v>
      </c>
      <c r="I118">
        <v>74.680000000000007</v>
      </c>
      <c r="J118">
        <v>74.040000000000006</v>
      </c>
      <c r="M118" s="378"/>
      <c r="N118" s="206">
        <v>74.36</v>
      </c>
      <c r="O118" s="206">
        <v>74.179999999999993</v>
      </c>
      <c r="P118" s="206">
        <v>73.91</v>
      </c>
      <c r="Q118" s="206">
        <v>74.53</v>
      </c>
      <c r="R118" s="206">
        <v>74.67</v>
      </c>
      <c r="S118" s="206">
        <v>75.009999999999991</v>
      </c>
      <c r="T118" s="206">
        <v>72.73</v>
      </c>
      <c r="U118" s="206">
        <v>75.17</v>
      </c>
      <c r="V118" s="206">
        <v>74.53</v>
      </c>
      <c r="W118" s="214">
        <v>72.3</v>
      </c>
      <c r="Z118" s="23" t="str">
        <v>13/02/2024  01:51</v>
      </c>
      <c r="AA118" s="27">
        <v>73.2</v>
      </c>
      <c r="AB118" s="27">
        <v>71.900000000000006</v>
      </c>
      <c r="AC118" s="27">
        <v>74.2</v>
      </c>
    </row>
    <row r="119" spans="1:29" ht="14.45" customHeight="1" x14ac:dyDescent="0.25">
      <c r="A119" t="str">
        <v>13/02/2024  01:52</v>
      </c>
      <c r="B119">
        <v>74.260000000000005</v>
      </c>
      <c r="C119">
        <v>74.290000000000006</v>
      </c>
      <c r="D119">
        <v>73.75</v>
      </c>
      <c r="E119">
        <v>74.58</v>
      </c>
      <c r="F119">
        <v>74.650000000000006</v>
      </c>
      <c r="G119">
        <v>74.84</v>
      </c>
      <c r="H119">
        <v>72.760000000000005</v>
      </c>
      <c r="I119">
        <v>75.069999999999993</v>
      </c>
      <c r="J119">
        <v>74.37</v>
      </c>
      <c r="M119" s="378"/>
      <c r="N119" s="206">
        <v>74.740000000000009</v>
      </c>
      <c r="O119" s="206">
        <v>74.58</v>
      </c>
      <c r="P119" s="206">
        <v>74.27</v>
      </c>
      <c r="Q119" s="206">
        <v>74.91</v>
      </c>
      <c r="R119" s="206">
        <v>75.070000000000007</v>
      </c>
      <c r="S119" s="206">
        <v>75.36</v>
      </c>
      <c r="T119" s="206">
        <v>73.13000000000001</v>
      </c>
      <c r="U119" s="206">
        <v>75.559999999999988</v>
      </c>
      <c r="V119" s="206">
        <v>74.86</v>
      </c>
      <c r="W119" s="214">
        <v>72.599999999999994</v>
      </c>
      <c r="Z119" s="23" t="str">
        <v>13/02/2024  01:52</v>
      </c>
      <c r="AA119" s="27">
        <v>73.599999999999994</v>
      </c>
      <c r="AB119" s="27">
        <v>72.2</v>
      </c>
      <c r="AC119" s="27">
        <v>74.5</v>
      </c>
    </row>
    <row r="120" spans="1:29" ht="14.45" customHeight="1" x14ac:dyDescent="0.25">
      <c r="A120" t="str">
        <v>13/02/2024  01:53</v>
      </c>
      <c r="B120">
        <v>74.599999999999994</v>
      </c>
      <c r="C120">
        <v>74.64</v>
      </c>
      <c r="D120">
        <v>74.09</v>
      </c>
      <c r="E120">
        <v>74.94</v>
      </c>
      <c r="F120">
        <v>75.069999999999993</v>
      </c>
      <c r="G120">
        <v>75.290000000000006</v>
      </c>
      <c r="H120">
        <v>73.010000000000005</v>
      </c>
      <c r="I120">
        <v>75.44</v>
      </c>
      <c r="J120">
        <v>74.790000000000006</v>
      </c>
      <c r="M120" s="378"/>
      <c r="N120" s="206">
        <v>75.08</v>
      </c>
      <c r="O120" s="206">
        <v>74.929999999999993</v>
      </c>
      <c r="P120" s="206">
        <v>74.61</v>
      </c>
      <c r="Q120" s="206">
        <v>75.27</v>
      </c>
      <c r="R120" s="206">
        <v>75.489999999999995</v>
      </c>
      <c r="S120" s="206">
        <v>75.81</v>
      </c>
      <c r="T120" s="206">
        <v>73.38000000000001</v>
      </c>
      <c r="U120" s="206">
        <v>75.929999999999993</v>
      </c>
      <c r="V120" s="206">
        <v>75.28</v>
      </c>
      <c r="W120" s="214">
        <v>73</v>
      </c>
      <c r="Z120" s="23" t="str">
        <v>13/02/2024  01:53</v>
      </c>
      <c r="AA120" s="27">
        <v>73.900000000000006</v>
      </c>
      <c r="AB120" s="27">
        <v>72.5</v>
      </c>
      <c r="AC120" s="27">
        <v>74.900000000000006</v>
      </c>
    </row>
    <row r="121" spans="1:29" ht="14.45" customHeight="1" x14ac:dyDescent="0.25">
      <c r="A121" t="str">
        <v>13/02/2024  01:54</v>
      </c>
      <c r="B121">
        <v>74.930000000000007</v>
      </c>
      <c r="C121">
        <v>74.98</v>
      </c>
      <c r="D121">
        <v>74.38</v>
      </c>
      <c r="E121">
        <v>75.290000000000006</v>
      </c>
      <c r="F121">
        <v>75.39</v>
      </c>
      <c r="G121">
        <v>75.62</v>
      </c>
      <c r="H121">
        <v>73.31</v>
      </c>
      <c r="I121">
        <v>75.78</v>
      </c>
      <c r="J121">
        <v>75.05</v>
      </c>
      <c r="M121" s="378"/>
      <c r="N121" s="206">
        <v>75.410000000000011</v>
      </c>
      <c r="O121" s="206">
        <v>75.27</v>
      </c>
      <c r="P121" s="206">
        <v>74.899999999999991</v>
      </c>
      <c r="Q121" s="206">
        <v>75.62</v>
      </c>
      <c r="R121" s="206">
        <v>75.81</v>
      </c>
      <c r="S121" s="206">
        <v>76.14</v>
      </c>
      <c r="T121" s="206">
        <v>73.680000000000007</v>
      </c>
      <c r="U121" s="206">
        <v>76.27</v>
      </c>
      <c r="V121" s="206">
        <v>75.539999999999992</v>
      </c>
      <c r="W121" s="214">
        <v>73.3</v>
      </c>
      <c r="Z121" s="23" t="str">
        <v>13/02/2024  01:54</v>
      </c>
      <c r="AA121" s="27">
        <v>74.3</v>
      </c>
      <c r="AB121" s="27">
        <v>72.900000000000006</v>
      </c>
      <c r="AC121" s="27">
        <v>75.2</v>
      </c>
    </row>
    <row r="122" spans="1:29" ht="14.45" customHeight="1" x14ac:dyDescent="0.25">
      <c r="A122" t="str">
        <v>13/02/2024  01:55</v>
      </c>
      <c r="B122">
        <v>75.290000000000006</v>
      </c>
      <c r="C122">
        <v>75.3</v>
      </c>
      <c r="D122">
        <v>74.77</v>
      </c>
      <c r="E122">
        <v>75.569999999999993</v>
      </c>
      <c r="F122">
        <v>75.680000000000007</v>
      </c>
      <c r="G122">
        <v>75.88</v>
      </c>
      <c r="H122">
        <v>73.84</v>
      </c>
      <c r="I122">
        <v>76.08</v>
      </c>
      <c r="J122">
        <v>75.430000000000007</v>
      </c>
      <c r="M122" s="378"/>
      <c r="N122" s="206">
        <v>75.77000000000001</v>
      </c>
      <c r="O122" s="206">
        <v>75.589999999999989</v>
      </c>
      <c r="P122" s="206">
        <v>75.289999999999992</v>
      </c>
      <c r="Q122" s="206">
        <v>75.899999999999991</v>
      </c>
      <c r="R122" s="206">
        <v>76.100000000000009</v>
      </c>
      <c r="S122" s="206">
        <v>76.399999999999991</v>
      </c>
      <c r="T122" s="206">
        <v>74.210000000000008</v>
      </c>
      <c r="U122" s="206">
        <v>76.569999999999993</v>
      </c>
      <c r="V122" s="206">
        <v>75.92</v>
      </c>
      <c r="W122" s="214">
        <v>73.599999999999994</v>
      </c>
      <c r="Z122" s="23" t="str">
        <v>13/02/2024  01:55</v>
      </c>
      <c r="AA122" s="27">
        <v>74.599999999999994</v>
      </c>
      <c r="AB122" s="27">
        <v>73.3</v>
      </c>
      <c r="AC122" s="27">
        <v>75.599999999999994</v>
      </c>
    </row>
    <row r="123" spans="1:29" ht="14.45" customHeight="1" x14ac:dyDescent="0.25">
      <c r="A123" t="str">
        <v>13/02/2024  01:56</v>
      </c>
      <c r="B123">
        <v>75.61</v>
      </c>
      <c r="C123">
        <v>75.7</v>
      </c>
      <c r="D123">
        <v>75.12</v>
      </c>
      <c r="E123">
        <v>75.97</v>
      </c>
      <c r="F123">
        <v>76.05</v>
      </c>
      <c r="G123">
        <v>76.25</v>
      </c>
      <c r="H123">
        <v>74</v>
      </c>
      <c r="I123">
        <v>76.41</v>
      </c>
      <c r="J123">
        <v>75.7</v>
      </c>
      <c r="M123" s="378"/>
      <c r="N123" s="206">
        <v>76.09</v>
      </c>
      <c r="O123" s="206">
        <v>75.989999999999995</v>
      </c>
      <c r="P123" s="206">
        <v>75.64</v>
      </c>
      <c r="Q123" s="206">
        <v>76.3</v>
      </c>
      <c r="R123" s="206">
        <v>76.47</v>
      </c>
      <c r="S123" s="206">
        <v>76.77</v>
      </c>
      <c r="T123" s="206">
        <v>74.37</v>
      </c>
      <c r="U123" s="206">
        <v>76.899999999999991</v>
      </c>
      <c r="V123" s="206">
        <v>76.19</v>
      </c>
      <c r="W123" s="214">
        <v>74</v>
      </c>
      <c r="Z123" s="23" t="str">
        <v>13/02/2024  01:56</v>
      </c>
      <c r="AA123" s="27">
        <v>75</v>
      </c>
      <c r="AB123" s="27">
        <v>73.599999999999994</v>
      </c>
      <c r="AC123" s="27">
        <v>75.900000000000006</v>
      </c>
    </row>
    <row r="124" spans="1:29" ht="14.45" customHeight="1" x14ac:dyDescent="0.25">
      <c r="A124" t="str">
        <v>13/02/2024  01:57</v>
      </c>
      <c r="B124">
        <v>75.92</v>
      </c>
      <c r="C124">
        <v>75.98</v>
      </c>
      <c r="D124">
        <v>75.489999999999995</v>
      </c>
      <c r="E124">
        <v>76.3</v>
      </c>
      <c r="F124">
        <v>76.38</v>
      </c>
      <c r="G124">
        <v>76.58</v>
      </c>
      <c r="H124">
        <v>74.41</v>
      </c>
      <c r="I124">
        <v>76.849999999999994</v>
      </c>
      <c r="J124">
        <v>76.09</v>
      </c>
      <c r="M124" s="378"/>
      <c r="N124" s="206">
        <v>76.400000000000006</v>
      </c>
      <c r="O124" s="206">
        <v>76.27</v>
      </c>
      <c r="P124" s="206">
        <v>76.009999999999991</v>
      </c>
      <c r="Q124" s="206">
        <v>76.63</v>
      </c>
      <c r="R124" s="206">
        <v>76.8</v>
      </c>
      <c r="S124" s="206">
        <v>77.099999999999994</v>
      </c>
      <c r="T124" s="206">
        <v>74.78</v>
      </c>
      <c r="U124" s="206">
        <v>77.339999999999989</v>
      </c>
      <c r="V124" s="206">
        <v>76.58</v>
      </c>
      <c r="W124" s="214">
        <v>74.3</v>
      </c>
      <c r="Z124" s="23" t="str">
        <v>13/02/2024  01:57</v>
      </c>
      <c r="AA124" s="27">
        <v>75.400000000000006</v>
      </c>
      <c r="AB124" s="27">
        <v>73.900000000000006</v>
      </c>
      <c r="AC124" s="27">
        <v>76.3</v>
      </c>
    </row>
    <row r="125" spans="1:29" ht="14.45" customHeight="1" x14ac:dyDescent="0.25">
      <c r="A125" t="str">
        <v>13/02/2024  01:58</v>
      </c>
      <c r="B125">
        <v>76.23</v>
      </c>
      <c r="C125">
        <v>76.349999999999994</v>
      </c>
      <c r="D125">
        <v>75.8</v>
      </c>
      <c r="E125">
        <v>76.61</v>
      </c>
      <c r="F125">
        <v>76.739999999999995</v>
      </c>
      <c r="G125">
        <v>76.91</v>
      </c>
      <c r="H125">
        <v>74.760000000000005</v>
      </c>
      <c r="I125">
        <v>77.14</v>
      </c>
      <c r="J125">
        <v>76.45</v>
      </c>
      <c r="M125" s="378"/>
      <c r="N125" s="206">
        <v>76.710000000000008</v>
      </c>
      <c r="O125" s="206">
        <v>76.639999999999986</v>
      </c>
      <c r="P125" s="206">
        <v>76.319999999999993</v>
      </c>
      <c r="Q125" s="206">
        <v>76.94</v>
      </c>
      <c r="R125" s="206">
        <v>77.16</v>
      </c>
      <c r="S125" s="206">
        <v>77.429999999999993</v>
      </c>
      <c r="T125" s="206">
        <v>75.13000000000001</v>
      </c>
      <c r="U125" s="206">
        <v>77.63</v>
      </c>
      <c r="V125" s="206">
        <v>76.94</v>
      </c>
      <c r="W125" s="214">
        <v>74.599999999999994</v>
      </c>
      <c r="Z125" s="23" t="str">
        <v>13/02/2024  01:58</v>
      </c>
      <c r="AA125" s="27">
        <v>75.7</v>
      </c>
      <c r="AB125" s="27">
        <v>74.3</v>
      </c>
      <c r="AC125" s="27">
        <v>76.599999999999994</v>
      </c>
    </row>
    <row r="126" spans="1:29" ht="14.45" customHeight="1" x14ac:dyDescent="0.25">
      <c r="A126" t="str">
        <v>13/02/2024  01:59</v>
      </c>
      <c r="B126">
        <v>76.55</v>
      </c>
      <c r="C126">
        <v>76.58</v>
      </c>
      <c r="D126">
        <v>76.099999999999994</v>
      </c>
      <c r="E126">
        <v>76.92</v>
      </c>
      <c r="F126">
        <v>77.03</v>
      </c>
      <c r="G126">
        <v>77.2</v>
      </c>
      <c r="H126">
        <v>75.010000000000005</v>
      </c>
      <c r="I126">
        <v>77.39</v>
      </c>
      <c r="J126">
        <v>76.709999999999994</v>
      </c>
      <c r="M126" s="378"/>
      <c r="N126" s="206">
        <v>77.03</v>
      </c>
      <c r="O126" s="206">
        <v>76.86999999999999</v>
      </c>
      <c r="P126" s="206">
        <v>76.61999999999999</v>
      </c>
      <c r="Q126" s="206">
        <v>77.25</v>
      </c>
      <c r="R126" s="206">
        <v>77.45</v>
      </c>
      <c r="S126" s="206">
        <v>77.72</v>
      </c>
      <c r="T126" s="206">
        <v>75.38000000000001</v>
      </c>
      <c r="U126" s="206">
        <v>77.88</v>
      </c>
      <c r="V126" s="206">
        <v>77.199999999999989</v>
      </c>
      <c r="W126" s="214">
        <v>75</v>
      </c>
      <c r="Z126" s="23" t="str">
        <v>13/02/2024  01:59</v>
      </c>
      <c r="AA126" s="27">
        <v>76</v>
      </c>
      <c r="AB126" s="27">
        <v>74.599999999999994</v>
      </c>
      <c r="AC126" s="27">
        <v>76.900000000000006</v>
      </c>
    </row>
    <row r="127" spans="1:29" ht="14.45" customHeight="1" x14ac:dyDescent="0.25">
      <c r="A127" t="str">
        <v>13/02/2024  02:00</v>
      </c>
      <c r="B127">
        <v>76.959999999999994</v>
      </c>
      <c r="C127">
        <v>76.930000000000007</v>
      </c>
      <c r="D127">
        <v>76.489999999999995</v>
      </c>
      <c r="E127">
        <v>77.27</v>
      </c>
      <c r="F127">
        <v>77.38</v>
      </c>
      <c r="G127">
        <v>77.58</v>
      </c>
      <c r="H127">
        <v>75.36</v>
      </c>
      <c r="I127">
        <v>77.84</v>
      </c>
      <c r="J127">
        <v>77.08</v>
      </c>
      <c r="M127" s="378"/>
      <c r="N127" s="206">
        <v>77.44</v>
      </c>
      <c r="O127" s="206">
        <v>77.22</v>
      </c>
      <c r="P127" s="206">
        <v>77.009999999999991</v>
      </c>
      <c r="Q127" s="206">
        <v>77.599999999999994</v>
      </c>
      <c r="R127" s="206">
        <v>77.8</v>
      </c>
      <c r="S127" s="206">
        <v>78.099999999999994</v>
      </c>
      <c r="T127" s="206">
        <v>75.73</v>
      </c>
      <c r="U127" s="206">
        <v>78.33</v>
      </c>
      <c r="V127" s="206">
        <v>77.569999999999993</v>
      </c>
      <c r="W127" s="214">
        <v>75.3</v>
      </c>
      <c r="Z127" s="23" t="str">
        <v>13/02/2024  02:00</v>
      </c>
      <c r="AA127" s="27">
        <v>76.400000000000006</v>
      </c>
      <c r="AB127" s="27">
        <v>74.900000000000006</v>
      </c>
      <c r="AC127" s="27">
        <v>77.3</v>
      </c>
    </row>
    <row r="128" spans="1:29" ht="14.45" customHeight="1" x14ac:dyDescent="0.25">
      <c r="A128" t="str">
        <v>13/02/2024  02:01</v>
      </c>
      <c r="B128">
        <v>77.28</v>
      </c>
      <c r="C128">
        <v>77.27</v>
      </c>
      <c r="D128">
        <v>76.78</v>
      </c>
      <c r="E128">
        <v>77.64</v>
      </c>
      <c r="F128">
        <v>77.7</v>
      </c>
      <c r="G128">
        <v>77.87</v>
      </c>
      <c r="H128">
        <v>75.63</v>
      </c>
      <c r="I128">
        <v>78.11</v>
      </c>
      <c r="J128">
        <v>77.42</v>
      </c>
      <c r="M128" s="378"/>
      <c r="N128" s="206">
        <v>77.760000000000005</v>
      </c>
      <c r="O128" s="206">
        <v>77.559999999999988</v>
      </c>
      <c r="P128" s="206">
        <v>77.3</v>
      </c>
      <c r="Q128" s="206">
        <v>77.97</v>
      </c>
      <c r="R128" s="206">
        <v>78.12</v>
      </c>
      <c r="S128" s="206">
        <v>78.39</v>
      </c>
      <c r="T128" s="206">
        <v>76</v>
      </c>
      <c r="U128" s="206">
        <v>78.599999999999994</v>
      </c>
      <c r="V128" s="206">
        <v>77.91</v>
      </c>
      <c r="W128" s="214">
        <v>75.599999999999994</v>
      </c>
      <c r="Z128" s="23" t="str">
        <v>13/02/2024  02:01</v>
      </c>
      <c r="AA128" s="27">
        <v>76.7</v>
      </c>
      <c r="AB128" s="27">
        <v>75.3</v>
      </c>
      <c r="AC128" s="27">
        <v>77.599999999999994</v>
      </c>
    </row>
    <row r="129" spans="1:29" ht="14.45" customHeight="1" x14ac:dyDescent="0.25">
      <c r="A129" t="str">
        <v>13/02/2024  02:02</v>
      </c>
      <c r="B129">
        <v>77.59</v>
      </c>
      <c r="C129">
        <v>77.62</v>
      </c>
      <c r="D129">
        <v>77.13</v>
      </c>
      <c r="E129">
        <v>77.97</v>
      </c>
      <c r="F129">
        <v>78.03</v>
      </c>
      <c r="G129">
        <v>78.22</v>
      </c>
      <c r="H129">
        <v>76.040000000000006</v>
      </c>
      <c r="I129">
        <v>78.489999999999995</v>
      </c>
      <c r="J129">
        <v>77.8</v>
      </c>
      <c r="M129" s="378"/>
      <c r="N129" s="206">
        <v>78.070000000000007</v>
      </c>
      <c r="O129" s="206">
        <v>77.91</v>
      </c>
      <c r="P129" s="206">
        <v>77.649999999999991</v>
      </c>
      <c r="Q129" s="206">
        <v>78.3</v>
      </c>
      <c r="R129" s="206">
        <v>78.45</v>
      </c>
      <c r="S129" s="206">
        <v>78.739999999999995</v>
      </c>
      <c r="T129" s="206">
        <v>76.410000000000011</v>
      </c>
      <c r="U129" s="206">
        <v>78.97999999999999</v>
      </c>
      <c r="V129" s="206">
        <v>78.289999999999992</v>
      </c>
      <c r="W129" s="214">
        <v>76</v>
      </c>
      <c r="Z129" s="23" t="str">
        <v>13/02/2024  02:02</v>
      </c>
      <c r="AA129" s="27">
        <v>77</v>
      </c>
      <c r="AB129" s="27">
        <v>75.599999999999994</v>
      </c>
      <c r="AC129" s="27">
        <v>77.900000000000006</v>
      </c>
    </row>
    <row r="130" spans="1:29" ht="14.45" customHeight="1" x14ac:dyDescent="0.25">
      <c r="A130" t="str">
        <v>13/02/2024  02:03</v>
      </c>
      <c r="B130">
        <v>77.94</v>
      </c>
      <c r="C130">
        <v>77.94</v>
      </c>
      <c r="D130">
        <v>77.42</v>
      </c>
      <c r="E130">
        <v>78.28</v>
      </c>
      <c r="F130">
        <v>78.39</v>
      </c>
      <c r="G130">
        <v>78.55</v>
      </c>
      <c r="H130">
        <v>76.400000000000006</v>
      </c>
      <c r="I130">
        <v>78.78</v>
      </c>
      <c r="J130">
        <v>78.12</v>
      </c>
      <c r="M130" s="378"/>
      <c r="N130" s="206">
        <v>78.42</v>
      </c>
      <c r="O130" s="206">
        <v>78.22999999999999</v>
      </c>
      <c r="P130" s="206">
        <v>77.94</v>
      </c>
      <c r="Q130" s="206">
        <v>78.61</v>
      </c>
      <c r="R130" s="206">
        <v>78.81</v>
      </c>
      <c r="S130" s="206">
        <v>79.069999999999993</v>
      </c>
      <c r="T130" s="206">
        <v>76.77000000000001</v>
      </c>
      <c r="U130" s="206">
        <v>79.27</v>
      </c>
      <c r="V130" s="206">
        <v>78.61</v>
      </c>
      <c r="W130" s="214">
        <v>76.3</v>
      </c>
      <c r="Z130" s="23" t="str">
        <v>13/02/2024  02:03</v>
      </c>
      <c r="AA130" s="27">
        <v>77.400000000000006</v>
      </c>
      <c r="AB130" s="27">
        <v>75.900000000000006</v>
      </c>
      <c r="AC130" s="27">
        <v>78.3</v>
      </c>
    </row>
    <row r="131" spans="1:29" ht="14.45" customHeight="1" x14ac:dyDescent="0.25">
      <c r="A131" t="str">
        <v>13/02/2024  02:04</v>
      </c>
      <c r="B131">
        <v>78.23</v>
      </c>
      <c r="C131">
        <v>78.27</v>
      </c>
      <c r="D131">
        <v>77.739999999999995</v>
      </c>
      <c r="E131">
        <v>78.55</v>
      </c>
      <c r="F131">
        <v>78.67</v>
      </c>
      <c r="G131">
        <v>78.88</v>
      </c>
      <c r="H131">
        <v>76.760000000000005</v>
      </c>
      <c r="I131">
        <v>79.05</v>
      </c>
      <c r="J131">
        <v>78.349999999999994</v>
      </c>
      <c r="M131" s="378"/>
      <c r="N131" s="206">
        <v>78.710000000000008</v>
      </c>
      <c r="O131" s="206">
        <v>78.559999999999988</v>
      </c>
      <c r="P131" s="206">
        <v>78.259999999999991</v>
      </c>
      <c r="Q131" s="206">
        <v>78.88</v>
      </c>
      <c r="R131" s="206">
        <v>79.09</v>
      </c>
      <c r="S131" s="206">
        <v>79.399999999999991</v>
      </c>
      <c r="T131" s="206">
        <v>77.13000000000001</v>
      </c>
      <c r="U131" s="206">
        <v>79.539999999999992</v>
      </c>
      <c r="V131" s="206">
        <v>78.839999999999989</v>
      </c>
      <c r="W131" s="214">
        <v>76.599999999999994</v>
      </c>
      <c r="Z131" s="23" t="str">
        <v>13/02/2024  02:04</v>
      </c>
      <c r="AA131" s="27">
        <v>77.8</v>
      </c>
      <c r="AB131" s="27">
        <v>76.3</v>
      </c>
      <c r="AC131" s="27">
        <v>78.599999999999994</v>
      </c>
    </row>
    <row r="132" spans="1:29" ht="14.45" customHeight="1" x14ac:dyDescent="0.25">
      <c r="A132" t="str">
        <v>13/02/2024  02:05</v>
      </c>
      <c r="B132">
        <v>78.59</v>
      </c>
      <c r="C132">
        <v>78.599999999999994</v>
      </c>
      <c r="D132">
        <v>78.069999999999993</v>
      </c>
      <c r="E132">
        <v>78.930000000000007</v>
      </c>
      <c r="F132">
        <v>79.010000000000005</v>
      </c>
      <c r="G132">
        <v>79.260000000000005</v>
      </c>
      <c r="H132">
        <v>77.05</v>
      </c>
      <c r="I132">
        <v>79.430000000000007</v>
      </c>
      <c r="J132">
        <v>78.75</v>
      </c>
      <c r="M132" s="378"/>
      <c r="N132" s="206">
        <v>79.070000000000007</v>
      </c>
      <c r="O132" s="206">
        <v>78.889999999999986</v>
      </c>
      <c r="P132" s="206">
        <v>78.589999999999989</v>
      </c>
      <c r="Q132" s="206">
        <v>79.260000000000005</v>
      </c>
      <c r="R132" s="206">
        <v>79.430000000000007</v>
      </c>
      <c r="S132" s="206">
        <v>79.78</v>
      </c>
      <c r="T132" s="206">
        <v>77.42</v>
      </c>
      <c r="U132" s="206">
        <v>79.92</v>
      </c>
      <c r="V132" s="206">
        <v>79.239999999999995</v>
      </c>
      <c r="W132" s="214">
        <v>77</v>
      </c>
      <c r="Z132" s="23" t="str">
        <v>13/02/2024  02:05</v>
      </c>
      <c r="AA132" s="27">
        <v>78</v>
      </c>
      <c r="AB132" s="27">
        <v>76.599999999999994</v>
      </c>
      <c r="AC132" s="27">
        <v>79</v>
      </c>
    </row>
    <row r="133" spans="1:29" ht="14.45" customHeight="1" x14ac:dyDescent="0.25">
      <c r="A133" t="str">
        <v>13/02/2024  02:06</v>
      </c>
      <c r="B133">
        <v>78.88</v>
      </c>
      <c r="C133">
        <v>78.92</v>
      </c>
      <c r="D133">
        <v>78.42</v>
      </c>
      <c r="E133">
        <v>79.28</v>
      </c>
      <c r="F133">
        <v>79.37</v>
      </c>
      <c r="G133">
        <v>79.59</v>
      </c>
      <c r="H133">
        <v>77.33</v>
      </c>
      <c r="I133">
        <v>79.78</v>
      </c>
      <c r="J133">
        <v>79</v>
      </c>
      <c r="M133" s="378"/>
      <c r="N133" s="206">
        <v>79.36</v>
      </c>
      <c r="O133" s="206">
        <v>79.209999999999994</v>
      </c>
      <c r="P133" s="206">
        <v>78.94</v>
      </c>
      <c r="Q133" s="206">
        <v>79.61</v>
      </c>
      <c r="R133" s="206">
        <v>79.790000000000006</v>
      </c>
      <c r="S133" s="206">
        <v>80.11</v>
      </c>
      <c r="T133" s="206">
        <v>77.7</v>
      </c>
      <c r="U133" s="206">
        <v>80.27</v>
      </c>
      <c r="V133" s="206">
        <v>79.489999999999995</v>
      </c>
      <c r="W133" s="214">
        <v>77.3</v>
      </c>
      <c r="Z133" s="23" t="str">
        <v>13/02/2024  02:06</v>
      </c>
      <c r="AA133" s="27">
        <v>78.400000000000006</v>
      </c>
      <c r="AB133" s="27">
        <v>76.900000000000006</v>
      </c>
      <c r="AC133" s="27">
        <v>79.3</v>
      </c>
    </row>
    <row r="134" spans="1:29" ht="14.45" customHeight="1" x14ac:dyDescent="0.25">
      <c r="A134" t="str">
        <v>13/02/2024  02:07</v>
      </c>
      <c r="B134">
        <v>79.290000000000006</v>
      </c>
      <c r="C134">
        <v>79.28</v>
      </c>
      <c r="D134">
        <v>78.77</v>
      </c>
      <c r="E134">
        <v>79.59</v>
      </c>
      <c r="F134">
        <v>79.760000000000005</v>
      </c>
      <c r="G134">
        <v>79.989999999999995</v>
      </c>
      <c r="H134">
        <v>77.709999999999994</v>
      </c>
      <c r="I134">
        <v>80.05</v>
      </c>
      <c r="J134">
        <v>79.400000000000006</v>
      </c>
      <c r="M134" s="378"/>
      <c r="N134" s="206">
        <v>79.77000000000001</v>
      </c>
      <c r="O134" s="206">
        <v>79.569999999999993</v>
      </c>
      <c r="P134" s="206">
        <v>79.289999999999992</v>
      </c>
      <c r="Q134" s="206">
        <v>79.92</v>
      </c>
      <c r="R134" s="206">
        <v>80.180000000000007</v>
      </c>
      <c r="S134" s="206">
        <v>80.509999999999991</v>
      </c>
      <c r="T134" s="206">
        <v>78.08</v>
      </c>
      <c r="U134" s="206">
        <v>80.539999999999992</v>
      </c>
      <c r="V134" s="206">
        <v>79.89</v>
      </c>
      <c r="W134" s="214">
        <v>77.599999999999994</v>
      </c>
      <c r="Z134" s="23" t="str">
        <v>13/02/2024  02:07</v>
      </c>
      <c r="AA134" s="27">
        <v>78.7</v>
      </c>
      <c r="AB134" s="27">
        <v>77.3</v>
      </c>
      <c r="AC134" s="27">
        <v>79.599999999999994</v>
      </c>
    </row>
    <row r="135" spans="1:29" ht="14.45" customHeight="1" x14ac:dyDescent="0.25">
      <c r="A135" t="str">
        <v>13/02/2024  02:08</v>
      </c>
      <c r="B135">
        <v>79.62</v>
      </c>
      <c r="C135">
        <v>79.599999999999994</v>
      </c>
      <c r="D135">
        <v>79.099999999999994</v>
      </c>
      <c r="E135">
        <v>79.92</v>
      </c>
      <c r="F135">
        <v>80.040000000000006</v>
      </c>
      <c r="G135">
        <v>80.28</v>
      </c>
      <c r="H135">
        <v>78.010000000000005</v>
      </c>
      <c r="I135">
        <v>80.42</v>
      </c>
      <c r="J135">
        <v>79.75</v>
      </c>
      <c r="M135" s="378"/>
      <c r="N135" s="206">
        <v>80.100000000000009</v>
      </c>
      <c r="O135" s="206">
        <v>79.889999999999986</v>
      </c>
      <c r="P135" s="206">
        <v>79.61999999999999</v>
      </c>
      <c r="Q135" s="206">
        <v>80.25</v>
      </c>
      <c r="R135" s="206">
        <v>80.460000000000008</v>
      </c>
      <c r="S135" s="206">
        <v>80.8</v>
      </c>
      <c r="T135" s="206">
        <v>78.38000000000001</v>
      </c>
      <c r="U135" s="206">
        <v>80.91</v>
      </c>
      <c r="V135" s="206">
        <v>80.239999999999995</v>
      </c>
      <c r="W135" s="214">
        <v>78</v>
      </c>
      <c r="Z135" s="23" t="str">
        <v>13/02/2024  02:08</v>
      </c>
      <c r="AA135" s="27">
        <v>79</v>
      </c>
      <c r="AB135" s="27">
        <v>77.599999999999994</v>
      </c>
      <c r="AC135" s="27">
        <v>79.900000000000006</v>
      </c>
    </row>
    <row r="136" spans="1:29" ht="14.45" customHeight="1" x14ac:dyDescent="0.25">
      <c r="A136" t="str">
        <v>13/02/2024  02:09</v>
      </c>
      <c r="B136">
        <v>79.94</v>
      </c>
      <c r="C136">
        <v>79.98</v>
      </c>
      <c r="D136">
        <v>79.430000000000007</v>
      </c>
      <c r="E136">
        <v>80.319999999999993</v>
      </c>
      <c r="F136">
        <v>80.349999999999994</v>
      </c>
      <c r="G136">
        <v>80.599999999999994</v>
      </c>
      <c r="H136">
        <v>78.400000000000006</v>
      </c>
      <c r="I136">
        <v>80.77</v>
      </c>
      <c r="J136">
        <v>80.08</v>
      </c>
      <c r="M136" s="378"/>
      <c r="N136" s="206">
        <v>80.42</v>
      </c>
      <c r="O136" s="206">
        <v>80.27</v>
      </c>
      <c r="P136" s="206">
        <v>79.95</v>
      </c>
      <c r="Q136" s="206">
        <v>80.649999999999991</v>
      </c>
      <c r="R136" s="206">
        <v>80.77</v>
      </c>
      <c r="S136" s="206">
        <v>81.11999999999999</v>
      </c>
      <c r="T136" s="206">
        <v>78.77000000000001</v>
      </c>
      <c r="U136" s="206">
        <v>81.259999999999991</v>
      </c>
      <c r="V136" s="206">
        <v>80.569999999999993</v>
      </c>
      <c r="W136" s="214">
        <v>78.3</v>
      </c>
      <c r="Z136" s="23" t="str">
        <v>13/02/2024  02:09</v>
      </c>
      <c r="AA136" s="27">
        <v>79.3</v>
      </c>
      <c r="AB136" s="27">
        <v>77.900000000000006</v>
      </c>
      <c r="AC136" s="27">
        <v>80.3</v>
      </c>
    </row>
    <row r="137" spans="1:29" ht="14.45" customHeight="1" x14ac:dyDescent="0.25">
      <c r="A137" t="str">
        <v>13/02/2024  02:10</v>
      </c>
      <c r="B137">
        <v>80.2</v>
      </c>
      <c r="C137">
        <v>80.2</v>
      </c>
      <c r="D137">
        <v>79.73</v>
      </c>
      <c r="E137">
        <v>80.569999999999993</v>
      </c>
      <c r="F137">
        <v>80.63</v>
      </c>
      <c r="G137">
        <v>80.87</v>
      </c>
      <c r="H137">
        <v>78.66</v>
      </c>
      <c r="I137">
        <v>81.09</v>
      </c>
      <c r="J137">
        <v>80.37</v>
      </c>
      <c r="M137" s="378"/>
      <c r="N137" s="206">
        <v>80.680000000000007</v>
      </c>
      <c r="O137" s="206">
        <v>80.489999999999995</v>
      </c>
      <c r="P137" s="206">
        <v>80.25</v>
      </c>
      <c r="Q137" s="206">
        <v>80.899999999999991</v>
      </c>
      <c r="R137" s="206">
        <v>81.05</v>
      </c>
      <c r="S137" s="206">
        <v>81.39</v>
      </c>
      <c r="T137" s="206">
        <v>79.03</v>
      </c>
      <c r="U137" s="206">
        <v>81.58</v>
      </c>
      <c r="V137" s="206">
        <v>80.86</v>
      </c>
      <c r="W137" s="214">
        <v>78.599999999999994</v>
      </c>
      <c r="Z137" s="23" t="str">
        <v>13/02/2024  02:10</v>
      </c>
      <c r="AA137" s="27">
        <v>79.7</v>
      </c>
      <c r="AB137" s="27">
        <v>78.3</v>
      </c>
      <c r="AC137" s="27">
        <v>80.599999999999994</v>
      </c>
    </row>
    <row r="138" spans="1:29" ht="14.45" customHeight="1" x14ac:dyDescent="0.25">
      <c r="A138" t="str">
        <v>13/02/2024  02:11</v>
      </c>
      <c r="B138">
        <v>80.56</v>
      </c>
      <c r="C138">
        <v>80.599999999999994</v>
      </c>
      <c r="D138">
        <v>80.069999999999993</v>
      </c>
      <c r="E138">
        <v>80.89</v>
      </c>
      <c r="F138">
        <v>80.98</v>
      </c>
      <c r="G138">
        <v>81.290000000000006</v>
      </c>
      <c r="H138">
        <v>79</v>
      </c>
      <c r="I138">
        <v>81.45</v>
      </c>
      <c r="J138">
        <v>80.709999999999994</v>
      </c>
      <c r="M138" s="378"/>
      <c r="N138" s="206">
        <v>81.040000000000006</v>
      </c>
      <c r="O138" s="206">
        <v>80.889999999999986</v>
      </c>
      <c r="P138" s="206">
        <v>80.589999999999989</v>
      </c>
      <c r="Q138" s="206">
        <v>81.22</v>
      </c>
      <c r="R138" s="206">
        <v>81.400000000000006</v>
      </c>
      <c r="S138" s="206">
        <v>81.81</v>
      </c>
      <c r="T138" s="206">
        <v>79.37</v>
      </c>
      <c r="U138" s="206">
        <v>81.94</v>
      </c>
      <c r="V138" s="206">
        <v>81.199999999999989</v>
      </c>
      <c r="W138" s="214">
        <v>79</v>
      </c>
      <c r="Z138" s="23" t="str">
        <v>13/02/2024  02:11</v>
      </c>
      <c r="AA138" s="27">
        <v>80</v>
      </c>
      <c r="AB138" s="27">
        <v>78.5</v>
      </c>
      <c r="AC138" s="27">
        <v>80.900000000000006</v>
      </c>
    </row>
    <row r="139" spans="1:29" ht="14.45" customHeight="1" x14ac:dyDescent="0.25">
      <c r="A139" t="str">
        <v>13/02/2024  02:12</v>
      </c>
      <c r="B139">
        <v>80.97</v>
      </c>
      <c r="C139">
        <v>80.95</v>
      </c>
      <c r="D139">
        <v>80.42</v>
      </c>
      <c r="E139">
        <v>81.28</v>
      </c>
      <c r="F139">
        <v>81.319999999999993</v>
      </c>
      <c r="G139">
        <v>81.66</v>
      </c>
      <c r="H139">
        <v>79.31</v>
      </c>
      <c r="I139">
        <v>81.83</v>
      </c>
      <c r="J139">
        <v>81.09</v>
      </c>
      <c r="M139" s="378"/>
      <c r="N139" s="206">
        <v>81.45</v>
      </c>
      <c r="O139" s="206">
        <v>81.239999999999995</v>
      </c>
      <c r="P139" s="206">
        <v>80.94</v>
      </c>
      <c r="Q139" s="206">
        <v>81.61</v>
      </c>
      <c r="R139" s="206">
        <v>81.739999999999995</v>
      </c>
      <c r="S139" s="206">
        <v>82.179999999999993</v>
      </c>
      <c r="T139" s="206">
        <v>79.680000000000007</v>
      </c>
      <c r="U139" s="206">
        <v>82.32</v>
      </c>
      <c r="V139" s="206">
        <v>81.58</v>
      </c>
      <c r="W139" s="214">
        <v>79.3</v>
      </c>
      <c r="Z139" s="23" t="str">
        <v>13/02/2024  02:12</v>
      </c>
      <c r="AA139" s="27">
        <v>80.400000000000006</v>
      </c>
      <c r="AB139" s="27">
        <v>78.900000000000006</v>
      </c>
      <c r="AC139" s="27">
        <v>81.3</v>
      </c>
    </row>
    <row r="140" spans="1:29" ht="14.45" customHeight="1" x14ac:dyDescent="0.25">
      <c r="A140" t="str">
        <v>13/02/2024  02:13</v>
      </c>
      <c r="B140">
        <v>81.34</v>
      </c>
      <c r="C140">
        <v>81.39</v>
      </c>
      <c r="D140">
        <v>80.8</v>
      </c>
      <c r="E140">
        <v>81.66</v>
      </c>
      <c r="F140">
        <v>81.739999999999995</v>
      </c>
      <c r="G140">
        <v>81.99</v>
      </c>
      <c r="H140">
        <v>79.72</v>
      </c>
      <c r="I140">
        <v>82.21</v>
      </c>
      <c r="J140">
        <v>81.47</v>
      </c>
      <c r="M140" s="378"/>
      <c r="N140" s="206">
        <v>81.820000000000007</v>
      </c>
      <c r="O140" s="206">
        <v>81.679999999999993</v>
      </c>
      <c r="P140" s="206">
        <v>81.319999999999993</v>
      </c>
      <c r="Q140" s="206">
        <v>81.99</v>
      </c>
      <c r="R140" s="206">
        <v>82.16</v>
      </c>
      <c r="S140" s="206">
        <v>82.509999999999991</v>
      </c>
      <c r="T140" s="206">
        <v>80.09</v>
      </c>
      <c r="U140" s="206">
        <v>82.699999999999989</v>
      </c>
      <c r="V140" s="206">
        <v>81.96</v>
      </c>
      <c r="W140" s="214">
        <v>79.599999999999994</v>
      </c>
      <c r="Z140" s="23" t="str">
        <v>13/02/2024  02:13</v>
      </c>
      <c r="AA140" s="27">
        <v>80.8</v>
      </c>
      <c r="AB140" s="27">
        <v>79.2</v>
      </c>
      <c r="AC140" s="27">
        <v>81.599999999999994</v>
      </c>
    </row>
    <row r="141" spans="1:29" ht="14.45" customHeight="1" x14ac:dyDescent="0.25">
      <c r="A141" t="str">
        <v>13/02/2024  02:14</v>
      </c>
      <c r="B141">
        <v>81.69</v>
      </c>
      <c r="C141">
        <v>81.73</v>
      </c>
      <c r="D141">
        <v>81.099999999999994</v>
      </c>
      <c r="E141">
        <v>81.96</v>
      </c>
      <c r="F141">
        <v>82.02</v>
      </c>
      <c r="G141">
        <v>82.44</v>
      </c>
      <c r="H141">
        <v>80.03</v>
      </c>
      <c r="I141">
        <v>82.5</v>
      </c>
      <c r="J141">
        <v>81.790000000000006</v>
      </c>
      <c r="M141" s="378"/>
      <c r="N141" s="206">
        <v>82.17</v>
      </c>
      <c r="O141" s="206">
        <v>82.02</v>
      </c>
      <c r="P141" s="206">
        <v>81.61999999999999</v>
      </c>
      <c r="Q141" s="206">
        <v>82.289999999999992</v>
      </c>
      <c r="R141" s="206">
        <v>82.44</v>
      </c>
      <c r="S141" s="206">
        <v>82.96</v>
      </c>
      <c r="T141" s="206">
        <v>80.400000000000006</v>
      </c>
      <c r="U141" s="206">
        <v>82.99</v>
      </c>
      <c r="V141" s="206">
        <v>82.28</v>
      </c>
      <c r="W141" s="214">
        <v>80</v>
      </c>
      <c r="Z141" s="23" t="str">
        <v>13/02/2024  02:14</v>
      </c>
      <c r="AA141" s="27">
        <v>81.099999999999994</v>
      </c>
      <c r="AB141" s="27">
        <v>79.599999999999994</v>
      </c>
      <c r="AC141" s="27">
        <v>82</v>
      </c>
    </row>
    <row r="142" spans="1:29" ht="14.45" customHeight="1" x14ac:dyDescent="0.25">
      <c r="A142" t="str">
        <v>13/02/2024  02:15</v>
      </c>
      <c r="B142">
        <v>81.98</v>
      </c>
      <c r="C142">
        <v>82.03</v>
      </c>
      <c r="D142">
        <v>81.5</v>
      </c>
      <c r="E142">
        <v>82.31</v>
      </c>
      <c r="F142">
        <v>82.34</v>
      </c>
      <c r="G142">
        <v>82.68</v>
      </c>
      <c r="H142">
        <v>80.31</v>
      </c>
      <c r="I142">
        <v>82.82</v>
      </c>
      <c r="J142">
        <v>82.09</v>
      </c>
      <c r="M142" s="378"/>
      <c r="N142" s="206">
        <v>82.460000000000008</v>
      </c>
      <c r="O142" s="206">
        <v>82.32</v>
      </c>
      <c r="P142" s="206">
        <v>82.02</v>
      </c>
      <c r="Q142" s="206">
        <v>82.64</v>
      </c>
      <c r="R142" s="206">
        <v>82.76</v>
      </c>
      <c r="S142" s="206">
        <v>83.2</v>
      </c>
      <c r="T142" s="206">
        <v>80.680000000000007</v>
      </c>
      <c r="U142" s="206">
        <v>83.309999999999988</v>
      </c>
      <c r="V142" s="206">
        <v>82.58</v>
      </c>
      <c r="W142" s="214">
        <v>80</v>
      </c>
      <c r="Z142" s="23" t="str">
        <v>13/02/2024  02:15</v>
      </c>
      <c r="AA142" s="27">
        <v>81.400000000000006</v>
      </c>
      <c r="AB142" s="27">
        <v>79.8</v>
      </c>
      <c r="AC142" s="27">
        <v>82.3</v>
      </c>
    </row>
    <row r="143" spans="1:29" ht="14.45" customHeight="1" x14ac:dyDescent="0.25">
      <c r="A143" t="str">
        <v>13/02/2024  02:16</v>
      </c>
      <c r="B143">
        <v>82.06</v>
      </c>
      <c r="C143">
        <v>82.1</v>
      </c>
      <c r="D143">
        <v>81.650000000000006</v>
      </c>
      <c r="E143">
        <v>82.41</v>
      </c>
      <c r="F143">
        <v>82.53</v>
      </c>
      <c r="G143">
        <v>82.76</v>
      </c>
      <c r="H143">
        <v>80.650000000000006</v>
      </c>
      <c r="I143">
        <v>82.89</v>
      </c>
      <c r="J143">
        <v>82.24</v>
      </c>
      <c r="M143" s="378"/>
      <c r="N143" s="206">
        <v>82.54</v>
      </c>
      <c r="O143" s="206">
        <v>82.389999999999986</v>
      </c>
      <c r="P143" s="206">
        <v>82.17</v>
      </c>
      <c r="Q143" s="206">
        <v>82.74</v>
      </c>
      <c r="R143" s="206">
        <v>82.95</v>
      </c>
      <c r="S143" s="206">
        <v>83.28</v>
      </c>
      <c r="T143" s="206">
        <v>81.02000000000001</v>
      </c>
      <c r="U143" s="206">
        <v>83.38</v>
      </c>
      <c r="V143" s="206">
        <v>82.72999999999999</v>
      </c>
      <c r="W143" s="214">
        <v>80</v>
      </c>
      <c r="Z143" s="23" t="str">
        <v>13/02/2024  02:16</v>
      </c>
      <c r="AA143" s="27">
        <v>81.8</v>
      </c>
      <c r="AB143" s="27">
        <v>80.2</v>
      </c>
      <c r="AC143" s="27">
        <v>82.6</v>
      </c>
    </row>
    <row r="144" spans="1:29" ht="14.45" customHeight="1" x14ac:dyDescent="0.25">
      <c r="A144" t="str">
        <v>13/02/2024  02:17</v>
      </c>
      <c r="B144">
        <v>82.14</v>
      </c>
      <c r="C144">
        <v>82.18</v>
      </c>
      <c r="D144">
        <v>81.650000000000006</v>
      </c>
      <c r="E144">
        <v>82.4</v>
      </c>
      <c r="F144">
        <v>82.44</v>
      </c>
      <c r="G144">
        <v>82.74</v>
      </c>
      <c r="H144">
        <v>80.78</v>
      </c>
      <c r="I144">
        <v>82.83</v>
      </c>
      <c r="J144">
        <v>82.2</v>
      </c>
      <c r="M144" s="378"/>
      <c r="N144" s="206">
        <v>82.62</v>
      </c>
      <c r="O144" s="206">
        <v>82.47</v>
      </c>
      <c r="P144" s="206">
        <v>82.17</v>
      </c>
      <c r="Q144" s="206">
        <v>82.73</v>
      </c>
      <c r="R144" s="206">
        <v>82.86</v>
      </c>
      <c r="S144" s="206">
        <v>83.259999999999991</v>
      </c>
      <c r="T144" s="206">
        <v>81.150000000000006</v>
      </c>
      <c r="U144" s="206">
        <v>83.32</v>
      </c>
      <c r="V144" s="206">
        <v>82.69</v>
      </c>
      <c r="W144" s="214">
        <v>80</v>
      </c>
      <c r="Z144" s="23" t="str">
        <v>13/02/2024  02:17</v>
      </c>
      <c r="AA144" s="27">
        <v>81.900000000000006</v>
      </c>
      <c r="AB144" s="27">
        <v>80.400000000000006</v>
      </c>
      <c r="AC144" s="27">
        <v>82.7</v>
      </c>
    </row>
    <row r="145" spans="1:29" ht="14.45" customHeight="1" x14ac:dyDescent="0.25">
      <c r="A145" t="str">
        <v>13/02/2024  02:18</v>
      </c>
      <c r="B145">
        <v>82.01</v>
      </c>
      <c r="C145">
        <v>81.96</v>
      </c>
      <c r="D145">
        <v>81.63</v>
      </c>
      <c r="E145">
        <v>82.25</v>
      </c>
      <c r="F145">
        <v>82.25</v>
      </c>
      <c r="G145">
        <v>82.6</v>
      </c>
      <c r="H145">
        <v>80.89</v>
      </c>
      <c r="I145">
        <v>82.63</v>
      </c>
      <c r="J145">
        <v>82.13</v>
      </c>
      <c r="M145" s="378"/>
      <c r="N145" s="206">
        <v>82.490000000000009</v>
      </c>
      <c r="O145" s="206">
        <v>82.249999999999986</v>
      </c>
      <c r="P145" s="206">
        <v>82.149999999999991</v>
      </c>
      <c r="Q145" s="206">
        <v>82.58</v>
      </c>
      <c r="R145" s="206">
        <v>82.67</v>
      </c>
      <c r="S145" s="206">
        <v>83.11999999999999</v>
      </c>
      <c r="T145" s="206">
        <v>81.260000000000005</v>
      </c>
      <c r="U145" s="206">
        <v>83.11999999999999</v>
      </c>
      <c r="V145" s="206">
        <v>82.61999999999999</v>
      </c>
      <c r="W145" s="214">
        <v>80</v>
      </c>
      <c r="Z145" s="23" t="str">
        <v>13/02/2024  02:18</v>
      </c>
      <c r="AA145" s="27">
        <v>81.900000000000006</v>
      </c>
      <c r="AB145" s="27">
        <v>80.599999999999994</v>
      </c>
      <c r="AC145" s="27">
        <v>82.8</v>
      </c>
    </row>
    <row r="146" spans="1:29" ht="14.45" customHeight="1" x14ac:dyDescent="0.25">
      <c r="A146" t="str">
        <v>13/02/2024  02:19</v>
      </c>
      <c r="B146">
        <v>81.91</v>
      </c>
      <c r="C146">
        <v>81.92</v>
      </c>
      <c r="D146">
        <v>81.540000000000006</v>
      </c>
      <c r="E146">
        <v>82.09</v>
      </c>
      <c r="F146">
        <v>82.1</v>
      </c>
      <c r="G146">
        <v>82.47</v>
      </c>
      <c r="H146">
        <v>80.91</v>
      </c>
      <c r="I146">
        <v>82.39</v>
      </c>
      <c r="J146">
        <v>81.96</v>
      </c>
      <c r="M146" s="378"/>
      <c r="N146" s="206">
        <v>82.39</v>
      </c>
      <c r="O146" s="206">
        <v>82.21</v>
      </c>
      <c r="P146" s="206">
        <v>82.06</v>
      </c>
      <c r="Q146" s="206">
        <v>82.42</v>
      </c>
      <c r="R146" s="206">
        <v>82.52</v>
      </c>
      <c r="S146" s="206">
        <v>82.99</v>
      </c>
      <c r="T146" s="206">
        <v>81.28</v>
      </c>
      <c r="U146" s="206">
        <v>82.88</v>
      </c>
      <c r="V146" s="206">
        <v>82.449999999999989</v>
      </c>
      <c r="W146" s="214">
        <v>80</v>
      </c>
      <c r="Z146" s="23" t="str">
        <v>13/02/2024  02:19</v>
      </c>
      <c r="AA146" s="27">
        <v>81.8</v>
      </c>
      <c r="AB146" s="27">
        <v>80.7</v>
      </c>
      <c r="AC146" s="27">
        <v>82.7</v>
      </c>
    </row>
    <row r="147" spans="1:29" ht="14.45" customHeight="1" x14ac:dyDescent="0.25">
      <c r="A147" t="str">
        <v>13/02/2024  02:20</v>
      </c>
      <c r="B147">
        <v>81.7</v>
      </c>
      <c r="C147">
        <v>81.72</v>
      </c>
      <c r="D147">
        <v>81.41</v>
      </c>
      <c r="E147">
        <v>81.86</v>
      </c>
      <c r="F147">
        <v>81.91</v>
      </c>
      <c r="G147">
        <v>82.22</v>
      </c>
      <c r="H147">
        <v>80.89</v>
      </c>
      <c r="I147">
        <v>82.19</v>
      </c>
      <c r="J147">
        <v>81.8</v>
      </c>
      <c r="M147" s="378"/>
      <c r="N147" s="206">
        <v>82.18</v>
      </c>
      <c r="O147" s="206">
        <v>82.009999999999991</v>
      </c>
      <c r="P147" s="206">
        <v>81.929999999999993</v>
      </c>
      <c r="Q147" s="206">
        <v>82.19</v>
      </c>
      <c r="R147" s="206">
        <v>82.33</v>
      </c>
      <c r="S147" s="206">
        <v>82.74</v>
      </c>
      <c r="T147" s="206">
        <v>81.260000000000005</v>
      </c>
      <c r="U147" s="206">
        <v>82.679999999999993</v>
      </c>
      <c r="V147" s="206">
        <v>82.289999999999992</v>
      </c>
      <c r="W147" s="214">
        <v>80</v>
      </c>
      <c r="Z147" s="23" t="str">
        <v>13/02/2024  02:20</v>
      </c>
      <c r="AA147" s="27">
        <v>81.7</v>
      </c>
      <c r="AB147" s="27">
        <v>80.7</v>
      </c>
      <c r="AC147" s="27">
        <v>82.6</v>
      </c>
    </row>
    <row r="148" spans="1:29" ht="14.45" customHeight="1" x14ac:dyDescent="0.25">
      <c r="A148" t="str">
        <v>13/02/2024  02:21</v>
      </c>
      <c r="B148">
        <v>81.64</v>
      </c>
      <c r="C148">
        <v>81.59</v>
      </c>
      <c r="D148">
        <v>81.34</v>
      </c>
      <c r="E148">
        <v>81.760000000000005</v>
      </c>
      <c r="F148">
        <v>81.75</v>
      </c>
      <c r="G148">
        <v>82.13</v>
      </c>
      <c r="H148">
        <v>80.87</v>
      </c>
      <c r="I148">
        <v>82.02</v>
      </c>
      <c r="J148">
        <v>81.66</v>
      </c>
      <c r="M148" s="378"/>
      <c r="N148" s="206">
        <v>82.12</v>
      </c>
      <c r="O148" s="206">
        <v>81.88</v>
      </c>
      <c r="P148" s="206">
        <v>81.86</v>
      </c>
      <c r="Q148" s="206">
        <v>82.09</v>
      </c>
      <c r="R148" s="206">
        <v>82.17</v>
      </c>
      <c r="S148" s="206">
        <v>82.649999999999991</v>
      </c>
      <c r="T148" s="206">
        <v>81.240000000000009</v>
      </c>
      <c r="U148" s="206">
        <v>82.509999999999991</v>
      </c>
      <c r="V148" s="206">
        <v>82.149999999999991</v>
      </c>
      <c r="W148" s="214">
        <v>80</v>
      </c>
      <c r="Z148" s="23" t="str">
        <v>13/02/2024  02:21</v>
      </c>
      <c r="AA148" s="27">
        <v>81.5</v>
      </c>
      <c r="AB148" s="27">
        <v>80.599999999999994</v>
      </c>
      <c r="AC148" s="27">
        <v>82.5</v>
      </c>
    </row>
    <row r="149" spans="1:29" ht="14.45" customHeight="1" x14ac:dyDescent="0.25">
      <c r="A149" t="str">
        <v>13/02/2024  02:22</v>
      </c>
      <c r="B149">
        <v>81.45</v>
      </c>
      <c r="C149">
        <v>81.45</v>
      </c>
      <c r="D149">
        <v>81.2</v>
      </c>
      <c r="E149">
        <v>81.59</v>
      </c>
      <c r="F149">
        <v>81.58</v>
      </c>
      <c r="G149">
        <v>82.02</v>
      </c>
      <c r="H149">
        <v>80.88</v>
      </c>
      <c r="I149">
        <v>81.81</v>
      </c>
      <c r="J149">
        <v>81.510000000000005</v>
      </c>
      <c r="M149" s="378"/>
      <c r="N149" s="206">
        <v>81.93</v>
      </c>
      <c r="O149" s="206">
        <v>81.739999999999995</v>
      </c>
      <c r="P149" s="206">
        <v>81.72</v>
      </c>
      <c r="Q149" s="206">
        <v>81.92</v>
      </c>
      <c r="R149" s="206">
        <v>82</v>
      </c>
      <c r="S149" s="206">
        <v>82.539999999999992</v>
      </c>
      <c r="T149" s="206">
        <v>81.25</v>
      </c>
      <c r="U149" s="206">
        <v>82.3</v>
      </c>
      <c r="V149" s="206">
        <v>82</v>
      </c>
      <c r="W149" s="214">
        <v>80</v>
      </c>
      <c r="Z149" s="23" t="str">
        <v>13/02/2024  02:22</v>
      </c>
      <c r="AA149" s="27">
        <v>81.3</v>
      </c>
      <c r="AB149" s="27">
        <v>80.599999999999994</v>
      </c>
      <c r="AC149" s="27">
        <v>82.3</v>
      </c>
    </row>
    <row r="150" spans="1:29" ht="14.45" customHeight="1" x14ac:dyDescent="0.25">
      <c r="A150" t="str">
        <v>13/02/2024  02:23</v>
      </c>
      <c r="B150">
        <v>81.349999999999994</v>
      </c>
      <c r="C150">
        <v>81.260000000000005</v>
      </c>
      <c r="D150">
        <v>81.13</v>
      </c>
      <c r="E150">
        <v>81.400000000000006</v>
      </c>
      <c r="F150">
        <v>81.38</v>
      </c>
      <c r="G150">
        <v>81.87</v>
      </c>
      <c r="H150">
        <v>80.89</v>
      </c>
      <c r="I150">
        <v>81.69</v>
      </c>
      <c r="J150">
        <v>81.39</v>
      </c>
      <c r="M150" s="378"/>
      <c r="N150" s="206">
        <v>81.83</v>
      </c>
      <c r="O150" s="206">
        <v>81.55</v>
      </c>
      <c r="P150" s="206">
        <v>81.649999999999991</v>
      </c>
      <c r="Q150" s="206">
        <v>81.73</v>
      </c>
      <c r="R150" s="206">
        <v>81.8</v>
      </c>
      <c r="S150" s="206">
        <v>82.39</v>
      </c>
      <c r="T150" s="206">
        <v>81.260000000000005</v>
      </c>
      <c r="U150" s="206">
        <v>82.179999999999993</v>
      </c>
      <c r="V150" s="206">
        <v>81.88</v>
      </c>
      <c r="W150" s="214">
        <v>80</v>
      </c>
      <c r="Z150" s="23" t="str">
        <v>13/02/2024  02:23</v>
      </c>
      <c r="AA150" s="27">
        <v>81.099999999999994</v>
      </c>
      <c r="AB150" s="27">
        <v>80.5</v>
      </c>
      <c r="AC150" s="27">
        <v>82.2</v>
      </c>
    </row>
    <row r="151" spans="1:29" ht="14.45" customHeight="1" x14ac:dyDescent="0.25">
      <c r="A151" t="str">
        <v>13/02/2024  02:24</v>
      </c>
      <c r="B151">
        <v>81.27</v>
      </c>
      <c r="C151">
        <v>81.25</v>
      </c>
      <c r="D151">
        <v>81.069999999999993</v>
      </c>
      <c r="E151">
        <v>81.319999999999993</v>
      </c>
      <c r="F151">
        <v>81.31</v>
      </c>
      <c r="G151">
        <v>81.81</v>
      </c>
      <c r="H151">
        <v>80.89</v>
      </c>
      <c r="I151">
        <v>81.56</v>
      </c>
      <c r="J151">
        <v>81.31</v>
      </c>
      <c r="M151" s="378"/>
      <c r="N151" s="206">
        <v>81.75</v>
      </c>
      <c r="O151" s="206">
        <v>81.539999999999992</v>
      </c>
      <c r="P151" s="206">
        <v>81.589999999999989</v>
      </c>
      <c r="Q151" s="206">
        <v>81.649999999999991</v>
      </c>
      <c r="R151" s="206">
        <v>81.73</v>
      </c>
      <c r="S151" s="206">
        <v>82.33</v>
      </c>
      <c r="T151" s="206">
        <v>81.260000000000005</v>
      </c>
      <c r="U151" s="206">
        <v>82.05</v>
      </c>
      <c r="V151" s="206">
        <v>81.8</v>
      </c>
      <c r="W151" s="214">
        <v>80</v>
      </c>
      <c r="Z151" s="23" t="str">
        <v>13/02/2024  02:24</v>
      </c>
      <c r="AA151" s="27">
        <v>80.900000000000006</v>
      </c>
      <c r="AB151" s="27">
        <v>80.5</v>
      </c>
      <c r="AC151" s="27">
        <v>82.1</v>
      </c>
    </row>
    <row r="152" spans="1:29" ht="14.45" customHeight="1" x14ac:dyDescent="0.25">
      <c r="A152" t="str">
        <v>13/02/2024  02:25</v>
      </c>
      <c r="B152">
        <v>81.17</v>
      </c>
      <c r="C152">
        <v>81.180000000000007</v>
      </c>
      <c r="D152">
        <v>80.97</v>
      </c>
      <c r="E152">
        <v>81.22</v>
      </c>
      <c r="F152">
        <v>81.180000000000007</v>
      </c>
      <c r="G152">
        <v>81.680000000000007</v>
      </c>
      <c r="H152">
        <v>80.88</v>
      </c>
      <c r="I152">
        <v>81.44</v>
      </c>
      <c r="J152">
        <v>81.23</v>
      </c>
      <c r="M152" s="378"/>
      <c r="N152" s="206">
        <v>81.650000000000006</v>
      </c>
      <c r="O152" s="206">
        <v>81.47</v>
      </c>
      <c r="P152" s="206">
        <v>81.489999999999995</v>
      </c>
      <c r="Q152" s="206">
        <v>81.55</v>
      </c>
      <c r="R152" s="206">
        <v>81.600000000000009</v>
      </c>
      <c r="S152" s="206">
        <v>82.2</v>
      </c>
      <c r="T152" s="206">
        <v>81.25</v>
      </c>
      <c r="U152" s="206">
        <v>81.929999999999993</v>
      </c>
      <c r="V152" s="206">
        <v>81.72</v>
      </c>
      <c r="W152" s="214">
        <v>80</v>
      </c>
      <c r="Z152" s="23" t="str">
        <v>13/02/2024  02:25</v>
      </c>
      <c r="AA152" s="27">
        <v>80.7</v>
      </c>
      <c r="AB152" s="27">
        <v>80.400000000000006</v>
      </c>
      <c r="AC152" s="27">
        <v>81.900000000000006</v>
      </c>
    </row>
    <row r="153" spans="1:29" ht="14.45" customHeight="1" x14ac:dyDescent="0.25">
      <c r="A153" t="str">
        <v>13/02/2024  02:26</v>
      </c>
      <c r="B153">
        <v>81.099999999999994</v>
      </c>
      <c r="C153">
        <v>81.06</v>
      </c>
      <c r="D153">
        <v>80.92</v>
      </c>
      <c r="E153">
        <v>81.14</v>
      </c>
      <c r="F153">
        <v>81.099999999999994</v>
      </c>
      <c r="G153">
        <v>81.59</v>
      </c>
      <c r="H153">
        <v>80.89</v>
      </c>
      <c r="I153">
        <v>81.34</v>
      </c>
      <c r="J153">
        <v>81.13</v>
      </c>
      <c r="M153" s="378"/>
      <c r="N153" s="206">
        <v>81.58</v>
      </c>
      <c r="O153" s="206">
        <v>81.349999999999994</v>
      </c>
      <c r="P153" s="206">
        <v>81.44</v>
      </c>
      <c r="Q153" s="206">
        <v>81.47</v>
      </c>
      <c r="R153" s="206">
        <v>81.52</v>
      </c>
      <c r="S153" s="206">
        <v>82.11</v>
      </c>
      <c r="T153" s="206">
        <v>81.260000000000005</v>
      </c>
      <c r="U153" s="206">
        <v>81.83</v>
      </c>
      <c r="V153" s="206">
        <v>81.61999999999999</v>
      </c>
      <c r="W153" s="214">
        <v>80</v>
      </c>
      <c r="Z153" s="23" t="str">
        <v>13/02/2024  02:26</v>
      </c>
      <c r="AA153" s="27">
        <v>80.5</v>
      </c>
      <c r="AB153" s="27">
        <v>80.3</v>
      </c>
      <c r="AC153" s="27">
        <v>81.900000000000006</v>
      </c>
    </row>
    <row r="154" spans="1:29" ht="14.45" customHeight="1" x14ac:dyDescent="0.25">
      <c r="A154" t="str">
        <v>13/02/2024  02:27</v>
      </c>
      <c r="B154">
        <v>81.06</v>
      </c>
      <c r="C154">
        <v>81.02</v>
      </c>
      <c r="D154">
        <v>80.87</v>
      </c>
      <c r="E154">
        <v>81.12</v>
      </c>
      <c r="F154">
        <v>81.069999999999993</v>
      </c>
      <c r="G154">
        <v>81.58</v>
      </c>
      <c r="H154">
        <v>80.91</v>
      </c>
      <c r="I154">
        <v>81.31</v>
      </c>
      <c r="J154">
        <v>81.09</v>
      </c>
      <c r="M154" s="378"/>
      <c r="N154" s="206">
        <v>81.540000000000006</v>
      </c>
      <c r="O154" s="206">
        <v>81.309999999999988</v>
      </c>
      <c r="P154" s="206">
        <v>81.39</v>
      </c>
      <c r="Q154" s="206">
        <v>81.45</v>
      </c>
      <c r="R154" s="206">
        <v>81.489999999999995</v>
      </c>
      <c r="S154" s="206">
        <v>82.1</v>
      </c>
      <c r="T154" s="206">
        <v>81.28</v>
      </c>
      <c r="U154" s="206">
        <v>81.8</v>
      </c>
      <c r="V154" s="206">
        <v>81.58</v>
      </c>
      <c r="W154" s="214">
        <v>80</v>
      </c>
      <c r="Z154" s="23" t="str">
        <v>13/02/2024  02:27</v>
      </c>
      <c r="AA154" s="27">
        <v>80.5</v>
      </c>
      <c r="AB154" s="27">
        <v>80.3</v>
      </c>
      <c r="AC154" s="27">
        <v>81.8</v>
      </c>
    </row>
    <row r="155" spans="1:29" ht="14.45" customHeight="1" x14ac:dyDescent="0.25">
      <c r="A155" t="str">
        <v>13/02/2024  02:28</v>
      </c>
      <c r="B155">
        <v>81.03</v>
      </c>
      <c r="C155">
        <v>80.97</v>
      </c>
      <c r="D155">
        <v>80.900000000000006</v>
      </c>
      <c r="E155">
        <v>81.040000000000006</v>
      </c>
      <c r="F155">
        <v>81.05</v>
      </c>
      <c r="G155">
        <v>81.52</v>
      </c>
      <c r="H155">
        <v>80.87</v>
      </c>
      <c r="I155">
        <v>81.23</v>
      </c>
      <c r="J155">
        <v>81.06</v>
      </c>
      <c r="M155" s="378"/>
      <c r="N155" s="206">
        <v>81.510000000000005</v>
      </c>
      <c r="O155" s="206">
        <v>81.259999999999991</v>
      </c>
      <c r="P155" s="206">
        <v>81.42</v>
      </c>
      <c r="Q155" s="206">
        <v>81.37</v>
      </c>
      <c r="R155" s="206">
        <v>81.47</v>
      </c>
      <c r="S155" s="206">
        <v>82.039999999999992</v>
      </c>
      <c r="T155" s="206">
        <v>81.240000000000009</v>
      </c>
      <c r="U155" s="206">
        <v>81.72</v>
      </c>
      <c r="V155" s="206">
        <v>81.55</v>
      </c>
      <c r="W155" s="214">
        <v>80</v>
      </c>
      <c r="Z155" s="23" t="str">
        <v>13/02/2024  02:28</v>
      </c>
      <c r="AA155" s="27">
        <v>80.400000000000006</v>
      </c>
      <c r="AB155" s="27">
        <v>80.2</v>
      </c>
      <c r="AC155" s="27">
        <v>81.7</v>
      </c>
    </row>
    <row r="156" spans="1:29" ht="14.45" customHeight="1" x14ac:dyDescent="0.25">
      <c r="A156" t="str">
        <v>13/02/2024  02:29</v>
      </c>
      <c r="B156">
        <v>81.03</v>
      </c>
      <c r="C156">
        <v>80.959999999999994</v>
      </c>
      <c r="D156">
        <v>80.87</v>
      </c>
      <c r="E156">
        <v>81</v>
      </c>
      <c r="F156">
        <v>80.989999999999995</v>
      </c>
      <c r="G156">
        <v>81.459999999999994</v>
      </c>
      <c r="H156">
        <v>80.849999999999994</v>
      </c>
      <c r="I156">
        <v>81.17</v>
      </c>
      <c r="J156">
        <v>81.05</v>
      </c>
      <c r="M156" s="378"/>
      <c r="N156" s="206">
        <v>81.510000000000005</v>
      </c>
      <c r="O156" s="206">
        <v>81.249999999999986</v>
      </c>
      <c r="P156" s="206">
        <v>81.39</v>
      </c>
      <c r="Q156" s="206">
        <v>81.33</v>
      </c>
      <c r="R156" s="206">
        <v>81.41</v>
      </c>
      <c r="S156" s="206">
        <v>81.97999999999999</v>
      </c>
      <c r="T156" s="206">
        <v>81.22</v>
      </c>
      <c r="U156" s="206">
        <v>81.66</v>
      </c>
      <c r="V156" s="206">
        <v>81.539999999999992</v>
      </c>
      <c r="W156" s="214">
        <v>80</v>
      </c>
      <c r="Z156" s="23" t="str">
        <v>13/02/2024  02:29</v>
      </c>
      <c r="AA156" s="27">
        <v>80.400000000000006</v>
      </c>
      <c r="AB156" s="27">
        <v>80.2</v>
      </c>
      <c r="AC156" s="27">
        <v>81.7</v>
      </c>
    </row>
    <row r="157" spans="1:29" ht="14.45" customHeight="1" x14ac:dyDescent="0.25">
      <c r="A157" t="str">
        <v>13/02/2024  02:30</v>
      </c>
      <c r="B157">
        <v>80.98</v>
      </c>
      <c r="C157">
        <v>80.930000000000007</v>
      </c>
      <c r="D157">
        <v>80.819999999999993</v>
      </c>
      <c r="E157">
        <v>80.989999999999995</v>
      </c>
      <c r="F157">
        <v>80.95</v>
      </c>
      <c r="G157">
        <v>81.44</v>
      </c>
      <c r="H157">
        <v>80.88</v>
      </c>
      <c r="I157">
        <v>81.17</v>
      </c>
      <c r="J157">
        <v>80.98</v>
      </c>
      <c r="M157" s="377" t="s">
        <v>341</v>
      </c>
      <c r="N157" s="204">
        <v>81.460000000000008</v>
      </c>
      <c r="O157" s="204">
        <v>81.22</v>
      </c>
      <c r="P157" s="204">
        <v>81.339999999999989</v>
      </c>
      <c r="Q157" s="204">
        <v>81.319999999999993</v>
      </c>
      <c r="R157" s="204">
        <v>81.37</v>
      </c>
      <c r="S157" s="204">
        <v>81.96</v>
      </c>
      <c r="T157" s="204">
        <v>81.25</v>
      </c>
      <c r="U157" s="204">
        <v>81.66</v>
      </c>
      <c r="V157" s="204">
        <v>81.47</v>
      </c>
      <c r="W157" s="214">
        <v>80</v>
      </c>
      <c r="Z157" s="23" t="str">
        <v>13/02/2024  02:30</v>
      </c>
      <c r="AA157" s="27">
        <v>80.2</v>
      </c>
      <c r="AB157" s="27">
        <v>80.099999999999994</v>
      </c>
      <c r="AC157" s="27">
        <v>81.599999999999994</v>
      </c>
    </row>
    <row r="158" spans="1:29" ht="14.45" customHeight="1" x14ac:dyDescent="0.25">
      <c r="A158" t="str">
        <v>13/02/2024  02:31</v>
      </c>
      <c r="B158">
        <v>80.97</v>
      </c>
      <c r="C158">
        <v>80.930000000000007</v>
      </c>
      <c r="D158">
        <v>80.84</v>
      </c>
      <c r="E158">
        <v>80.98</v>
      </c>
      <c r="F158">
        <v>81.02</v>
      </c>
      <c r="G158">
        <v>81.42</v>
      </c>
      <c r="H158">
        <v>80.819999999999993</v>
      </c>
      <c r="I158">
        <v>81.180000000000007</v>
      </c>
      <c r="J158">
        <v>80.94</v>
      </c>
      <c r="M158" s="377"/>
      <c r="N158" s="204">
        <v>81.45</v>
      </c>
      <c r="O158" s="204">
        <v>81.22</v>
      </c>
      <c r="P158" s="204">
        <v>81.36</v>
      </c>
      <c r="Q158" s="204">
        <v>81.31</v>
      </c>
      <c r="R158" s="204">
        <v>81.44</v>
      </c>
      <c r="S158" s="204">
        <v>81.94</v>
      </c>
      <c r="T158" s="204">
        <v>81.19</v>
      </c>
      <c r="U158" s="204">
        <v>81.67</v>
      </c>
      <c r="V158" s="204">
        <v>81.429999999999993</v>
      </c>
      <c r="W158" s="214">
        <v>80</v>
      </c>
      <c r="Z158" s="23" t="str">
        <v>13/02/2024  02:31</v>
      </c>
      <c r="AA158" s="27">
        <v>80.2</v>
      </c>
      <c r="AB158" s="27">
        <v>80.099999999999994</v>
      </c>
      <c r="AC158" s="27">
        <v>81.599999999999994</v>
      </c>
    </row>
    <row r="159" spans="1:29" ht="14.45" customHeight="1" x14ac:dyDescent="0.25">
      <c r="A159" t="str">
        <v>13/02/2024  02:32</v>
      </c>
      <c r="B159">
        <v>81.010000000000005</v>
      </c>
      <c r="C159">
        <v>80.95</v>
      </c>
      <c r="D159">
        <v>80.87</v>
      </c>
      <c r="E159">
        <v>81.02</v>
      </c>
      <c r="F159">
        <v>80.959999999999994</v>
      </c>
      <c r="G159">
        <v>81.489999999999995</v>
      </c>
      <c r="H159">
        <v>80.86</v>
      </c>
      <c r="I159">
        <v>81.19</v>
      </c>
      <c r="J159">
        <v>80.959999999999994</v>
      </c>
      <c r="M159" s="377"/>
      <c r="N159" s="204">
        <v>81.490000000000009</v>
      </c>
      <c r="O159" s="204">
        <v>81.239999999999995</v>
      </c>
      <c r="P159" s="204">
        <v>81.39</v>
      </c>
      <c r="Q159" s="204">
        <v>81.349999999999994</v>
      </c>
      <c r="R159" s="204">
        <v>81.38</v>
      </c>
      <c r="S159" s="204">
        <v>82.009999999999991</v>
      </c>
      <c r="T159" s="204">
        <v>81.23</v>
      </c>
      <c r="U159" s="204">
        <v>81.679999999999993</v>
      </c>
      <c r="V159" s="204">
        <v>81.449999999999989</v>
      </c>
      <c r="W159" s="214">
        <v>80</v>
      </c>
      <c r="Z159" s="23" t="str">
        <v>13/02/2024  02:32</v>
      </c>
      <c r="AA159" s="27">
        <v>80.2</v>
      </c>
      <c r="AB159" s="27">
        <v>80.099999999999994</v>
      </c>
      <c r="AC159" s="27">
        <v>81.599999999999994</v>
      </c>
    </row>
    <row r="160" spans="1:29" ht="14.45" customHeight="1" x14ac:dyDescent="0.25">
      <c r="A160" t="str">
        <v>13/02/2024  02:33</v>
      </c>
      <c r="B160">
        <v>81</v>
      </c>
      <c r="C160">
        <v>80.94</v>
      </c>
      <c r="D160">
        <v>80.86</v>
      </c>
      <c r="E160">
        <v>80.989999999999995</v>
      </c>
      <c r="F160">
        <v>80.95</v>
      </c>
      <c r="G160">
        <v>81.5</v>
      </c>
      <c r="H160">
        <v>80.88</v>
      </c>
      <c r="I160">
        <v>81.13</v>
      </c>
      <c r="J160">
        <v>80.989999999999995</v>
      </c>
      <c r="M160" s="377"/>
      <c r="N160" s="204">
        <v>81.48</v>
      </c>
      <c r="O160" s="204">
        <v>81.22999999999999</v>
      </c>
      <c r="P160" s="204">
        <v>81.38</v>
      </c>
      <c r="Q160" s="204">
        <v>81.319999999999993</v>
      </c>
      <c r="R160" s="204">
        <v>81.37</v>
      </c>
      <c r="S160" s="204">
        <v>82.02</v>
      </c>
      <c r="T160" s="204">
        <v>81.25</v>
      </c>
      <c r="U160" s="204">
        <v>81.61999999999999</v>
      </c>
      <c r="V160" s="204">
        <v>81.47999999999999</v>
      </c>
      <c r="W160" s="214">
        <v>80</v>
      </c>
      <c r="Z160" s="23" t="str">
        <v>13/02/2024  02:33</v>
      </c>
      <c r="AA160" s="27">
        <v>80.099999999999994</v>
      </c>
      <c r="AB160" s="27">
        <v>80.099999999999994</v>
      </c>
      <c r="AC160" s="27">
        <v>81.599999999999994</v>
      </c>
    </row>
    <row r="161" spans="1:29" ht="14.45" customHeight="1" x14ac:dyDescent="0.25">
      <c r="A161" t="str">
        <v>13/02/2024  02:34</v>
      </c>
      <c r="B161">
        <v>80.989999999999995</v>
      </c>
      <c r="C161">
        <v>80.94</v>
      </c>
      <c r="D161">
        <v>80.81</v>
      </c>
      <c r="E161">
        <v>80.989999999999995</v>
      </c>
      <c r="F161">
        <v>80.930000000000007</v>
      </c>
      <c r="G161">
        <v>81.430000000000007</v>
      </c>
      <c r="H161">
        <v>80.849999999999994</v>
      </c>
      <c r="I161">
        <v>81.12</v>
      </c>
      <c r="J161">
        <v>80.95</v>
      </c>
      <c r="M161" s="377"/>
      <c r="N161" s="204">
        <v>81.47</v>
      </c>
      <c r="O161" s="204">
        <v>81.22999999999999</v>
      </c>
      <c r="P161" s="204">
        <v>81.33</v>
      </c>
      <c r="Q161" s="204">
        <v>81.319999999999993</v>
      </c>
      <c r="R161" s="204">
        <v>81.350000000000009</v>
      </c>
      <c r="S161" s="204">
        <v>81.95</v>
      </c>
      <c r="T161" s="204">
        <v>81.22</v>
      </c>
      <c r="U161" s="204">
        <v>81.61</v>
      </c>
      <c r="V161" s="204">
        <v>81.44</v>
      </c>
      <c r="W161" s="214">
        <v>80</v>
      </c>
      <c r="Z161" s="23" t="str">
        <v>13/02/2024  02:34</v>
      </c>
      <c r="AA161" s="27">
        <v>80.099999999999994</v>
      </c>
      <c r="AB161" s="27">
        <v>80.099999999999994</v>
      </c>
      <c r="AC161" s="27">
        <v>81.5</v>
      </c>
    </row>
    <row r="162" spans="1:29" ht="14.45" customHeight="1" x14ac:dyDescent="0.25">
      <c r="A162" t="str">
        <v>13/02/2024  02:35</v>
      </c>
      <c r="B162">
        <v>81</v>
      </c>
      <c r="C162">
        <v>80.900000000000006</v>
      </c>
      <c r="D162">
        <v>80.83</v>
      </c>
      <c r="E162">
        <v>80.95</v>
      </c>
      <c r="F162">
        <v>80.88</v>
      </c>
      <c r="G162">
        <v>81.36</v>
      </c>
      <c r="H162">
        <v>80.86</v>
      </c>
      <c r="I162">
        <v>81.05</v>
      </c>
      <c r="J162">
        <v>80.930000000000007</v>
      </c>
      <c r="M162" s="377"/>
      <c r="N162" s="204">
        <v>81.48</v>
      </c>
      <c r="O162" s="204">
        <v>81.19</v>
      </c>
      <c r="P162" s="204">
        <v>81.349999999999994</v>
      </c>
      <c r="Q162" s="204">
        <v>81.28</v>
      </c>
      <c r="R162" s="204">
        <v>81.3</v>
      </c>
      <c r="S162" s="204">
        <v>81.88</v>
      </c>
      <c r="T162" s="204">
        <v>81.23</v>
      </c>
      <c r="U162" s="204">
        <v>81.539999999999992</v>
      </c>
      <c r="V162" s="204">
        <v>81.42</v>
      </c>
      <c r="W162" s="214">
        <v>80</v>
      </c>
      <c r="Z162" s="23" t="str">
        <v>13/02/2024  02:35</v>
      </c>
      <c r="AA162" s="27">
        <v>80.099999999999994</v>
      </c>
      <c r="AB162" s="27">
        <v>80.099999999999994</v>
      </c>
      <c r="AC162" s="27">
        <v>81.5</v>
      </c>
    </row>
    <row r="163" spans="1:29" ht="14.45" customHeight="1" x14ac:dyDescent="0.25">
      <c r="A163" t="str">
        <v>13/02/2024  02:36</v>
      </c>
      <c r="B163">
        <v>80.95</v>
      </c>
      <c r="C163">
        <v>80.92</v>
      </c>
      <c r="D163">
        <v>80.81</v>
      </c>
      <c r="E163">
        <v>80.91</v>
      </c>
      <c r="F163">
        <v>80.930000000000007</v>
      </c>
      <c r="G163">
        <v>81.39</v>
      </c>
      <c r="H163">
        <v>80.86</v>
      </c>
      <c r="I163">
        <v>81.069999999999993</v>
      </c>
      <c r="J163">
        <v>80.94</v>
      </c>
      <c r="M163" s="377"/>
      <c r="N163" s="204">
        <v>81.430000000000007</v>
      </c>
      <c r="O163" s="204">
        <v>81.209999999999994</v>
      </c>
      <c r="P163" s="204">
        <v>81.33</v>
      </c>
      <c r="Q163" s="204">
        <v>81.239999999999995</v>
      </c>
      <c r="R163" s="204">
        <v>81.350000000000009</v>
      </c>
      <c r="S163" s="204">
        <v>81.91</v>
      </c>
      <c r="T163" s="204">
        <v>81.23</v>
      </c>
      <c r="U163" s="204">
        <v>81.559999999999988</v>
      </c>
      <c r="V163" s="204">
        <v>81.429999999999993</v>
      </c>
      <c r="W163" s="214">
        <v>80</v>
      </c>
      <c r="Z163" s="23" t="str">
        <v>13/02/2024  02:36</v>
      </c>
      <c r="AA163" s="27">
        <v>80.099999999999994</v>
      </c>
      <c r="AB163" s="27">
        <v>80.099999999999994</v>
      </c>
      <c r="AC163" s="27">
        <v>81.5</v>
      </c>
    </row>
    <row r="164" spans="1:29" ht="14.45" customHeight="1" x14ac:dyDescent="0.25">
      <c r="A164" t="str">
        <v>13/02/2024  02:37</v>
      </c>
      <c r="B164">
        <v>81.010000000000005</v>
      </c>
      <c r="C164">
        <v>80.89</v>
      </c>
      <c r="D164">
        <v>80.819999999999993</v>
      </c>
      <c r="E164">
        <v>80.94</v>
      </c>
      <c r="F164">
        <v>80.900000000000006</v>
      </c>
      <c r="G164">
        <v>81.37</v>
      </c>
      <c r="H164">
        <v>80.87</v>
      </c>
      <c r="I164">
        <v>81.08</v>
      </c>
      <c r="J164">
        <v>80.94</v>
      </c>
      <c r="M164" s="377"/>
      <c r="N164" s="204">
        <v>81.490000000000009</v>
      </c>
      <c r="O164" s="204">
        <v>81.179999999999993</v>
      </c>
      <c r="P164" s="204">
        <v>81.339999999999989</v>
      </c>
      <c r="Q164" s="204">
        <v>81.27</v>
      </c>
      <c r="R164" s="204">
        <v>81.320000000000007</v>
      </c>
      <c r="S164" s="204">
        <v>81.89</v>
      </c>
      <c r="T164" s="204">
        <v>81.240000000000009</v>
      </c>
      <c r="U164" s="204">
        <v>81.569999999999993</v>
      </c>
      <c r="V164" s="204">
        <v>81.429999999999993</v>
      </c>
      <c r="W164" s="214">
        <v>80</v>
      </c>
      <c r="Z164" s="23" t="str">
        <v>13/02/2024  02:37</v>
      </c>
      <c r="AA164" s="27">
        <v>80.099999999999994</v>
      </c>
      <c r="AB164" s="27">
        <v>80</v>
      </c>
      <c r="AC164" s="27">
        <v>81.5</v>
      </c>
    </row>
    <row r="165" spans="1:29" ht="14.45" customHeight="1" x14ac:dyDescent="0.25">
      <c r="A165" t="str">
        <v>13/02/2024  02:38</v>
      </c>
      <c r="B165">
        <v>80.95</v>
      </c>
      <c r="C165">
        <v>80.900000000000006</v>
      </c>
      <c r="D165">
        <v>80.849999999999994</v>
      </c>
      <c r="E165">
        <v>80.959999999999994</v>
      </c>
      <c r="F165">
        <v>80.94</v>
      </c>
      <c r="G165">
        <v>81.41</v>
      </c>
      <c r="H165">
        <v>80.88</v>
      </c>
      <c r="I165">
        <v>81.069999999999993</v>
      </c>
      <c r="J165">
        <v>80.91</v>
      </c>
      <c r="M165" s="377"/>
      <c r="N165" s="204">
        <v>81.430000000000007</v>
      </c>
      <c r="O165" s="204">
        <v>81.19</v>
      </c>
      <c r="P165" s="204">
        <v>81.36999999999999</v>
      </c>
      <c r="Q165" s="204">
        <v>81.289999999999992</v>
      </c>
      <c r="R165" s="204">
        <v>81.36</v>
      </c>
      <c r="S165" s="204">
        <v>81.929999999999993</v>
      </c>
      <c r="T165" s="204">
        <v>81.25</v>
      </c>
      <c r="U165" s="204">
        <v>81.559999999999988</v>
      </c>
      <c r="V165" s="204">
        <v>81.399999999999991</v>
      </c>
      <c r="W165" s="214">
        <v>80</v>
      </c>
      <c r="Z165" s="23" t="str">
        <v>13/02/2024  02:38</v>
      </c>
      <c r="AA165" s="27">
        <v>80.099999999999994</v>
      </c>
      <c r="AB165" s="27">
        <v>80.099999999999994</v>
      </c>
      <c r="AC165" s="27">
        <v>81.5</v>
      </c>
    </row>
    <row r="166" spans="1:29" ht="14.45" customHeight="1" x14ac:dyDescent="0.25">
      <c r="A166" t="str">
        <v>13/02/2024  02:39</v>
      </c>
      <c r="B166">
        <v>80.930000000000007</v>
      </c>
      <c r="C166">
        <v>80.88</v>
      </c>
      <c r="D166">
        <v>80.819999999999993</v>
      </c>
      <c r="E166">
        <v>80.89</v>
      </c>
      <c r="F166">
        <v>80.84</v>
      </c>
      <c r="G166">
        <v>81.37</v>
      </c>
      <c r="H166">
        <v>80.849999999999994</v>
      </c>
      <c r="I166">
        <v>80.98</v>
      </c>
      <c r="J166">
        <v>80.89</v>
      </c>
      <c r="M166" s="377"/>
      <c r="N166" s="204">
        <v>81.410000000000011</v>
      </c>
      <c r="O166" s="204">
        <v>81.169999999999987</v>
      </c>
      <c r="P166" s="204">
        <v>81.339999999999989</v>
      </c>
      <c r="Q166" s="204">
        <v>81.22</v>
      </c>
      <c r="R166" s="204">
        <v>81.260000000000005</v>
      </c>
      <c r="S166" s="204">
        <v>81.89</v>
      </c>
      <c r="T166" s="204">
        <v>81.22</v>
      </c>
      <c r="U166" s="204">
        <v>81.47</v>
      </c>
      <c r="V166" s="204">
        <v>81.38</v>
      </c>
      <c r="W166" s="214">
        <v>80</v>
      </c>
      <c r="Z166" s="23" t="str">
        <v>13/02/2024  02:39</v>
      </c>
      <c r="AA166" s="27">
        <v>80</v>
      </c>
      <c r="AB166" s="27">
        <v>80</v>
      </c>
      <c r="AC166" s="27">
        <v>81.5</v>
      </c>
    </row>
    <row r="167" spans="1:29" ht="14.45" customHeight="1" x14ac:dyDescent="0.25">
      <c r="A167" t="str">
        <v>13/02/2024  02:40</v>
      </c>
      <c r="B167">
        <v>81.040000000000006</v>
      </c>
      <c r="C167">
        <v>80.930000000000007</v>
      </c>
      <c r="D167">
        <v>80.89</v>
      </c>
      <c r="E167">
        <v>80.959999999999994</v>
      </c>
      <c r="F167">
        <v>80.930000000000007</v>
      </c>
      <c r="G167">
        <v>81.42</v>
      </c>
      <c r="H167">
        <v>80.87</v>
      </c>
      <c r="I167">
        <v>81.08</v>
      </c>
      <c r="J167">
        <v>80.930000000000007</v>
      </c>
      <c r="M167" s="377"/>
      <c r="N167" s="204">
        <v>81.52000000000001</v>
      </c>
      <c r="O167" s="204">
        <v>81.22</v>
      </c>
      <c r="P167" s="204">
        <v>81.41</v>
      </c>
      <c r="Q167" s="204">
        <v>81.289999999999992</v>
      </c>
      <c r="R167" s="204">
        <v>81.350000000000009</v>
      </c>
      <c r="S167" s="204">
        <v>81.94</v>
      </c>
      <c r="T167" s="204">
        <v>81.240000000000009</v>
      </c>
      <c r="U167" s="204">
        <v>81.569999999999993</v>
      </c>
      <c r="V167" s="204">
        <v>81.42</v>
      </c>
      <c r="W167" s="214">
        <v>80</v>
      </c>
      <c r="Z167" s="23" t="str">
        <v>13/02/2024  02:40</v>
      </c>
      <c r="AA167" s="27">
        <v>80</v>
      </c>
      <c r="AB167" s="27">
        <v>80</v>
      </c>
      <c r="AC167" s="27">
        <v>81.5</v>
      </c>
    </row>
    <row r="168" spans="1:29" ht="14.45" customHeight="1" x14ac:dyDescent="0.25">
      <c r="A168" t="str">
        <v>13/02/2024  02:41</v>
      </c>
      <c r="B168">
        <v>81.02</v>
      </c>
      <c r="C168">
        <v>80.94</v>
      </c>
      <c r="D168">
        <v>80.89</v>
      </c>
      <c r="E168">
        <v>80.989999999999995</v>
      </c>
      <c r="F168">
        <v>80.91</v>
      </c>
      <c r="G168">
        <v>81.44</v>
      </c>
      <c r="H168">
        <v>80.89</v>
      </c>
      <c r="I168">
        <v>81.11</v>
      </c>
      <c r="J168">
        <v>81.010000000000005</v>
      </c>
      <c r="M168" s="377"/>
      <c r="N168" s="204">
        <v>81.5</v>
      </c>
      <c r="O168" s="204">
        <v>81.22999999999999</v>
      </c>
      <c r="P168" s="204">
        <v>81.41</v>
      </c>
      <c r="Q168" s="204">
        <v>81.319999999999993</v>
      </c>
      <c r="R168" s="204">
        <v>81.33</v>
      </c>
      <c r="S168" s="204">
        <v>81.96</v>
      </c>
      <c r="T168" s="204">
        <v>81.260000000000005</v>
      </c>
      <c r="U168" s="204">
        <v>81.599999999999994</v>
      </c>
      <c r="V168" s="204">
        <v>81.5</v>
      </c>
      <c r="W168" s="214">
        <v>80</v>
      </c>
      <c r="Z168" s="23" t="str">
        <v>13/02/2024  02:41</v>
      </c>
      <c r="AA168" s="27">
        <v>80.099999999999994</v>
      </c>
      <c r="AB168" s="27">
        <v>80</v>
      </c>
      <c r="AC168" s="27">
        <v>81.5</v>
      </c>
    </row>
    <row r="169" spans="1:29" ht="14.45" customHeight="1" x14ac:dyDescent="0.25">
      <c r="A169" t="str">
        <v>13/02/2024  02:42</v>
      </c>
      <c r="B169">
        <v>81.05</v>
      </c>
      <c r="C169">
        <v>80.94</v>
      </c>
      <c r="D169">
        <v>80.900000000000006</v>
      </c>
      <c r="E169">
        <v>80.97</v>
      </c>
      <c r="F169">
        <v>80.94</v>
      </c>
      <c r="G169">
        <v>81.400000000000006</v>
      </c>
      <c r="H169">
        <v>80.88</v>
      </c>
      <c r="I169">
        <v>81.09</v>
      </c>
      <c r="J169">
        <v>81</v>
      </c>
      <c r="M169" s="377"/>
      <c r="N169" s="204">
        <v>81.53</v>
      </c>
      <c r="O169" s="204">
        <v>81.22999999999999</v>
      </c>
      <c r="P169" s="204">
        <v>81.42</v>
      </c>
      <c r="Q169" s="204">
        <v>81.3</v>
      </c>
      <c r="R169" s="204">
        <v>81.36</v>
      </c>
      <c r="S169" s="204">
        <v>81.92</v>
      </c>
      <c r="T169" s="204">
        <v>81.25</v>
      </c>
      <c r="U169" s="204">
        <v>81.58</v>
      </c>
      <c r="V169" s="204">
        <v>81.489999999999995</v>
      </c>
      <c r="W169" s="214">
        <v>80</v>
      </c>
      <c r="Z169" s="23" t="str">
        <v>13/02/2024  02:42</v>
      </c>
      <c r="AA169" s="27">
        <v>80.099999999999994</v>
      </c>
      <c r="AB169" s="27">
        <v>80</v>
      </c>
      <c r="AC169" s="27">
        <v>81.5</v>
      </c>
    </row>
    <row r="170" spans="1:29" ht="14.45" customHeight="1" x14ac:dyDescent="0.25">
      <c r="A170" t="str">
        <v>13/02/2024  02:43</v>
      </c>
      <c r="B170">
        <v>81.010000000000005</v>
      </c>
      <c r="C170">
        <v>80.92</v>
      </c>
      <c r="D170">
        <v>80.86</v>
      </c>
      <c r="E170">
        <v>80.95</v>
      </c>
      <c r="F170">
        <v>80.92</v>
      </c>
      <c r="G170">
        <v>81.400000000000006</v>
      </c>
      <c r="H170">
        <v>80.87</v>
      </c>
      <c r="I170">
        <v>81.05</v>
      </c>
      <c r="J170">
        <v>80.92</v>
      </c>
      <c r="M170" s="377"/>
      <c r="N170" s="204">
        <v>81.490000000000009</v>
      </c>
      <c r="O170" s="204">
        <v>81.209999999999994</v>
      </c>
      <c r="P170" s="204">
        <v>81.38</v>
      </c>
      <c r="Q170" s="204">
        <v>81.28</v>
      </c>
      <c r="R170" s="204">
        <v>81.34</v>
      </c>
      <c r="S170" s="204">
        <v>81.92</v>
      </c>
      <c r="T170" s="204">
        <v>81.240000000000009</v>
      </c>
      <c r="U170" s="204">
        <v>81.539999999999992</v>
      </c>
      <c r="V170" s="204">
        <v>81.41</v>
      </c>
      <c r="W170" s="214">
        <v>80</v>
      </c>
      <c r="Z170" s="23" t="str">
        <v>13/02/2024  02:43</v>
      </c>
      <c r="AA170" s="27">
        <v>80.099999999999994</v>
      </c>
      <c r="AB170" s="27">
        <v>80.099999999999994</v>
      </c>
      <c r="AC170" s="27">
        <v>81.5</v>
      </c>
    </row>
    <row r="171" spans="1:29" ht="14.45" customHeight="1" x14ac:dyDescent="0.25">
      <c r="A171" t="str">
        <v>13/02/2024  02:44</v>
      </c>
      <c r="B171">
        <v>80.98</v>
      </c>
      <c r="C171">
        <v>80.91</v>
      </c>
      <c r="D171">
        <v>80.849999999999994</v>
      </c>
      <c r="E171">
        <v>80.95</v>
      </c>
      <c r="F171">
        <v>80.89</v>
      </c>
      <c r="G171">
        <v>81.37</v>
      </c>
      <c r="H171">
        <v>80.86</v>
      </c>
      <c r="I171">
        <v>81.040000000000006</v>
      </c>
      <c r="J171">
        <v>80.92</v>
      </c>
      <c r="M171" s="377"/>
      <c r="N171" s="204">
        <v>81.460000000000008</v>
      </c>
      <c r="O171" s="204">
        <v>81.199999999999989</v>
      </c>
      <c r="P171" s="204">
        <v>81.36999999999999</v>
      </c>
      <c r="Q171" s="204">
        <v>81.28</v>
      </c>
      <c r="R171" s="204">
        <v>81.31</v>
      </c>
      <c r="S171" s="204">
        <v>81.89</v>
      </c>
      <c r="T171" s="204">
        <v>81.23</v>
      </c>
      <c r="U171" s="204">
        <v>81.53</v>
      </c>
      <c r="V171" s="204">
        <v>81.41</v>
      </c>
      <c r="W171" s="214">
        <v>80</v>
      </c>
      <c r="Z171" s="23" t="str">
        <v>13/02/2024  02:44</v>
      </c>
      <c r="AA171" s="27">
        <v>80.099999999999994</v>
      </c>
      <c r="AB171" s="27">
        <v>80</v>
      </c>
      <c r="AC171" s="27">
        <v>81.5</v>
      </c>
    </row>
    <row r="172" spans="1:29" ht="14.45" customHeight="1" x14ac:dyDescent="0.25">
      <c r="A172" t="str">
        <v>13/02/2024  02:45</v>
      </c>
      <c r="B172">
        <v>80.989999999999995</v>
      </c>
      <c r="C172">
        <v>80.98</v>
      </c>
      <c r="D172">
        <v>80.900000000000006</v>
      </c>
      <c r="E172">
        <v>80.959999999999994</v>
      </c>
      <c r="F172">
        <v>80.95</v>
      </c>
      <c r="G172">
        <v>81.37</v>
      </c>
      <c r="H172">
        <v>80.88</v>
      </c>
      <c r="I172">
        <v>81.06</v>
      </c>
      <c r="J172">
        <v>80.91</v>
      </c>
      <c r="M172" s="377"/>
      <c r="N172" s="204">
        <v>81.47</v>
      </c>
      <c r="O172" s="204">
        <v>81.27</v>
      </c>
      <c r="P172" s="204">
        <v>81.42</v>
      </c>
      <c r="Q172" s="204">
        <v>81.289999999999992</v>
      </c>
      <c r="R172" s="204">
        <v>81.37</v>
      </c>
      <c r="S172" s="204">
        <v>81.89</v>
      </c>
      <c r="T172" s="204">
        <v>81.25</v>
      </c>
      <c r="U172" s="204">
        <v>81.55</v>
      </c>
      <c r="V172" s="204">
        <v>81.399999999999991</v>
      </c>
      <c r="W172" s="214">
        <v>80</v>
      </c>
      <c r="Z172" s="23" t="str">
        <v>13/02/2024  02:45</v>
      </c>
      <c r="AA172" s="27">
        <v>80</v>
      </c>
      <c r="AB172" s="27">
        <v>80</v>
      </c>
      <c r="AC172" s="27">
        <v>81.5</v>
      </c>
    </row>
    <row r="173" spans="1:29" ht="14.45" customHeight="1" x14ac:dyDescent="0.25">
      <c r="A173" t="str">
        <v>13/02/2024  02:46</v>
      </c>
      <c r="B173">
        <v>81.03</v>
      </c>
      <c r="C173">
        <v>80.930000000000007</v>
      </c>
      <c r="D173">
        <v>80.86</v>
      </c>
      <c r="E173">
        <v>80.92</v>
      </c>
      <c r="F173">
        <v>80.88</v>
      </c>
      <c r="G173">
        <v>81.36</v>
      </c>
      <c r="H173">
        <v>80.849999999999994</v>
      </c>
      <c r="I173">
        <v>81.03</v>
      </c>
      <c r="J173">
        <v>80.930000000000007</v>
      </c>
      <c r="M173" s="377"/>
      <c r="N173" s="204">
        <v>81.510000000000005</v>
      </c>
      <c r="O173" s="204">
        <v>81.22</v>
      </c>
      <c r="P173" s="204">
        <v>81.38</v>
      </c>
      <c r="Q173" s="204">
        <v>81.25</v>
      </c>
      <c r="R173" s="204">
        <v>81.3</v>
      </c>
      <c r="S173" s="204">
        <v>81.88</v>
      </c>
      <c r="T173" s="204">
        <v>81.22</v>
      </c>
      <c r="U173" s="204">
        <v>81.52</v>
      </c>
      <c r="V173" s="204">
        <v>81.42</v>
      </c>
      <c r="W173" s="214">
        <v>80</v>
      </c>
      <c r="Z173" s="23" t="str">
        <v>13/02/2024  02:46</v>
      </c>
      <c r="AA173" s="27">
        <v>80</v>
      </c>
      <c r="AB173" s="27">
        <v>80</v>
      </c>
      <c r="AC173" s="27">
        <v>81.5</v>
      </c>
    </row>
    <row r="174" spans="1:29" ht="14.45" customHeight="1" x14ac:dyDescent="0.25">
      <c r="A174" t="str">
        <v>13/02/2024  02:47</v>
      </c>
      <c r="B174">
        <v>80.959999999999994</v>
      </c>
      <c r="C174">
        <v>80.91</v>
      </c>
      <c r="D174">
        <v>80.819999999999993</v>
      </c>
      <c r="E174">
        <v>80.91</v>
      </c>
      <c r="F174">
        <v>80.91</v>
      </c>
      <c r="G174">
        <v>81.37</v>
      </c>
      <c r="H174">
        <v>80.900000000000006</v>
      </c>
      <c r="I174">
        <v>81.09</v>
      </c>
      <c r="J174">
        <v>80.98</v>
      </c>
      <c r="M174" s="377"/>
      <c r="N174" s="204">
        <v>81.44</v>
      </c>
      <c r="O174" s="204">
        <v>81.199999999999989</v>
      </c>
      <c r="P174" s="204">
        <v>81.339999999999989</v>
      </c>
      <c r="Q174" s="204">
        <v>81.239999999999995</v>
      </c>
      <c r="R174" s="204">
        <v>81.33</v>
      </c>
      <c r="S174" s="204">
        <v>81.89</v>
      </c>
      <c r="T174" s="204">
        <v>81.27000000000001</v>
      </c>
      <c r="U174" s="204">
        <v>81.58</v>
      </c>
      <c r="V174" s="204">
        <v>81.47</v>
      </c>
      <c r="W174" s="214">
        <v>80</v>
      </c>
      <c r="Z174" s="23" t="str">
        <v>13/02/2024  02:47</v>
      </c>
      <c r="AA174" s="27">
        <v>80.099999999999994</v>
      </c>
      <c r="AB174" s="27">
        <v>80</v>
      </c>
      <c r="AC174" s="27">
        <v>81.5</v>
      </c>
    </row>
    <row r="175" spans="1:29" ht="14.45" customHeight="1" x14ac:dyDescent="0.25">
      <c r="A175" t="str">
        <v>13/02/2024  02:48</v>
      </c>
      <c r="B175">
        <v>80.94</v>
      </c>
      <c r="C175">
        <v>80.88</v>
      </c>
      <c r="D175">
        <v>80.84</v>
      </c>
      <c r="E175">
        <v>80.88</v>
      </c>
      <c r="F175">
        <v>80.92</v>
      </c>
      <c r="G175">
        <v>81.37</v>
      </c>
      <c r="H175">
        <v>80.87</v>
      </c>
      <c r="I175">
        <v>81.05</v>
      </c>
      <c r="J175">
        <v>80.900000000000006</v>
      </c>
      <c r="M175" s="377"/>
      <c r="N175" s="204">
        <v>81.42</v>
      </c>
      <c r="O175" s="204">
        <v>81.169999999999987</v>
      </c>
      <c r="P175" s="204">
        <v>81.36</v>
      </c>
      <c r="Q175" s="204">
        <v>81.209999999999994</v>
      </c>
      <c r="R175" s="204">
        <v>81.34</v>
      </c>
      <c r="S175" s="204">
        <v>81.89</v>
      </c>
      <c r="T175" s="204">
        <v>81.240000000000009</v>
      </c>
      <c r="U175" s="204">
        <v>81.539999999999992</v>
      </c>
      <c r="V175" s="204">
        <v>81.39</v>
      </c>
      <c r="W175" s="214">
        <v>80</v>
      </c>
      <c r="Z175" s="23" t="str">
        <v>13/02/2024  02:48</v>
      </c>
      <c r="AA175" s="27">
        <v>80</v>
      </c>
      <c r="AB175" s="27">
        <v>80</v>
      </c>
      <c r="AC175" s="27">
        <v>81.5</v>
      </c>
    </row>
    <row r="176" spans="1:29" ht="14.45" customHeight="1" x14ac:dyDescent="0.25">
      <c r="A176" t="str">
        <v>13/02/2024  02:49</v>
      </c>
      <c r="B176">
        <v>80.97</v>
      </c>
      <c r="C176">
        <v>80.89</v>
      </c>
      <c r="D176">
        <v>80.819999999999993</v>
      </c>
      <c r="E176">
        <v>80.89</v>
      </c>
      <c r="F176">
        <v>80.89</v>
      </c>
      <c r="G176">
        <v>81.37</v>
      </c>
      <c r="H176">
        <v>80.86</v>
      </c>
      <c r="I176">
        <v>81.02</v>
      </c>
      <c r="J176">
        <v>80.91</v>
      </c>
      <c r="M176" s="377"/>
      <c r="N176" s="204">
        <v>81.45</v>
      </c>
      <c r="O176" s="204">
        <v>81.179999999999993</v>
      </c>
      <c r="P176" s="204">
        <v>81.339999999999989</v>
      </c>
      <c r="Q176" s="204">
        <v>81.22</v>
      </c>
      <c r="R176" s="204">
        <v>81.31</v>
      </c>
      <c r="S176" s="204">
        <v>81.89</v>
      </c>
      <c r="T176" s="204">
        <v>81.23</v>
      </c>
      <c r="U176" s="204">
        <v>81.509999999999991</v>
      </c>
      <c r="V176" s="204">
        <v>81.399999999999991</v>
      </c>
      <c r="W176" s="214">
        <v>80</v>
      </c>
      <c r="Z176" s="23" t="str">
        <v>13/02/2024  02:49</v>
      </c>
      <c r="AA176" s="27">
        <v>80</v>
      </c>
      <c r="AB176" s="27">
        <v>80</v>
      </c>
      <c r="AC176" s="27">
        <v>81.5</v>
      </c>
    </row>
    <row r="177" spans="1:29" ht="14.45" customHeight="1" x14ac:dyDescent="0.25">
      <c r="A177" t="str">
        <v>13/02/2024  02:50</v>
      </c>
      <c r="B177">
        <v>80.930000000000007</v>
      </c>
      <c r="C177">
        <v>80.94</v>
      </c>
      <c r="D177">
        <v>80.819999999999993</v>
      </c>
      <c r="E177">
        <v>80.87</v>
      </c>
      <c r="F177">
        <v>80.78</v>
      </c>
      <c r="G177">
        <v>81.41</v>
      </c>
      <c r="H177">
        <v>80.88</v>
      </c>
      <c r="I177">
        <v>81.05</v>
      </c>
      <c r="J177">
        <v>80.91</v>
      </c>
      <c r="M177" s="377"/>
      <c r="N177" s="204">
        <v>81.410000000000011</v>
      </c>
      <c r="O177" s="204">
        <v>81.22999999999999</v>
      </c>
      <c r="P177" s="204">
        <v>81.339999999999989</v>
      </c>
      <c r="Q177" s="204">
        <v>81.2</v>
      </c>
      <c r="R177" s="204">
        <v>81.2</v>
      </c>
      <c r="S177" s="204">
        <v>81.929999999999993</v>
      </c>
      <c r="T177" s="204">
        <v>81.25</v>
      </c>
      <c r="U177" s="204">
        <v>81.539999999999992</v>
      </c>
      <c r="V177" s="204">
        <v>81.399999999999991</v>
      </c>
      <c r="W177" s="214">
        <v>80</v>
      </c>
      <c r="Z177" s="23" t="str">
        <v>13/02/2024  02:50</v>
      </c>
      <c r="AA177" s="27">
        <v>80</v>
      </c>
      <c r="AB177" s="27">
        <v>80</v>
      </c>
      <c r="AC177" s="27">
        <v>81.5</v>
      </c>
    </row>
    <row r="178" spans="1:29" ht="14.45" customHeight="1" x14ac:dyDescent="0.25">
      <c r="A178" t="str">
        <v>13/02/2024  02:51</v>
      </c>
      <c r="B178">
        <v>80.989999999999995</v>
      </c>
      <c r="C178">
        <v>80.900000000000006</v>
      </c>
      <c r="D178">
        <v>80.849999999999994</v>
      </c>
      <c r="E178">
        <v>80.89</v>
      </c>
      <c r="F178">
        <v>80.89</v>
      </c>
      <c r="G178">
        <v>81.3</v>
      </c>
      <c r="H178">
        <v>80.849999999999994</v>
      </c>
      <c r="I178">
        <v>81.010000000000005</v>
      </c>
      <c r="J178">
        <v>80.89</v>
      </c>
      <c r="M178" s="377"/>
      <c r="N178" s="204">
        <v>81.47</v>
      </c>
      <c r="O178" s="204">
        <v>81.19</v>
      </c>
      <c r="P178" s="204">
        <v>81.36999999999999</v>
      </c>
      <c r="Q178" s="204">
        <v>81.22</v>
      </c>
      <c r="R178" s="204">
        <v>81.31</v>
      </c>
      <c r="S178" s="204">
        <v>81.819999999999993</v>
      </c>
      <c r="T178" s="204">
        <v>81.22</v>
      </c>
      <c r="U178" s="204">
        <v>81.5</v>
      </c>
      <c r="V178" s="204">
        <v>81.38</v>
      </c>
      <c r="W178" s="214">
        <v>80</v>
      </c>
      <c r="Z178" s="23" t="str">
        <v>13/02/2024  02:51</v>
      </c>
      <c r="AA178" s="27">
        <v>80</v>
      </c>
      <c r="AB178" s="27">
        <v>80</v>
      </c>
      <c r="AC178" s="27">
        <v>81.5</v>
      </c>
    </row>
    <row r="179" spans="1:29" ht="14.45" customHeight="1" x14ac:dyDescent="0.25">
      <c r="A179" t="str">
        <v>13/02/2024  02:52</v>
      </c>
      <c r="B179">
        <v>80.989999999999995</v>
      </c>
      <c r="C179">
        <v>80.87</v>
      </c>
      <c r="D179">
        <v>80.87</v>
      </c>
      <c r="E179">
        <v>80.900000000000006</v>
      </c>
      <c r="F179">
        <v>80.91</v>
      </c>
      <c r="G179">
        <v>81.34</v>
      </c>
      <c r="H179">
        <v>80.86</v>
      </c>
      <c r="I179">
        <v>81</v>
      </c>
      <c r="J179">
        <v>80.88</v>
      </c>
      <c r="M179" s="377"/>
      <c r="N179" s="204">
        <v>81.47</v>
      </c>
      <c r="O179" s="204">
        <v>81.16</v>
      </c>
      <c r="P179" s="204">
        <v>81.39</v>
      </c>
      <c r="Q179" s="204">
        <v>81.23</v>
      </c>
      <c r="R179" s="204">
        <v>81.33</v>
      </c>
      <c r="S179" s="204">
        <v>81.86</v>
      </c>
      <c r="T179" s="204">
        <v>81.23</v>
      </c>
      <c r="U179" s="204">
        <v>81.489999999999995</v>
      </c>
      <c r="V179" s="204">
        <v>81.36999999999999</v>
      </c>
      <c r="W179" s="214">
        <v>80</v>
      </c>
      <c r="Z179" s="23" t="str">
        <v>13/02/2024  02:52</v>
      </c>
      <c r="AA179" s="27">
        <v>80</v>
      </c>
      <c r="AB179" s="27">
        <v>80</v>
      </c>
      <c r="AC179" s="27">
        <v>81.5</v>
      </c>
    </row>
    <row r="180" spans="1:29" ht="14.45" customHeight="1" x14ac:dyDescent="0.25">
      <c r="A180" t="str">
        <v>13/02/2024  02:53</v>
      </c>
      <c r="B180">
        <v>80.94</v>
      </c>
      <c r="C180">
        <v>80.88</v>
      </c>
      <c r="D180">
        <v>80.81</v>
      </c>
      <c r="E180">
        <v>80.88</v>
      </c>
      <c r="F180">
        <v>80.91</v>
      </c>
      <c r="G180">
        <v>81.33</v>
      </c>
      <c r="H180">
        <v>80.86</v>
      </c>
      <c r="I180">
        <v>81.03</v>
      </c>
      <c r="J180">
        <v>80.87</v>
      </c>
      <c r="M180" s="377"/>
      <c r="N180" s="204">
        <v>81.42</v>
      </c>
      <c r="O180" s="204">
        <v>81.169999999999987</v>
      </c>
      <c r="P180" s="204">
        <v>81.33</v>
      </c>
      <c r="Q180" s="204">
        <v>81.209999999999994</v>
      </c>
      <c r="R180" s="204">
        <v>81.33</v>
      </c>
      <c r="S180" s="204">
        <v>81.849999999999994</v>
      </c>
      <c r="T180" s="204">
        <v>81.23</v>
      </c>
      <c r="U180" s="204">
        <v>81.52</v>
      </c>
      <c r="V180" s="204">
        <v>81.36</v>
      </c>
      <c r="W180" s="214">
        <v>80</v>
      </c>
      <c r="Z180" s="23" t="str">
        <v>13/02/2024  02:53</v>
      </c>
      <c r="AA180" s="27">
        <v>79.900000000000006</v>
      </c>
      <c r="AB180" s="27">
        <v>80</v>
      </c>
      <c r="AC180" s="27">
        <v>81.5</v>
      </c>
    </row>
    <row r="181" spans="1:29" ht="14.45" customHeight="1" x14ac:dyDescent="0.25">
      <c r="A181" t="str">
        <v>13/02/2024  02:54</v>
      </c>
      <c r="B181">
        <v>80.959999999999994</v>
      </c>
      <c r="C181">
        <v>80.89</v>
      </c>
      <c r="D181">
        <v>80.86</v>
      </c>
      <c r="E181">
        <v>80.88</v>
      </c>
      <c r="F181">
        <v>80.849999999999994</v>
      </c>
      <c r="G181">
        <v>81.36</v>
      </c>
      <c r="H181">
        <v>80.87</v>
      </c>
      <c r="I181">
        <v>81.040000000000006</v>
      </c>
      <c r="J181">
        <v>80.88</v>
      </c>
      <c r="M181" s="377"/>
      <c r="N181" s="204">
        <v>81.44</v>
      </c>
      <c r="O181" s="204">
        <v>81.179999999999993</v>
      </c>
      <c r="P181" s="204">
        <v>81.38</v>
      </c>
      <c r="Q181" s="204">
        <v>81.209999999999994</v>
      </c>
      <c r="R181" s="204">
        <v>81.27</v>
      </c>
      <c r="S181" s="204">
        <v>81.88</v>
      </c>
      <c r="T181" s="204">
        <v>81.240000000000009</v>
      </c>
      <c r="U181" s="204">
        <v>81.53</v>
      </c>
      <c r="V181" s="204">
        <v>81.36999999999999</v>
      </c>
      <c r="W181" s="214">
        <v>80</v>
      </c>
      <c r="Z181" s="23" t="str">
        <v>13/02/2024  02:54</v>
      </c>
      <c r="AA181" s="27">
        <v>80</v>
      </c>
      <c r="AB181" s="27">
        <v>80</v>
      </c>
      <c r="AC181" s="27">
        <v>81.400000000000006</v>
      </c>
    </row>
    <row r="182" spans="1:29" ht="14.45" customHeight="1" x14ac:dyDescent="0.25">
      <c r="A182" t="str">
        <v>13/02/2024  02:55</v>
      </c>
      <c r="B182">
        <v>81.02</v>
      </c>
      <c r="C182">
        <v>80.89</v>
      </c>
      <c r="D182">
        <v>80.86</v>
      </c>
      <c r="E182">
        <v>80.91</v>
      </c>
      <c r="F182">
        <v>80.88</v>
      </c>
      <c r="G182">
        <v>81.38</v>
      </c>
      <c r="H182">
        <v>80.89</v>
      </c>
      <c r="I182">
        <v>81.03</v>
      </c>
      <c r="J182">
        <v>80.930000000000007</v>
      </c>
      <c r="M182" s="377"/>
      <c r="N182" s="204">
        <v>81.5</v>
      </c>
      <c r="O182" s="204">
        <v>81.179999999999993</v>
      </c>
      <c r="P182" s="204">
        <v>81.38</v>
      </c>
      <c r="Q182" s="204">
        <v>81.239999999999995</v>
      </c>
      <c r="R182" s="204">
        <v>81.3</v>
      </c>
      <c r="S182" s="204">
        <v>81.899999999999991</v>
      </c>
      <c r="T182" s="204">
        <v>81.260000000000005</v>
      </c>
      <c r="U182" s="204">
        <v>81.52</v>
      </c>
      <c r="V182" s="204">
        <v>81.42</v>
      </c>
      <c r="W182" s="214">
        <v>80</v>
      </c>
      <c r="Z182" s="23" t="str">
        <v>13/02/2024  02:55</v>
      </c>
      <c r="AA182" s="27">
        <v>80</v>
      </c>
      <c r="AB182" s="27">
        <v>80</v>
      </c>
      <c r="AC182" s="27">
        <v>81.5</v>
      </c>
    </row>
    <row r="183" spans="1:29" ht="14.45" customHeight="1" x14ac:dyDescent="0.25">
      <c r="A183" t="str">
        <v>13/02/2024  02:56</v>
      </c>
      <c r="B183">
        <v>81.02</v>
      </c>
      <c r="C183">
        <v>80.86</v>
      </c>
      <c r="D183">
        <v>80.88</v>
      </c>
      <c r="E183">
        <v>80.89</v>
      </c>
      <c r="F183">
        <v>80.89</v>
      </c>
      <c r="G183">
        <v>81.33</v>
      </c>
      <c r="H183">
        <v>80.88</v>
      </c>
      <c r="I183">
        <v>80.98</v>
      </c>
      <c r="J183">
        <v>80.91</v>
      </c>
      <c r="M183" s="377"/>
      <c r="N183" s="204">
        <v>81.5</v>
      </c>
      <c r="O183" s="204">
        <v>81.149999999999991</v>
      </c>
      <c r="P183" s="204">
        <v>81.399999999999991</v>
      </c>
      <c r="Q183" s="204">
        <v>81.22</v>
      </c>
      <c r="R183" s="204">
        <v>81.31</v>
      </c>
      <c r="S183" s="204">
        <v>81.849999999999994</v>
      </c>
      <c r="T183" s="204">
        <v>81.25</v>
      </c>
      <c r="U183" s="204">
        <v>81.47</v>
      </c>
      <c r="V183" s="204">
        <v>81.399999999999991</v>
      </c>
      <c r="W183" s="214">
        <v>80</v>
      </c>
      <c r="Z183" s="23" t="str">
        <v>13/02/2024  02:56</v>
      </c>
      <c r="AA183" s="27">
        <v>80</v>
      </c>
      <c r="AB183" s="27">
        <v>80</v>
      </c>
      <c r="AC183" s="27">
        <v>81.5</v>
      </c>
    </row>
    <row r="184" spans="1:29" ht="14.45" customHeight="1" x14ac:dyDescent="0.25">
      <c r="A184" t="str">
        <v>13/02/2024  02:57</v>
      </c>
      <c r="B184">
        <v>80.989999999999995</v>
      </c>
      <c r="C184">
        <v>80.92</v>
      </c>
      <c r="D184">
        <v>80.84</v>
      </c>
      <c r="E184">
        <v>80.87</v>
      </c>
      <c r="F184">
        <v>80.92</v>
      </c>
      <c r="G184">
        <v>81.42</v>
      </c>
      <c r="H184">
        <v>80.91</v>
      </c>
      <c r="I184">
        <v>81.010000000000005</v>
      </c>
      <c r="J184">
        <v>80.92</v>
      </c>
      <c r="M184" s="377"/>
      <c r="N184" s="204">
        <v>81.47</v>
      </c>
      <c r="O184" s="204">
        <v>81.209999999999994</v>
      </c>
      <c r="P184" s="204">
        <v>81.36</v>
      </c>
      <c r="Q184" s="204">
        <v>81.2</v>
      </c>
      <c r="R184" s="204">
        <v>81.34</v>
      </c>
      <c r="S184" s="204">
        <v>81.94</v>
      </c>
      <c r="T184" s="204">
        <v>81.28</v>
      </c>
      <c r="U184" s="204">
        <v>81.5</v>
      </c>
      <c r="V184" s="204">
        <v>81.41</v>
      </c>
      <c r="W184" s="214">
        <v>80</v>
      </c>
      <c r="Z184" s="23" t="str">
        <v>13/02/2024  02:57</v>
      </c>
      <c r="AA184" s="27">
        <v>80</v>
      </c>
      <c r="AB184" s="27">
        <v>80</v>
      </c>
      <c r="AC184" s="27">
        <v>81.5</v>
      </c>
    </row>
    <row r="185" spans="1:29" ht="14.45" customHeight="1" x14ac:dyDescent="0.25">
      <c r="A185" t="str">
        <v>13/02/2024  02:58</v>
      </c>
      <c r="B185">
        <v>80.959999999999994</v>
      </c>
      <c r="C185">
        <v>80.92</v>
      </c>
      <c r="D185">
        <v>80.83</v>
      </c>
      <c r="E185">
        <v>80.88</v>
      </c>
      <c r="F185">
        <v>80.92</v>
      </c>
      <c r="G185">
        <v>81.34</v>
      </c>
      <c r="H185">
        <v>80.87</v>
      </c>
      <c r="I185">
        <v>81</v>
      </c>
      <c r="J185">
        <v>80.87</v>
      </c>
      <c r="M185" s="377"/>
      <c r="N185" s="204">
        <v>81.44</v>
      </c>
      <c r="O185" s="204">
        <v>81.209999999999994</v>
      </c>
      <c r="P185" s="204">
        <v>81.349999999999994</v>
      </c>
      <c r="Q185" s="204">
        <v>81.209999999999994</v>
      </c>
      <c r="R185" s="204">
        <v>81.34</v>
      </c>
      <c r="S185" s="204">
        <v>81.86</v>
      </c>
      <c r="T185" s="204">
        <v>81.240000000000009</v>
      </c>
      <c r="U185" s="204">
        <v>81.489999999999995</v>
      </c>
      <c r="V185" s="204">
        <v>81.36</v>
      </c>
      <c r="W185" s="214">
        <v>80</v>
      </c>
      <c r="Z185" s="23" t="str">
        <v>13/02/2024  02:58</v>
      </c>
      <c r="AA185" s="27">
        <v>80</v>
      </c>
      <c r="AB185" s="27">
        <v>80</v>
      </c>
      <c r="AC185" s="27">
        <v>81.5</v>
      </c>
    </row>
    <row r="186" spans="1:29" ht="14.45" customHeight="1" x14ac:dyDescent="0.25">
      <c r="A186" t="str">
        <v>13/02/2024  02:59</v>
      </c>
      <c r="B186">
        <v>81.08</v>
      </c>
      <c r="C186">
        <v>80.930000000000007</v>
      </c>
      <c r="D186">
        <v>80.88</v>
      </c>
      <c r="E186">
        <v>80.959999999999994</v>
      </c>
      <c r="F186">
        <v>81.03</v>
      </c>
      <c r="G186">
        <v>81.52</v>
      </c>
      <c r="H186">
        <v>80.91</v>
      </c>
      <c r="I186">
        <v>81.290000000000006</v>
      </c>
      <c r="J186">
        <v>80.97</v>
      </c>
      <c r="M186" s="377"/>
      <c r="N186" s="204">
        <v>81.56</v>
      </c>
      <c r="O186" s="204">
        <v>81.22</v>
      </c>
      <c r="P186" s="204">
        <v>81.399999999999991</v>
      </c>
      <c r="Q186" s="204">
        <v>81.289999999999992</v>
      </c>
      <c r="R186" s="204">
        <v>81.45</v>
      </c>
      <c r="S186" s="204">
        <v>82.039999999999992</v>
      </c>
      <c r="T186" s="204">
        <v>81.28</v>
      </c>
      <c r="U186" s="204">
        <v>81.78</v>
      </c>
      <c r="V186" s="204">
        <v>81.459999999999994</v>
      </c>
      <c r="W186" s="214">
        <v>80</v>
      </c>
      <c r="Z186" s="23" t="str">
        <v>13/02/2024  02:59</v>
      </c>
      <c r="AA186" s="27">
        <v>80</v>
      </c>
      <c r="AB186" s="27">
        <v>80</v>
      </c>
      <c r="AC186" s="27">
        <v>81.5</v>
      </c>
    </row>
    <row r="187" spans="1:29" ht="14.45" customHeight="1" x14ac:dyDescent="0.25">
      <c r="A187" s="342"/>
      <c r="B187" s="342"/>
      <c r="C187" s="342"/>
      <c r="D187" s="342"/>
      <c r="E187" s="342"/>
      <c r="F187" s="342"/>
      <c r="G187" s="342"/>
      <c r="H187" s="342"/>
      <c r="I187" s="342"/>
      <c r="J187" s="342"/>
      <c r="K187" s="342"/>
      <c r="L187" s="342"/>
      <c r="M187" s="342"/>
      <c r="N187" s="342"/>
      <c r="O187" s="342"/>
      <c r="P187" s="342"/>
      <c r="Q187" s="342"/>
      <c r="R187" s="342"/>
      <c r="S187" s="342"/>
      <c r="T187" s="342"/>
      <c r="U187" s="342"/>
      <c r="V187" s="342"/>
      <c r="W187" s="342"/>
      <c r="Z187" s="23"/>
    </row>
    <row r="188" spans="1:29" ht="14.45" customHeight="1" x14ac:dyDescent="0.25">
      <c r="A188"/>
      <c r="B188"/>
      <c r="C188"/>
      <c r="D188"/>
      <c r="E188"/>
      <c r="F188"/>
      <c r="G188"/>
      <c r="H188"/>
      <c r="I188"/>
      <c r="J188"/>
      <c r="Z188" s="23"/>
    </row>
    <row r="189" spans="1:29" ht="14.45" customHeight="1" x14ac:dyDescent="0.25">
      <c r="A189"/>
      <c r="B189"/>
      <c r="C189"/>
      <c r="D189"/>
      <c r="E189"/>
      <c r="F189"/>
      <c r="G189"/>
      <c r="H189"/>
      <c r="I189"/>
      <c r="J189"/>
      <c r="M189" s="92" t="s">
        <v>90</v>
      </c>
      <c r="N189" s="43">
        <f>MAX(tab_transfert80[Connecteur 1])+N$2+N$3</f>
        <v>82.62</v>
      </c>
      <c r="O189" s="43">
        <f>MAX(tab_transfert80[Connecteur 2])+O$2+O$3</f>
        <v>82.47</v>
      </c>
      <c r="P189" s="43">
        <f>MAX(tab_transfert80[Connecteur 3])+P$2+P$3</f>
        <v>82.17</v>
      </c>
      <c r="Q189" s="43">
        <f>MAX(tab_transfert80[Connecteur 4])+Q$2+Q$3</f>
        <v>82.74</v>
      </c>
      <c r="R189" s="43">
        <f>MAX(tab_transfert80[Connecteur 5])+R$2+R$3</f>
        <v>82.95</v>
      </c>
      <c r="S189" s="43">
        <f>MAX(tab_transfert80[Connecteur 6])+S$2+S$3</f>
        <v>83.28</v>
      </c>
      <c r="T189" s="43">
        <f>MAX(tab_transfert80[Connecteur 7])+T$2+T$3</f>
        <v>81.28</v>
      </c>
      <c r="U189" s="43">
        <f>MAX(tab_transfert80[Connecteur 8])+U$2+U$3</f>
        <v>83.38</v>
      </c>
      <c r="V189" s="43">
        <f>MAX(tab_transfert80[Connecteur 9])+V$2+V$3</f>
        <v>82.72999999999999</v>
      </c>
      <c r="W189" s="201">
        <f>MAX(N189:V189)</f>
        <v>83.38</v>
      </c>
      <c r="Z189" s="23"/>
    </row>
    <row r="190" spans="1:29" ht="14.45" customHeight="1" x14ac:dyDescent="0.25">
      <c r="A190"/>
      <c r="B190"/>
      <c r="C190"/>
      <c r="D190"/>
      <c r="E190"/>
      <c r="F190"/>
      <c r="G190"/>
      <c r="H190"/>
      <c r="I190"/>
      <c r="J190"/>
      <c r="M190" s="92" t="s">
        <v>91</v>
      </c>
      <c r="N190" s="43">
        <f ca="1">MAX(OFFSET(INDEX(tab_transfert80[Connecteur 1],1),COUNT(tab_transfert80[Connecteur 1])-30,0,30))+N$2+N$3</f>
        <v>81.56</v>
      </c>
      <c r="O190" s="43">
        <f ca="1">MAX(OFFSET(INDEX(tab_transfert80[Connecteur 2],1),COUNT(tab_transfert80[Connecteur 2])-30,0,30))+O$2+O$3</f>
        <v>81.27</v>
      </c>
      <c r="P190" s="43">
        <f ca="1">MAX(OFFSET(INDEX(tab_transfert80[Connecteur 3],1),COUNT(tab_transfert80[Connecteur 3])-30,0,30))+P$2+P$3</f>
        <v>81.42</v>
      </c>
      <c r="Q190" s="43">
        <f ca="1">MAX(OFFSET(INDEX(tab_transfert80[Connecteur 4],1),COUNT(tab_transfert80[Connecteur 4])-30,0,30))+Q$2+Q$3</f>
        <v>81.349999999999994</v>
      </c>
      <c r="R190" s="43">
        <f ca="1">MAX(OFFSET(INDEX(tab_transfert80[Connecteur 5],1),COUNT(tab_transfert80[Connecteur 5])-30,0,30))+R$2+R$3</f>
        <v>81.45</v>
      </c>
      <c r="S190" s="43">
        <f ca="1">MAX(OFFSET(INDEX(tab_transfert80[Connecteur 6],1),COUNT(tab_transfert80[Connecteur 6])-30,0,30))+S$2+S$3</f>
        <v>82.039999999999992</v>
      </c>
      <c r="T190" s="43">
        <f ca="1">MAX(OFFSET(INDEX(tab_transfert80[Connecteur 7],1),COUNT(tab_transfert80[Connecteur 7])-30,0,30))+T$2+T$3</f>
        <v>81.28</v>
      </c>
      <c r="U190" s="43">
        <f ca="1">MAX(OFFSET(INDEX(tab_transfert80[Connecteur 8],1),COUNT(tab_transfert80[Connecteur 8])-30,0,30))+U$2+U$3</f>
        <v>81.78</v>
      </c>
      <c r="V190" s="43">
        <f ca="1">MAX(OFFSET(INDEX(tab_transfert80[Connecteur 9],1),COUNT(tab_transfert80[Connecteur 9])-30,0,30))+V$2+V$3</f>
        <v>81.5</v>
      </c>
      <c r="W190" s="201">
        <f ca="1">MAX(N190:V190)</f>
        <v>82.039999999999992</v>
      </c>
      <c r="Z190" s="23"/>
    </row>
    <row r="191" spans="1:29" ht="14.45" customHeight="1" x14ac:dyDescent="0.25">
      <c r="A191"/>
      <c r="B191"/>
      <c r="C191"/>
      <c r="D191"/>
      <c r="E191"/>
      <c r="F191"/>
      <c r="G191"/>
      <c r="H191"/>
      <c r="I191"/>
      <c r="J191"/>
      <c r="M191" s="92" t="s">
        <v>93</v>
      </c>
      <c r="N191" s="43">
        <f ca="1">MIN(OFFSET(INDEX(tab_transfert80[Connecteur 1],1),COUNT(tab_transfert80[Connecteur 1])-30,0,30))+N$2+N$3</f>
        <v>81.410000000000011</v>
      </c>
      <c r="O191" s="43">
        <f ca="1">MIN(OFFSET(INDEX(tab_transfert80[Connecteur 2],1),COUNT(tab_transfert80[Connecteur 2])-30,0,30))+O$2+O$3</f>
        <v>81.149999999999991</v>
      </c>
      <c r="P191" s="43">
        <f ca="1">MIN(OFFSET(INDEX(tab_transfert80[Connecteur 3],1),COUNT(tab_transfert80[Connecteur 3])-30,0,30))+P$2+P$3</f>
        <v>81.33</v>
      </c>
      <c r="Q191" s="43">
        <f ca="1">MIN(OFFSET(INDEX(tab_transfert80[Connecteur 4],1),COUNT(tab_transfert80[Connecteur 4])-30,0,30))+Q$2+Q$3</f>
        <v>81.2</v>
      </c>
      <c r="R191" s="43">
        <f ca="1">MIN(OFFSET(INDEX(tab_transfert80[Connecteur 5],1),COUNT(tab_transfert80[Connecteur 5])-30,0,30))+R$2+R$3</f>
        <v>81.2</v>
      </c>
      <c r="S191" s="43">
        <f ca="1">MIN(OFFSET(INDEX(tab_transfert80[Connecteur 6],1),COUNT(tab_transfert80[Connecteur 6])-30,0,30))+S$2+S$3</f>
        <v>81.819999999999993</v>
      </c>
      <c r="T191" s="43">
        <f ca="1">MIN(OFFSET(INDEX(tab_transfert80[Connecteur 7],1),COUNT(tab_transfert80[Connecteur 7])-30,0,30))+T$2+T$3</f>
        <v>81.19</v>
      </c>
      <c r="U191" s="43">
        <f ca="1">MIN(OFFSET(INDEX(tab_transfert80[Connecteur 8],1),COUNT(tab_transfert80[Connecteur 8])-30,0,30))+U$2+U$3</f>
        <v>81.47</v>
      </c>
      <c r="V191" s="43">
        <f ca="1">MIN(OFFSET(INDEX(tab_transfert80[Connecteur 9],1),COUNT(tab_transfert80[Connecteur 9])-30,0,30))+V$2+V$3</f>
        <v>81.36</v>
      </c>
      <c r="W191" s="201">
        <f ca="1">MIN(N191:V191)</f>
        <v>81.149999999999991</v>
      </c>
      <c r="Z191" s="23"/>
    </row>
    <row r="192" spans="1:29" ht="14.45" customHeight="1" x14ac:dyDescent="0.25">
      <c r="A192"/>
      <c r="B192"/>
      <c r="C192"/>
      <c r="D192"/>
      <c r="E192"/>
      <c r="F192"/>
      <c r="G192"/>
      <c r="H192"/>
      <c r="I192"/>
      <c r="J192"/>
      <c r="M192" s="92" t="s">
        <v>95</v>
      </c>
      <c r="N192" s="43">
        <f ca="1">AVERAGE(OFFSET(INDEX(tab_transfert80[Connecteur 1],1),COUNT(tab_transfert80[Connecteur 1])-30,0,30))+N$2+N$3</f>
        <v>81.468666666666664</v>
      </c>
      <c r="O192" s="43">
        <f ca="1">AVERAGE(OFFSET(INDEX(tab_transfert80[Connecteur 2],1),COUNT(tab_transfert80[Connecteur 2])-30,0,30))+O$2+O$3</f>
        <v>81.203666666666706</v>
      </c>
      <c r="P192" s="43">
        <f ca="1">AVERAGE(OFFSET(INDEX(tab_transfert80[Connecteur 3],1),COUNT(tab_transfert80[Connecteur 3])-30,0,30))+P$2+P$3</f>
        <v>81.368666666666655</v>
      </c>
      <c r="Q192" s="43">
        <f ca="1">AVERAGE(OFFSET(INDEX(tab_transfert80[Connecteur 4],1),COUNT(tab_transfert80[Connecteur 4])-30,0,30))+Q$2+Q$3</f>
        <v>81.26100000000001</v>
      </c>
      <c r="R192" s="43">
        <f ca="1">AVERAGE(OFFSET(INDEX(tab_transfert80[Connecteur 5],1),COUNT(tab_transfert80[Connecteur 5])-30,0,30))+R$2+R$3</f>
        <v>81.334000000000032</v>
      </c>
      <c r="S192" s="43">
        <f ca="1">AVERAGE(OFFSET(INDEX(tab_transfert80[Connecteur 6],1),COUNT(tab_transfert80[Connecteur 6])-30,0,30))+S$2+S$3</f>
        <v>81.912666666666652</v>
      </c>
      <c r="T192" s="43">
        <f ca="1">AVERAGE(OFFSET(INDEX(tab_transfert80[Connecteur 7],1),COUNT(tab_transfert80[Connecteur 7])-30,0,30))+T$2+T$3</f>
        <v>81.240666666666627</v>
      </c>
      <c r="U192" s="43">
        <f ca="1">AVERAGE(OFFSET(INDEX(tab_transfert80[Connecteur 8],1),COUNT(tab_transfert80[Connecteur 8])-30,0,30))+U$2+U$3</f>
        <v>81.559999999999988</v>
      </c>
      <c r="V192" s="43">
        <f ca="1">AVERAGE(OFFSET(INDEX(tab_transfert80[Connecteur 9],1),COUNT(tab_transfert80[Connecteur 9])-30,0,30))+V$2+V$3</f>
        <v>81.419000000000011</v>
      </c>
      <c r="W192" s="44"/>
      <c r="Z192" s="23"/>
    </row>
    <row r="193" spans="1:26" ht="14.45" customHeight="1" x14ac:dyDescent="0.25">
      <c r="A193"/>
      <c r="B193"/>
      <c r="C193"/>
      <c r="D193"/>
      <c r="E193"/>
      <c r="F193"/>
      <c r="G193"/>
      <c r="H193"/>
      <c r="I193"/>
      <c r="J193"/>
      <c r="M193" s="92" t="s">
        <v>96</v>
      </c>
      <c r="N193" s="43">
        <f ca="1">N190-N191</f>
        <v>0.14999999999999147</v>
      </c>
      <c r="O193" s="43">
        <f t="shared" ref="O193:V193" ca="1" si="0">O190-O191</f>
        <v>0.12000000000000455</v>
      </c>
      <c r="P193" s="43">
        <f t="shared" ca="1" si="0"/>
        <v>9.0000000000003411E-2</v>
      </c>
      <c r="Q193" s="43">
        <f t="shared" ca="1" si="0"/>
        <v>0.14999999999999147</v>
      </c>
      <c r="R193" s="43">
        <f t="shared" ca="1" si="0"/>
        <v>0.25</v>
      </c>
      <c r="S193" s="43">
        <f t="shared" ca="1" si="0"/>
        <v>0.21999999999999886</v>
      </c>
      <c r="T193" s="43">
        <f t="shared" ca="1" si="0"/>
        <v>9.0000000000003411E-2</v>
      </c>
      <c r="U193" s="43">
        <f t="shared" ca="1" si="0"/>
        <v>0.31000000000000227</v>
      </c>
      <c r="V193" s="43">
        <f t="shared" ca="1" si="0"/>
        <v>0.14000000000000057</v>
      </c>
      <c r="Z193" s="23"/>
    </row>
    <row r="194" spans="1:26" ht="14.45" customHeight="1" x14ac:dyDescent="0.25">
      <c r="A194"/>
      <c r="B194"/>
      <c r="C194"/>
      <c r="D194"/>
      <c r="E194"/>
      <c r="F194"/>
      <c r="G194"/>
      <c r="H194"/>
      <c r="I194"/>
      <c r="J194"/>
      <c r="M194" s="92" t="s">
        <v>97</v>
      </c>
      <c r="N194" s="376">
        <f ca="1">ABS(MAX(N190:V190) - MIN(N191:V191))</f>
        <v>0.89000000000000057</v>
      </c>
      <c r="O194" s="376"/>
      <c r="P194" s="376"/>
      <c r="Q194" s="376"/>
      <c r="R194" s="376"/>
      <c r="S194" s="376"/>
      <c r="T194" s="376"/>
      <c r="U194" s="376"/>
      <c r="V194" s="376"/>
      <c r="W194" s="44">
        <f ca="1">N194</f>
        <v>0.89000000000000057</v>
      </c>
      <c r="Z194" s="23"/>
    </row>
    <row r="195" spans="1:26" ht="14.45" customHeight="1" x14ac:dyDescent="0.25">
      <c r="A195"/>
      <c r="B195"/>
      <c r="C195"/>
      <c r="D195"/>
      <c r="E195"/>
      <c r="F195"/>
      <c r="G195"/>
      <c r="H195"/>
      <c r="I195"/>
      <c r="J195"/>
      <c r="M195" s="92" t="s">
        <v>98</v>
      </c>
      <c r="N195" s="376">
        <f ca="1">AVERAGE(N192:V192)</f>
        <v>81.418703703703699</v>
      </c>
      <c r="O195" s="376"/>
      <c r="P195" s="376"/>
      <c r="Q195" s="376"/>
      <c r="R195" s="376"/>
      <c r="S195" s="376"/>
      <c r="T195" s="376"/>
      <c r="U195" s="376"/>
      <c r="V195" s="376"/>
      <c r="W195" s="44">
        <f ca="1">N195</f>
        <v>81.418703703703699</v>
      </c>
      <c r="Z195" s="23"/>
    </row>
    <row r="196" spans="1:26" ht="14.45" customHeight="1" x14ac:dyDescent="0.25">
      <c r="A196"/>
      <c r="B196"/>
      <c r="C196"/>
      <c r="D196"/>
      <c r="E196"/>
      <c r="F196"/>
      <c r="G196"/>
      <c r="H196"/>
      <c r="I196"/>
      <c r="J196"/>
      <c r="M196" s="92" t="s">
        <v>340</v>
      </c>
      <c r="N196" s="35" t="str" cm="1">
        <f t="array" ref="N196:V196">tab_transfert80[[#Headers],[Connecteur 1]:[Connecteur 9]]</f>
        <v>Connecteur 1</v>
      </c>
      <c r="O196" s="35" t="str">
        <v>Connecteur 2</v>
      </c>
      <c r="P196" s="35" t="str">
        <v>Connecteur 3</v>
      </c>
      <c r="Q196" s="35" t="str">
        <v>Connecteur 4</v>
      </c>
      <c r="R196" s="35" t="str">
        <v>Connecteur 5</v>
      </c>
      <c r="S196" s="35" t="str">
        <v>Connecteur 6</v>
      </c>
      <c r="T196" s="35" t="str">
        <v>Connecteur 7</v>
      </c>
      <c r="U196" s="35" t="str">
        <v>Connecteur 8</v>
      </c>
      <c r="V196" s="35" t="str">
        <v>Connecteur 9</v>
      </c>
      <c r="Z196" s="23"/>
    </row>
    <row r="197" spans="1:26" ht="14.45" customHeight="1" x14ac:dyDescent="0.25">
      <c r="A197"/>
      <c r="B197"/>
      <c r="C197"/>
      <c r="D197"/>
      <c r="E197"/>
      <c r="F197"/>
      <c r="G197"/>
      <c r="H197"/>
      <c r="I197"/>
      <c r="J197"/>
      <c r="M197" s="194" t="s">
        <v>339</v>
      </c>
      <c r="N197" s="196">
        <f ca="1">_xlfn.STDEV.S(OFFSET(INDEX(tab_transfert80[Connecteur 1],1),COUNT(tab_transfert80[Connecteur 1])-30,0,30))</f>
        <v>3.6646807579202641E-2</v>
      </c>
      <c r="O197" s="196">
        <f ca="1">_xlfn.STDEV.S(OFFSET(INDEX(tab_transfert80[Connecteur 2],1),COUNT(tab_transfert80[Connecteur 2])-30,0,30))</f>
        <v>2.7352530404704384E-2</v>
      </c>
      <c r="P197" s="196">
        <f ca="1">_xlfn.STDEV.S(OFFSET(INDEX(tab_transfert80[Connecteur 3],1),COUNT(tab_transfert80[Connecteur 3])-30,0,30))</f>
        <v>2.7883171705670624E-2</v>
      </c>
      <c r="Q197" s="196">
        <f ca="1">_xlfn.STDEV.S(OFFSET(INDEX(tab_transfert80[Connecteur 4],1),COUNT(tab_transfert80[Connecteur 4])-30,0,30))</f>
        <v>4.4439032237513672E-2</v>
      </c>
      <c r="R197" s="196">
        <f ca="1">_xlfn.STDEV.S(OFFSET(INDEX(tab_transfert80[Connecteur 5],1),COUNT(tab_transfert80[Connecteur 5])-30,0,30))</f>
        <v>4.7893560145893292E-2</v>
      </c>
      <c r="S197" s="196">
        <f ca="1">_xlfn.STDEV.S(OFFSET(INDEX(tab_transfert80[Connecteur 6],1),COUNT(tab_transfert80[Connecteur 6])-30,0,30))</f>
        <v>5.085024214727682E-2</v>
      </c>
      <c r="T197" s="196">
        <f ca="1">_xlfn.STDEV.S(OFFSET(INDEX(tab_transfert80[Connecteur 7],1),COUNT(tab_transfert80[Connecteur 7])-30,0,30))</f>
        <v>1.8925139881656408E-2</v>
      </c>
      <c r="U197" s="196">
        <f ca="1">_xlfn.STDEV.S(OFFSET(INDEX(tab_transfert80[Connecteur 8],1),COUNT(tab_transfert80[Connecteur 8])-30,0,30))</f>
        <v>6.8882708905841819E-2</v>
      </c>
      <c r="V197" s="196">
        <f ca="1">_xlfn.STDEV.S(OFFSET(INDEX(tab_transfert80[Connecteur 9],1),COUNT(tab_transfert80[Connecteur 9])-30,0,30))</f>
        <v>3.7906418344709848E-2</v>
      </c>
      <c r="W197" s="195">
        <f ca="1">MAX(N197:V197)</f>
        <v>6.8882708905841819E-2</v>
      </c>
      <c r="Z197" s="23"/>
    </row>
    <row r="198" spans="1:26" ht="14.45" customHeight="1" x14ac:dyDescent="0.25">
      <c r="A198"/>
      <c r="B198"/>
      <c r="C198"/>
      <c r="D198"/>
      <c r="E198"/>
      <c r="F198"/>
      <c r="G198"/>
      <c r="H198"/>
      <c r="I198"/>
      <c r="J198"/>
      <c r="N198" s="27"/>
      <c r="O198" s="27"/>
      <c r="P198" s="27"/>
      <c r="Q198" s="27"/>
      <c r="R198" s="27"/>
      <c r="S198" s="27"/>
      <c r="T198" s="27"/>
      <c r="U198" s="27"/>
      <c r="V198" s="27"/>
      <c r="Z198" s="23"/>
    </row>
    <row r="199" spans="1:26" ht="14.45" customHeight="1" x14ac:dyDescent="0.25">
      <c r="A199"/>
      <c r="B199"/>
      <c r="C199"/>
      <c r="D199"/>
      <c r="E199"/>
      <c r="F199"/>
      <c r="G199"/>
      <c r="H199"/>
      <c r="I199"/>
      <c r="J199"/>
      <c r="M199" s="194" t="s">
        <v>338</v>
      </c>
      <c r="N199" s="193">
        <f ca="1">W190-(OFFSET(INDEX(tab_four80[Consigne T°],1),COUNT(tab_four80[Consigne T°])-30,0,1))</f>
        <v>2.039999999999992</v>
      </c>
      <c r="O199" s="27"/>
      <c r="P199" s="27"/>
      <c r="Q199" s="27"/>
      <c r="R199" s="27"/>
      <c r="S199" s="27"/>
      <c r="T199" s="27"/>
      <c r="U199" s="27"/>
      <c r="V199" s="27"/>
      <c r="Z199" s="23"/>
    </row>
    <row r="200" spans="1:26" ht="14.45" customHeight="1" x14ac:dyDescent="0.25">
      <c r="A200"/>
      <c r="B200"/>
      <c r="C200"/>
      <c r="D200"/>
      <c r="E200"/>
      <c r="F200"/>
      <c r="G200"/>
      <c r="H200"/>
      <c r="I200"/>
      <c r="J200"/>
      <c r="M200" s="194" t="s">
        <v>337</v>
      </c>
      <c r="N200" s="193">
        <f ca="1">W191-(OFFSET(INDEX(tab_four80[Consigne T°],1),COUNT(tab_four80[Consigne T°])-30,0,1))</f>
        <v>1.1499999999999915</v>
      </c>
      <c r="O200" s="27"/>
      <c r="P200" s="27"/>
      <c r="Q200" s="27"/>
      <c r="R200" s="27"/>
      <c r="S200" s="27"/>
      <c r="T200" s="27"/>
      <c r="U200" s="27"/>
      <c r="V200" s="27"/>
      <c r="Z200" s="23"/>
    </row>
    <row r="201" spans="1:26" ht="14.45" customHeight="1" x14ac:dyDescent="0.25">
      <c r="A201"/>
      <c r="B201"/>
      <c r="C201"/>
      <c r="D201"/>
      <c r="E201"/>
      <c r="F201"/>
      <c r="G201"/>
      <c r="H201"/>
      <c r="I201"/>
      <c r="J201"/>
      <c r="Z201" s="23"/>
    </row>
    <row r="202" spans="1:26" ht="14.45" customHeight="1" x14ac:dyDescent="0.25">
      <c r="A202"/>
      <c r="B202"/>
      <c r="C202"/>
      <c r="D202"/>
      <c r="E202"/>
      <c r="F202"/>
      <c r="G202"/>
      <c r="H202"/>
      <c r="I202"/>
      <c r="J202"/>
      <c r="Z202" s="23"/>
    </row>
    <row r="203" spans="1:26" ht="14.45" customHeight="1" x14ac:dyDescent="0.25">
      <c r="A203"/>
      <c r="B203"/>
      <c r="C203"/>
      <c r="D203"/>
      <c r="E203"/>
      <c r="F203"/>
      <c r="G203"/>
      <c r="H203"/>
      <c r="I203"/>
      <c r="J203"/>
      <c r="Z203" s="23"/>
    </row>
    <row r="204" spans="1:26" ht="14.45" customHeight="1" x14ac:dyDescent="0.25">
      <c r="A204"/>
      <c r="B204"/>
      <c r="C204"/>
      <c r="D204"/>
      <c r="E204"/>
      <c r="F204"/>
      <c r="G204"/>
      <c r="H204"/>
      <c r="I204"/>
      <c r="J204"/>
      <c r="Z204" s="23"/>
    </row>
    <row r="205" spans="1:26" ht="14.45" customHeight="1" x14ac:dyDescent="0.25">
      <c r="A205"/>
      <c r="B205"/>
      <c r="C205"/>
      <c r="D205"/>
      <c r="E205"/>
      <c r="F205"/>
      <c r="G205"/>
      <c r="H205"/>
      <c r="I205"/>
      <c r="J205"/>
      <c r="Z205" s="23"/>
    </row>
    <row r="206" spans="1:26" ht="14.45" customHeight="1" x14ac:dyDescent="0.25">
      <c r="A206"/>
      <c r="B206"/>
      <c r="C206"/>
      <c r="D206"/>
      <c r="E206"/>
      <c r="F206"/>
      <c r="G206"/>
      <c r="H206"/>
      <c r="I206"/>
      <c r="J206"/>
      <c r="Z206" s="23"/>
    </row>
    <row r="207" spans="1:26" ht="14.45" customHeight="1" x14ac:dyDescent="0.25">
      <c r="A207"/>
      <c r="B207"/>
      <c r="C207"/>
      <c r="D207"/>
      <c r="E207"/>
      <c r="F207"/>
      <c r="G207"/>
      <c r="H207"/>
      <c r="I207"/>
      <c r="J207"/>
      <c r="Z207" s="23"/>
    </row>
    <row r="208" spans="1:26" ht="14.45" customHeight="1" x14ac:dyDescent="0.25">
      <c r="A208"/>
      <c r="B208"/>
      <c r="C208"/>
      <c r="D208"/>
      <c r="E208"/>
      <c r="F208"/>
      <c r="G208"/>
      <c r="H208"/>
      <c r="I208"/>
      <c r="J208"/>
      <c r="Z208" s="23"/>
    </row>
    <row r="209" spans="1:26" ht="14.45" customHeight="1" x14ac:dyDescent="0.25">
      <c r="A209"/>
      <c r="B209"/>
      <c r="C209"/>
      <c r="D209"/>
      <c r="E209"/>
      <c r="F209"/>
      <c r="G209"/>
      <c r="H209"/>
      <c r="I209"/>
      <c r="J209"/>
      <c r="Z209" s="23"/>
    </row>
    <row r="210" spans="1:26" ht="14.45" customHeight="1" x14ac:dyDescent="0.25">
      <c r="A210"/>
      <c r="B210"/>
      <c r="C210"/>
      <c r="D210"/>
      <c r="E210"/>
      <c r="F210"/>
      <c r="G210"/>
      <c r="H210"/>
      <c r="I210"/>
      <c r="J210"/>
      <c r="Z210" s="23"/>
    </row>
    <row r="211" spans="1:26" ht="14.45" customHeight="1" x14ac:dyDescent="0.25">
      <c r="A211"/>
      <c r="B211"/>
      <c r="C211"/>
      <c r="D211"/>
      <c r="E211"/>
      <c r="F211"/>
      <c r="G211"/>
      <c r="H211"/>
      <c r="I211"/>
      <c r="J211"/>
      <c r="Z211" s="23"/>
    </row>
    <row r="212" spans="1:26" ht="14.45" customHeight="1" x14ac:dyDescent="0.25">
      <c r="A212"/>
      <c r="B212"/>
      <c r="C212"/>
      <c r="D212"/>
      <c r="E212"/>
      <c r="F212"/>
      <c r="G212"/>
      <c r="H212"/>
      <c r="I212"/>
      <c r="J212"/>
      <c r="Z212" s="23"/>
    </row>
    <row r="213" spans="1:26" ht="14.45" customHeight="1" x14ac:dyDescent="0.25">
      <c r="A213"/>
      <c r="B213"/>
      <c r="C213"/>
      <c r="D213"/>
      <c r="E213"/>
      <c r="F213"/>
      <c r="G213"/>
      <c r="H213"/>
      <c r="I213"/>
      <c r="J213"/>
      <c r="Z213" s="23"/>
    </row>
    <row r="214" spans="1:26" ht="14.45" customHeight="1" x14ac:dyDescent="0.25">
      <c r="A214"/>
      <c r="B214"/>
      <c r="C214"/>
      <c r="D214"/>
      <c r="E214"/>
      <c r="F214"/>
      <c r="G214"/>
      <c r="H214"/>
      <c r="I214"/>
      <c r="J214"/>
      <c r="Z214" s="23"/>
    </row>
    <row r="215" spans="1:26" ht="14.45" customHeight="1" x14ac:dyDescent="0.25">
      <c r="A215"/>
      <c r="B215"/>
      <c r="C215"/>
      <c r="D215"/>
      <c r="E215"/>
      <c r="F215"/>
      <c r="G215"/>
      <c r="H215"/>
      <c r="I215"/>
      <c r="J215"/>
      <c r="Z215" s="23"/>
    </row>
    <row r="216" spans="1:26" ht="14.45" customHeight="1" x14ac:dyDescent="0.25">
      <c r="A216"/>
      <c r="B216"/>
      <c r="C216"/>
      <c r="D216"/>
      <c r="E216"/>
      <c r="F216"/>
      <c r="G216"/>
      <c r="H216"/>
      <c r="I216"/>
      <c r="J216"/>
      <c r="Z216" s="23"/>
    </row>
    <row r="217" spans="1:26" ht="14.45" customHeight="1" x14ac:dyDescent="0.25">
      <c r="A217"/>
      <c r="B217"/>
      <c r="C217"/>
      <c r="D217"/>
      <c r="E217"/>
      <c r="F217"/>
      <c r="G217"/>
      <c r="H217"/>
      <c r="I217"/>
      <c r="J217"/>
      <c r="Z217" s="23"/>
    </row>
    <row r="218" spans="1:26" ht="14.45" customHeight="1" x14ac:dyDescent="0.25">
      <c r="A218"/>
      <c r="B218"/>
      <c r="C218"/>
      <c r="D218"/>
      <c r="E218"/>
      <c r="F218"/>
      <c r="G218"/>
      <c r="H218"/>
      <c r="I218"/>
      <c r="J218"/>
      <c r="Z218" s="23"/>
    </row>
    <row r="219" spans="1:26" ht="14.45" customHeight="1" x14ac:dyDescent="0.25">
      <c r="A219"/>
      <c r="B219"/>
      <c r="C219"/>
      <c r="D219"/>
      <c r="E219"/>
      <c r="F219"/>
      <c r="G219"/>
      <c r="H219"/>
      <c r="I219"/>
      <c r="J219"/>
      <c r="Z219" s="23"/>
    </row>
    <row r="220" spans="1:26" ht="14.45" customHeight="1" x14ac:dyDescent="0.25">
      <c r="A220"/>
      <c r="B220"/>
      <c r="C220"/>
      <c r="D220"/>
      <c r="E220"/>
      <c r="F220"/>
      <c r="G220"/>
      <c r="H220"/>
      <c r="I220"/>
      <c r="J220"/>
      <c r="Z220" s="23"/>
    </row>
    <row r="221" spans="1:26" ht="14.45" customHeight="1" x14ac:dyDescent="0.25">
      <c r="A221"/>
      <c r="B221"/>
      <c r="C221"/>
      <c r="D221"/>
      <c r="E221"/>
      <c r="F221"/>
      <c r="G221"/>
      <c r="H221"/>
      <c r="I221"/>
      <c r="J221"/>
      <c r="Z221" s="23"/>
    </row>
    <row r="222" spans="1:26" ht="14.45" customHeight="1" x14ac:dyDescent="0.25">
      <c r="A222"/>
      <c r="B222"/>
      <c r="C222"/>
      <c r="D222"/>
      <c r="E222"/>
      <c r="F222"/>
      <c r="G222"/>
      <c r="H222"/>
      <c r="I222"/>
      <c r="J222"/>
      <c r="Z222" s="23"/>
    </row>
    <row r="223" spans="1:26" ht="14.45" customHeight="1" x14ac:dyDescent="0.25">
      <c r="A223"/>
      <c r="B223"/>
      <c r="C223"/>
      <c r="D223"/>
      <c r="E223"/>
      <c r="F223"/>
      <c r="G223"/>
      <c r="H223"/>
      <c r="I223"/>
      <c r="J223"/>
      <c r="Z223" s="23"/>
    </row>
    <row r="224" spans="1:26" ht="14.45" customHeight="1" x14ac:dyDescent="0.25">
      <c r="A224"/>
      <c r="B224"/>
      <c r="C224"/>
      <c r="D224"/>
      <c r="E224"/>
      <c r="F224"/>
      <c r="G224"/>
      <c r="H224"/>
      <c r="I224"/>
      <c r="J224"/>
      <c r="Z224" s="23"/>
    </row>
    <row r="225" spans="1:26" ht="14.45" customHeight="1" x14ac:dyDescent="0.25">
      <c r="A225"/>
      <c r="B225"/>
      <c r="C225"/>
      <c r="D225"/>
      <c r="E225"/>
      <c r="F225"/>
      <c r="G225"/>
      <c r="H225"/>
      <c r="I225"/>
      <c r="J225"/>
      <c r="Z225" s="23"/>
    </row>
    <row r="226" spans="1:26" ht="14.45" customHeight="1" x14ac:dyDescent="0.25">
      <c r="A226"/>
      <c r="B226"/>
      <c r="C226"/>
      <c r="D226"/>
      <c r="E226"/>
      <c r="F226"/>
      <c r="G226"/>
      <c r="H226"/>
      <c r="I226"/>
      <c r="J226"/>
      <c r="Z226" s="23"/>
    </row>
    <row r="227" spans="1:26" ht="14.45" customHeight="1" x14ac:dyDescent="0.25">
      <c r="A227"/>
      <c r="B227"/>
      <c r="C227"/>
      <c r="D227"/>
      <c r="E227"/>
      <c r="F227"/>
      <c r="G227"/>
      <c r="H227"/>
      <c r="I227"/>
      <c r="J227"/>
      <c r="Z227" s="23"/>
    </row>
    <row r="228" spans="1:26" ht="14.45" customHeight="1" x14ac:dyDescent="0.25">
      <c r="A228"/>
      <c r="B228"/>
      <c r="C228"/>
      <c r="D228"/>
      <c r="E228"/>
      <c r="F228"/>
      <c r="G228"/>
      <c r="H228"/>
      <c r="I228"/>
      <c r="J228"/>
      <c r="Z228" s="23"/>
    </row>
    <row r="229" spans="1:26" ht="14.45" customHeight="1" x14ac:dyDescent="0.25">
      <c r="A229"/>
      <c r="B229"/>
      <c r="C229"/>
      <c r="D229"/>
      <c r="E229"/>
      <c r="F229"/>
      <c r="G229"/>
      <c r="H229"/>
      <c r="I229"/>
      <c r="J229"/>
      <c r="Z229" s="23"/>
    </row>
    <row r="230" spans="1:26" ht="14.45" customHeight="1" x14ac:dyDescent="0.25">
      <c r="A230"/>
      <c r="B230"/>
      <c r="C230"/>
      <c r="D230"/>
      <c r="E230"/>
      <c r="F230"/>
      <c r="G230"/>
      <c r="H230"/>
      <c r="I230"/>
      <c r="J230"/>
      <c r="Z230" s="23"/>
    </row>
    <row r="231" spans="1:26" ht="14.45" customHeight="1" x14ac:dyDescent="0.25">
      <c r="A231"/>
      <c r="B231"/>
      <c r="C231"/>
      <c r="D231"/>
      <c r="E231"/>
      <c r="F231"/>
      <c r="G231"/>
      <c r="H231"/>
      <c r="I231"/>
      <c r="J231"/>
      <c r="Z231" s="23"/>
    </row>
    <row r="232" spans="1:26" ht="14.45" customHeight="1" x14ac:dyDescent="0.25">
      <c r="A232"/>
      <c r="B232"/>
      <c r="C232"/>
      <c r="D232"/>
      <c r="E232"/>
      <c r="F232"/>
      <c r="G232"/>
      <c r="H232"/>
      <c r="I232"/>
      <c r="J232"/>
      <c r="Z232" s="23"/>
    </row>
    <row r="233" spans="1:26" ht="14.45" customHeight="1" x14ac:dyDescent="0.25">
      <c r="A233"/>
      <c r="B233"/>
      <c r="C233"/>
      <c r="D233"/>
      <c r="E233"/>
      <c r="F233"/>
      <c r="G233"/>
      <c r="H233"/>
      <c r="I233"/>
      <c r="J233"/>
      <c r="Z233" s="23"/>
    </row>
    <row r="234" spans="1:26" ht="14.45" customHeight="1" x14ac:dyDescent="0.25">
      <c r="A234"/>
      <c r="B234"/>
      <c r="C234"/>
      <c r="D234"/>
      <c r="E234"/>
      <c r="F234"/>
      <c r="G234"/>
      <c r="H234"/>
      <c r="I234"/>
      <c r="J234"/>
      <c r="Z234" s="23"/>
    </row>
    <row r="235" spans="1:26" ht="14.45" customHeight="1" x14ac:dyDescent="0.25">
      <c r="A235"/>
      <c r="B235"/>
      <c r="C235"/>
      <c r="D235"/>
      <c r="E235"/>
      <c r="F235"/>
      <c r="G235"/>
      <c r="H235"/>
      <c r="I235"/>
      <c r="J235"/>
      <c r="Z235" s="23"/>
    </row>
    <row r="236" spans="1:26" ht="14.45" customHeight="1" x14ac:dyDescent="0.25">
      <c r="A236"/>
      <c r="B236"/>
      <c r="C236"/>
      <c r="D236"/>
      <c r="E236"/>
      <c r="F236"/>
      <c r="G236"/>
      <c r="H236"/>
      <c r="I236"/>
      <c r="J236"/>
      <c r="Z236" s="23"/>
    </row>
    <row r="237" spans="1:26" ht="14.45" customHeight="1" x14ac:dyDescent="0.25">
      <c r="A237"/>
      <c r="B237"/>
      <c r="C237"/>
      <c r="D237"/>
      <c r="E237"/>
      <c r="F237"/>
      <c r="G237"/>
      <c r="H237"/>
      <c r="I237"/>
      <c r="J237"/>
      <c r="Z237" s="23"/>
    </row>
    <row r="238" spans="1:26" ht="14.45" customHeight="1" x14ac:dyDescent="0.25">
      <c r="A238"/>
      <c r="B238"/>
      <c r="C238"/>
      <c r="D238"/>
      <c r="E238"/>
      <c r="F238"/>
      <c r="G238"/>
      <c r="H238"/>
      <c r="I238"/>
      <c r="J238"/>
      <c r="Z238" s="23"/>
    </row>
    <row r="239" spans="1:26" ht="14.45" customHeight="1" x14ac:dyDescent="0.25">
      <c r="A239"/>
      <c r="B239"/>
      <c r="C239"/>
      <c r="D239"/>
      <c r="E239"/>
      <c r="F239"/>
      <c r="G239"/>
      <c r="H239"/>
      <c r="I239"/>
      <c r="J239"/>
      <c r="Z239" s="23"/>
    </row>
    <row r="240" spans="1:26" ht="14.45" customHeight="1" x14ac:dyDescent="0.25">
      <c r="A240"/>
      <c r="B240"/>
      <c r="C240"/>
      <c r="D240"/>
      <c r="E240"/>
      <c r="F240"/>
      <c r="G240"/>
      <c r="H240"/>
      <c r="I240"/>
      <c r="J240"/>
      <c r="Z240" s="23"/>
    </row>
    <row r="241" spans="1:26" ht="14.45" customHeight="1" x14ac:dyDescent="0.25">
      <c r="A241"/>
      <c r="B241"/>
      <c r="C241"/>
      <c r="D241"/>
      <c r="E241"/>
      <c r="F241"/>
      <c r="G241"/>
      <c r="H241"/>
      <c r="I241"/>
      <c r="J241"/>
      <c r="Z241" s="23"/>
    </row>
    <row r="242" spans="1:26" ht="14.45" customHeight="1" x14ac:dyDescent="0.25">
      <c r="A242"/>
      <c r="B242"/>
      <c r="C242"/>
      <c r="D242"/>
      <c r="E242"/>
      <c r="F242"/>
      <c r="G242"/>
      <c r="H242"/>
      <c r="I242"/>
      <c r="J242"/>
      <c r="Z242" s="23"/>
    </row>
    <row r="243" spans="1:26" ht="14.45" customHeight="1" x14ac:dyDescent="0.25">
      <c r="A243"/>
      <c r="B243"/>
      <c r="C243"/>
      <c r="D243"/>
      <c r="E243"/>
      <c r="F243"/>
      <c r="G243"/>
      <c r="H243"/>
      <c r="I243"/>
      <c r="J243"/>
      <c r="Z243" s="23"/>
    </row>
    <row r="244" spans="1:26" ht="14.45" customHeight="1" x14ac:dyDescent="0.25">
      <c r="A244"/>
      <c r="B244"/>
      <c r="C244"/>
      <c r="D244"/>
      <c r="E244"/>
      <c r="F244"/>
      <c r="G244"/>
      <c r="H244"/>
      <c r="I244"/>
      <c r="J244"/>
      <c r="Z244" s="23"/>
    </row>
    <row r="245" spans="1:26" ht="14.45" customHeight="1" x14ac:dyDescent="0.25">
      <c r="A245"/>
      <c r="B245"/>
      <c r="C245"/>
      <c r="D245"/>
      <c r="E245"/>
      <c r="F245"/>
      <c r="G245"/>
      <c r="H245"/>
      <c r="I245"/>
      <c r="J245"/>
      <c r="Z245" s="23"/>
    </row>
    <row r="246" spans="1:26" ht="14.45" customHeight="1" x14ac:dyDescent="0.25">
      <c r="A246"/>
      <c r="B246"/>
      <c r="C246"/>
      <c r="D246"/>
      <c r="E246"/>
      <c r="F246"/>
      <c r="G246"/>
      <c r="H246"/>
      <c r="I246"/>
      <c r="J246"/>
      <c r="Z246" s="23"/>
    </row>
    <row r="247" spans="1:26" ht="14.45" customHeight="1" x14ac:dyDescent="0.25">
      <c r="A247"/>
      <c r="B247"/>
      <c r="C247"/>
      <c r="D247"/>
      <c r="E247"/>
      <c r="F247"/>
      <c r="G247"/>
      <c r="H247"/>
      <c r="I247"/>
      <c r="J247"/>
      <c r="Z247" s="23"/>
    </row>
    <row r="248" spans="1:26" ht="14.45" customHeight="1" x14ac:dyDescent="0.25">
      <c r="A248"/>
      <c r="B248"/>
      <c r="C248"/>
      <c r="D248"/>
      <c r="E248"/>
      <c r="F248"/>
      <c r="G248"/>
      <c r="H248"/>
      <c r="I248"/>
      <c r="J248"/>
      <c r="Z248" s="23"/>
    </row>
    <row r="249" spans="1:26" ht="14.45" customHeight="1" x14ac:dyDescent="0.25">
      <c r="A249"/>
      <c r="B249"/>
      <c r="C249"/>
      <c r="D249"/>
      <c r="E249"/>
      <c r="F249"/>
      <c r="G249"/>
      <c r="H249"/>
      <c r="I249"/>
      <c r="J249"/>
      <c r="Z249" s="23"/>
    </row>
    <row r="250" spans="1:26" ht="14.45" customHeight="1" x14ac:dyDescent="0.25">
      <c r="A250"/>
      <c r="B250"/>
      <c r="C250"/>
      <c r="D250"/>
      <c r="E250"/>
      <c r="F250"/>
      <c r="G250"/>
      <c r="H250"/>
      <c r="I250"/>
      <c r="J250"/>
      <c r="Z250" s="23"/>
    </row>
    <row r="251" spans="1:26" ht="14.45" customHeight="1" x14ac:dyDescent="0.25">
      <c r="A251"/>
      <c r="B251"/>
      <c r="C251"/>
      <c r="D251"/>
      <c r="E251"/>
      <c r="F251"/>
      <c r="G251"/>
      <c r="H251"/>
      <c r="I251"/>
      <c r="J251"/>
      <c r="Z251" s="23"/>
    </row>
    <row r="252" spans="1:26" ht="14.45" customHeight="1" x14ac:dyDescent="0.25">
      <c r="A252"/>
      <c r="B252"/>
      <c r="C252"/>
      <c r="D252"/>
      <c r="E252"/>
      <c r="F252"/>
      <c r="G252"/>
      <c r="H252"/>
      <c r="I252"/>
      <c r="J252"/>
      <c r="Z252" s="23"/>
    </row>
    <row r="253" spans="1:26" ht="14.45" customHeight="1" x14ac:dyDescent="0.25">
      <c r="A253"/>
      <c r="B253"/>
      <c r="C253"/>
      <c r="D253"/>
      <c r="E253"/>
      <c r="F253"/>
      <c r="G253"/>
      <c r="H253"/>
      <c r="I253"/>
      <c r="J253"/>
      <c r="Z253" s="23"/>
    </row>
    <row r="254" spans="1:26" ht="14.45" customHeight="1" x14ac:dyDescent="0.25">
      <c r="A254"/>
      <c r="B254"/>
      <c r="C254"/>
      <c r="D254"/>
      <c r="E254"/>
      <c r="F254"/>
      <c r="G254"/>
      <c r="H254"/>
      <c r="I254"/>
      <c r="J254"/>
      <c r="Z254" s="23"/>
    </row>
    <row r="255" spans="1:26" ht="14.45" customHeight="1" x14ac:dyDescent="0.25">
      <c r="A255"/>
      <c r="B255"/>
      <c r="C255"/>
      <c r="D255"/>
      <c r="E255"/>
      <c r="F255"/>
      <c r="G255"/>
      <c r="H255"/>
      <c r="I255"/>
      <c r="J255"/>
      <c r="Z255" s="23"/>
    </row>
    <row r="256" spans="1:26" ht="14.45" customHeight="1" x14ac:dyDescent="0.25">
      <c r="A256"/>
      <c r="B256"/>
      <c r="C256"/>
      <c r="D256"/>
      <c r="E256"/>
      <c r="F256"/>
      <c r="G256"/>
      <c r="H256"/>
      <c r="I256"/>
      <c r="J256"/>
      <c r="Z256" s="23"/>
    </row>
    <row r="257" spans="1:26" ht="14.45" customHeight="1" x14ac:dyDescent="0.25">
      <c r="A257"/>
      <c r="B257"/>
      <c r="C257"/>
      <c r="D257"/>
      <c r="E257"/>
      <c r="F257"/>
      <c r="G257"/>
      <c r="H257"/>
      <c r="I257"/>
      <c r="J257"/>
      <c r="Z257" s="23"/>
    </row>
    <row r="258" spans="1:26" ht="14.45" customHeight="1" x14ac:dyDescent="0.25">
      <c r="A258"/>
      <c r="B258"/>
      <c r="C258"/>
      <c r="D258"/>
      <c r="E258"/>
      <c r="F258"/>
      <c r="G258"/>
      <c r="H258"/>
      <c r="I258"/>
      <c r="J258"/>
      <c r="Z258" s="23"/>
    </row>
    <row r="259" spans="1:26" ht="14.45" customHeight="1" x14ac:dyDescent="0.25">
      <c r="A259"/>
      <c r="B259"/>
      <c r="C259"/>
      <c r="D259"/>
      <c r="E259"/>
      <c r="F259"/>
      <c r="G259"/>
      <c r="H259"/>
      <c r="I259"/>
      <c r="J259"/>
      <c r="Z259" s="23"/>
    </row>
    <row r="260" spans="1:26" ht="14.45" customHeight="1" x14ac:dyDescent="0.25">
      <c r="A260"/>
      <c r="B260"/>
      <c r="C260"/>
      <c r="D260"/>
      <c r="E260"/>
      <c r="F260"/>
      <c r="G260"/>
      <c r="H260"/>
      <c r="I260"/>
      <c r="J260"/>
      <c r="Z260" s="23"/>
    </row>
    <row r="261" spans="1:26" ht="14.45" customHeight="1" x14ac:dyDescent="0.25">
      <c r="A261"/>
      <c r="B261"/>
      <c r="C261"/>
      <c r="D261"/>
      <c r="E261"/>
      <c r="F261"/>
      <c r="G261"/>
      <c r="H261"/>
      <c r="I261"/>
      <c r="J261"/>
      <c r="Z261" s="23"/>
    </row>
    <row r="262" spans="1:26" ht="14.45" customHeight="1" x14ac:dyDescent="0.25">
      <c r="A262"/>
      <c r="B262"/>
      <c r="C262"/>
      <c r="D262"/>
      <c r="E262"/>
      <c r="F262"/>
      <c r="G262"/>
      <c r="H262"/>
      <c r="I262"/>
      <c r="J262"/>
      <c r="Z262" s="23"/>
    </row>
    <row r="263" spans="1:26" ht="14.45" customHeight="1" x14ac:dyDescent="0.25">
      <c r="A263"/>
      <c r="B263"/>
      <c r="C263"/>
      <c r="D263"/>
      <c r="E263"/>
      <c r="F263"/>
      <c r="G263"/>
      <c r="H263"/>
      <c r="I263"/>
      <c r="J263"/>
      <c r="Z263" s="23"/>
    </row>
    <row r="264" spans="1:26" ht="14.45" customHeight="1" x14ac:dyDescent="0.25">
      <c r="A264"/>
      <c r="B264"/>
      <c r="C264"/>
      <c r="D264"/>
      <c r="E264"/>
      <c r="F264"/>
      <c r="G264"/>
      <c r="H264"/>
      <c r="I264"/>
      <c r="J264"/>
      <c r="Z264" s="23"/>
    </row>
    <row r="265" spans="1:26" ht="14.45" customHeight="1" x14ac:dyDescent="0.25">
      <c r="A265"/>
      <c r="B265"/>
      <c r="C265"/>
      <c r="D265"/>
      <c r="E265"/>
      <c r="F265"/>
      <c r="G265"/>
      <c r="H265"/>
      <c r="I265"/>
      <c r="J265"/>
      <c r="Z265" s="23"/>
    </row>
    <row r="266" spans="1:26" ht="14.45" customHeight="1" x14ac:dyDescent="0.25">
      <c r="A266"/>
      <c r="B266"/>
      <c r="C266"/>
      <c r="D266"/>
      <c r="E266"/>
      <c r="F266"/>
      <c r="G266"/>
      <c r="H266"/>
      <c r="I266"/>
      <c r="J266"/>
      <c r="Z266" s="23"/>
    </row>
    <row r="267" spans="1:26" ht="14.45" customHeight="1" x14ac:dyDescent="0.25">
      <c r="A267"/>
      <c r="B267"/>
      <c r="C267"/>
      <c r="D267"/>
      <c r="E267"/>
      <c r="F267"/>
      <c r="G267"/>
      <c r="H267"/>
      <c r="I267"/>
      <c r="J267"/>
      <c r="Z267" s="23"/>
    </row>
    <row r="268" spans="1:26" ht="14.45" customHeight="1" x14ac:dyDescent="0.25">
      <c r="A268"/>
      <c r="B268"/>
      <c r="C268"/>
      <c r="D268"/>
      <c r="E268"/>
      <c r="F268"/>
      <c r="G268"/>
      <c r="H268"/>
      <c r="I268"/>
      <c r="J268"/>
      <c r="Z268" s="23"/>
    </row>
    <row r="269" spans="1:26" ht="14.45" customHeight="1" x14ac:dyDescent="0.25">
      <c r="A269"/>
      <c r="B269"/>
      <c r="C269"/>
      <c r="D269"/>
      <c r="E269"/>
      <c r="F269"/>
      <c r="G269"/>
      <c r="H269"/>
      <c r="I269"/>
      <c r="J269"/>
      <c r="Z269" s="23"/>
    </row>
    <row r="270" spans="1:26" ht="14.45" customHeight="1" x14ac:dyDescent="0.25">
      <c r="A270"/>
      <c r="B270"/>
      <c r="C270"/>
      <c r="D270"/>
      <c r="E270"/>
      <c r="F270"/>
      <c r="G270"/>
      <c r="H270"/>
      <c r="I270"/>
      <c r="J270"/>
      <c r="Z270" s="23"/>
    </row>
    <row r="271" spans="1:26" ht="14.45" customHeight="1" x14ac:dyDescent="0.25">
      <c r="A271"/>
      <c r="B271"/>
      <c r="C271"/>
      <c r="D271"/>
      <c r="E271"/>
      <c r="F271"/>
      <c r="G271"/>
      <c r="H271"/>
      <c r="I271"/>
      <c r="J271"/>
      <c r="Z271" s="23"/>
    </row>
    <row r="272" spans="1:26" ht="14.45" customHeight="1" x14ac:dyDescent="0.25">
      <c r="A272"/>
      <c r="B272"/>
      <c r="C272"/>
      <c r="D272"/>
      <c r="E272"/>
      <c r="F272"/>
      <c r="G272"/>
      <c r="H272"/>
      <c r="I272"/>
      <c r="J272"/>
      <c r="Z272" s="23"/>
    </row>
    <row r="273" spans="1:26" ht="14.45" customHeight="1" x14ac:dyDescent="0.25">
      <c r="A273"/>
      <c r="B273"/>
      <c r="C273"/>
      <c r="D273"/>
      <c r="E273"/>
      <c r="F273"/>
      <c r="G273"/>
      <c r="H273"/>
      <c r="I273"/>
      <c r="J273"/>
      <c r="Z273" s="23"/>
    </row>
    <row r="274" spans="1:26" ht="14.45" customHeight="1" x14ac:dyDescent="0.25">
      <c r="A274"/>
      <c r="B274"/>
      <c r="C274"/>
      <c r="D274"/>
      <c r="E274"/>
      <c r="F274"/>
      <c r="G274"/>
      <c r="H274"/>
      <c r="I274"/>
      <c r="J274"/>
      <c r="Z274" s="23"/>
    </row>
    <row r="275" spans="1:26" ht="14.45" customHeight="1" x14ac:dyDescent="0.25">
      <c r="A275"/>
      <c r="B275"/>
      <c r="C275"/>
      <c r="D275"/>
      <c r="E275"/>
      <c r="F275"/>
      <c r="G275"/>
      <c r="H275"/>
      <c r="I275"/>
      <c r="J275"/>
      <c r="Z275" s="23"/>
    </row>
    <row r="276" spans="1:26" ht="14.45" customHeight="1" x14ac:dyDescent="0.25">
      <c r="A276"/>
      <c r="B276"/>
      <c r="C276"/>
      <c r="D276"/>
      <c r="E276"/>
      <c r="F276"/>
      <c r="G276"/>
      <c r="H276"/>
      <c r="I276"/>
      <c r="J276"/>
      <c r="Z276" s="23"/>
    </row>
    <row r="277" spans="1:26" ht="14.45" customHeight="1" x14ac:dyDescent="0.25">
      <c r="A277"/>
      <c r="B277"/>
      <c r="C277"/>
      <c r="D277"/>
      <c r="E277"/>
      <c r="F277"/>
      <c r="G277"/>
      <c r="H277"/>
      <c r="I277"/>
      <c r="J277"/>
      <c r="Z277" s="23"/>
    </row>
    <row r="278" spans="1:26" ht="14.45" customHeight="1" x14ac:dyDescent="0.25">
      <c r="A278"/>
      <c r="B278"/>
      <c r="C278"/>
      <c r="D278"/>
      <c r="E278"/>
      <c r="F278"/>
      <c r="G278"/>
      <c r="H278"/>
      <c r="I278"/>
      <c r="J278"/>
      <c r="Z278" s="23"/>
    </row>
    <row r="279" spans="1:26" ht="14.45" customHeight="1" x14ac:dyDescent="0.25">
      <c r="A279"/>
      <c r="B279"/>
      <c r="C279"/>
      <c r="D279"/>
      <c r="E279"/>
      <c r="F279"/>
      <c r="G279"/>
      <c r="H279"/>
      <c r="I279"/>
      <c r="J279"/>
      <c r="Z279" s="23"/>
    </row>
    <row r="280" spans="1:26" ht="14.45" customHeight="1" x14ac:dyDescent="0.25">
      <c r="A280"/>
      <c r="B280"/>
      <c r="C280"/>
      <c r="D280"/>
      <c r="E280"/>
      <c r="F280"/>
      <c r="G280"/>
      <c r="H280"/>
      <c r="I280"/>
      <c r="J280"/>
      <c r="Z280" s="23"/>
    </row>
    <row r="281" spans="1:26" ht="14.45" customHeight="1" x14ac:dyDescent="0.25">
      <c r="A281"/>
      <c r="B281"/>
      <c r="C281"/>
      <c r="D281"/>
      <c r="E281"/>
      <c r="F281"/>
      <c r="G281"/>
      <c r="H281"/>
      <c r="I281"/>
      <c r="J281"/>
      <c r="Z281" s="23"/>
    </row>
    <row r="282" spans="1:26" ht="14.45" customHeight="1" x14ac:dyDescent="0.25">
      <c r="A282"/>
      <c r="B282"/>
      <c r="C282"/>
      <c r="D282"/>
      <c r="E282"/>
      <c r="F282"/>
      <c r="G282"/>
      <c r="H282"/>
      <c r="I282"/>
      <c r="J282"/>
      <c r="Z282" s="23"/>
    </row>
    <row r="283" spans="1:26" ht="14.45" customHeight="1" x14ac:dyDescent="0.25">
      <c r="A283"/>
      <c r="B283"/>
      <c r="C283"/>
      <c r="D283"/>
      <c r="E283"/>
      <c r="F283"/>
      <c r="G283"/>
      <c r="H283"/>
      <c r="I283"/>
      <c r="J283"/>
      <c r="Z283" s="23"/>
    </row>
    <row r="284" spans="1:26" ht="14.45" customHeight="1" x14ac:dyDescent="0.25">
      <c r="A284"/>
      <c r="B284"/>
      <c r="C284"/>
      <c r="D284"/>
      <c r="E284"/>
      <c r="F284"/>
      <c r="G284"/>
      <c r="H284"/>
      <c r="I284"/>
      <c r="J284"/>
      <c r="Z284" s="23"/>
    </row>
    <row r="285" spans="1:26" ht="14.45" customHeight="1" x14ac:dyDescent="0.25">
      <c r="A285"/>
      <c r="B285"/>
      <c r="C285"/>
      <c r="D285"/>
      <c r="E285"/>
      <c r="F285"/>
      <c r="G285"/>
      <c r="H285"/>
      <c r="I285"/>
      <c r="J285"/>
      <c r="Z285" s="23"/>
    </row>
    <row r="286" spans="1:26" ht="14.45" customHeight="1" x14ac:dyDescent="0.25">
      <c r="A286"/>
      <c r="B286"/>
      <c r="C286"/>
      <c r="D286"/>
      <c r="E286"/>
      <c r="F286"/>
      <c r="G286"/>
      <c r="H286"/>
      <c r="I286"/>
      <c r="J286"/>
      <c r="Z286" s="23"/>
    </row>
    <row r="287" spans="1:26" ht="14.45" customHeight="1" x14ac:dyDescent="0.25">
      <c r="A287"/>
      <c r="B287"/>
      <c r="C287"/>
      <c r="D287"/>
      <c r="E287"/>
      <c r="F287"/>
      <c r="G287"/>
      <c r="H287"/>
      <c r="I287"/>
      <c r="J287"/>
      <c r="Z287" s="23"/>
    </row>
    <row r="288" spans="1:26" ht="14.45" customHeight="1" x14ac:dyDescent="0.25">
      <c r="A288"/>
      <c r="B288"/>
      <c r="C288"/>
      <c r="D288"/>
      <c r="E288"/>
      <c r="F288"/>
      <c r="G288"/>
      <c r="H288"/>
      <c r="I288"/>
      <c r="J288"/>
      <c r="Z288" s="23"/>
    </row>
    <row r="289" spans="1:26" ht="14.45" customHeight="1" x14ac:dyDescent="0.25">
      <c r="A289"/>
      <c r="B289"/>
      <c r="C289"/>
      <c r="D289"/>
      <c r="E289"/>
      <c r="F289"/>
      <c r="G289"/>
      <c r="H289"/>
      <c r="I289"/>
      <c r="J289"/>
      <c r="Z289" s="23"/>
    </row>
    <row r="290" spans="1:26" ht="14.45" customHeight="1" x14ac:dyDescent="0.25">
      <c r="A290"/>
      <c r="B290"/>
      <c r="C290"/>
      <c r="D290"/>
      <c r="E290"/>
      <c r="F290"/>
      <c r="G290"/>
      <c r="H290"/>
      <c r="I290"/>
      <c r="J290"/>
      <c r="Z290" s="23"/>
    </row>
    <row r="291" spans="1:26" ht="14.45" customHeight="1" x14ac:dyDescent="0.25">
      <c r="A291"/>
      <c r="B291"/>
      <c r="C291"/>
      <c r="D291"/>
      <c r="E291"/>
      <c r="F291"/>
      <c r="G291"/>
      <c r="H291"/>
      <c r="I291"/>
      <c r="J291"/>
      <c r="Z291" s="23"/>
    </row>
    <row r="292" spans="1:26" ht="14.45" customHeight="1" x14ac:dyDescent="0.25">
      <c r="A292"/>
      <c r="B292"/>
      <c r="C292"/>
      <c r="D292"/>
      <c r="E292"/>
      <c r="F292"/>
      <c r="G292"/>
      <c r="H292"/>
      <c r="I292"/>
      <c r="J292"/>
      <c r="Z292" s="23"/>
    </row>
    <row r="293" spans="1:26" ht="14.45" customHeight="1" x14ac:dyDescent="0.25">
      <c r="A293"/>
      <c r="B293"/>
      <c r="C293"/>
      <c r="D293"/>
      <c r="E293"/>
      <c r="F293"/>
      <c r="G293"/>
      <c r="H293"/>
      <c r="I293"/>
      <c r="J293"/>
      <c r="Z293" s="23"/>
    </row>
    <row r="294" spans="1:26" ht="14.45" customHeight="1" x14ac:dyDescent="0.25">
      <c r="A294"/>
      <c r="B294"/>
      <c r="C294"/>
      <c r="D294"/>
      <c r="E294"/>
      <c r="F294"/>
      <c r="G294"/>
      <c r="H294"/>
      <c r="I294"/>
      <c r="J294"/>
      <c r="Z294" s="23"/>
    </row>
    <row r="295" spans="1:26" ht="14.45" customHeight="1" x14ac:dyDescent="0.25">
      <c r="A295"/>
      <c r="B295"/>
      <c r="C295"/>
      <c r="D295"/>
      <c r="E295"/>
      <c r="F295"/>
      <c r="G295"/>
      <c r="H295"/>
      <c r="I295"/>
      <c r="J295"/>
      <c r="Z295" s="23"/>
    </row>
    <row r="296" spans="1:26" ht="14.45" customHeight="1" x14ac:dyDescent="0.25">
      <c r="A296"/>
      <c r="B296"/>
      <c r="C296"/>
      <c r="D296"/>
      <c r="E296"/>
      <c r="F296"/>
      <c r="G296"/>
      <c r="H296"/>
      <c r="I296"/>
      <c r="J296"/>
      <c r="Z296" s="23"/>
    </row>
    <row r="297" spans="1:26" ht="14.45" customHeight="1" x14ac:dyDescent="0.25">
      <c r="A297"/>
      <c r="B297"/>
      <c r="C297"/>
      <c r="D297"/>
      <c r="E297"/>
      <c r="F297"/>
      <c r="G297"/>
      <c r="H297"/>
      <c r="I297"/>
      <c r="J297"/>
      <c r="Z297" s="23"/>
    </row>
    <row r="298" spans="1:26" ht="14.45" customHeight="1" x14ac:dyDescent="0.25">
      <c r="A298"/>
      <c r="B298"/>
      <c r="C298"/>
      <c r="D298"/>
      <c r="E298"/>
      <c r="F298"/>
      <c r="G298"/>
      <c r="H298"/>
      <c r="I298"/>
      <c r="J298"/>
      <c r="Z298" s="23"/>
    </row>
    <row r="299" spans="1:26" ht="14.45" customHeight="1" x14ac:dyDescent="0.25">
      <c r="A299"/>
      <c r="B299"/>
      <c r="C299"/>
      <c r="D299"/>
      <c r="E299"/>
      <c r="F299"/>
      <c r="G299"/>
      <c r="H299"/>
      <c r="I299"/>
      <c r="J299"/>
      <c r="Z299" s="23"/>
    </row>
    <row r="300" spans="1:26" ht="14.45" customHeight="1" x14ac:dyDescent="0.25">
      <c r="A300"/>
      <c r="B300"/>
      <c r="C300"/>
      <c r="D300"/>
      <c r="E300"/>
      <c r="F300"/>
      <c r="G300"/>
      <c r="H300"/>
      <c r="I300"/>
      <c r="J300"/>
      <c r="Z300" s="23"/>
    </row>
    <row r="301" spans="1:26" ht="14.45" customHeight="1" x14ac:dyDescent="0.25">
      <c r="A301"/>
      <c r="B301"/>
      <c r="C301"/>
      <c r="D301"/>
      <c r="E301"/>
      <c r="F301"/>
      <c r="G301"/>
      <c r="H301"/>
      <c r="I301"/>
      <c r="J301"/>
      <c r="Z301" s="23"/>
    </row>
    <row r="302" spans="1:26" ht="14.45" customHeight="1" x14ac:dyDescent="0.25">
      <c r="A302"/>
      <c r="B302"/>
      <c r="C302"/>
      <c r="D302"/>
      <c r="E302"/>
      <c r="F302"/>
      <c r="G302"/>
      <c r="H302"/>
      <c r="I302"/>
      <c r="J302"/>
      <c r="Z302" s="23"/>
    </row>
    <row r="303" spans="1:26" ht="14.45" customHeight="1" x14ac:dyDescent="0.25">
      <c r="A303"/>
      <c r="B303"/>
      <c r="C303"/>
      <c r="D303"/>
      <c r="E303"/>
      <c r="F303"/>
      <c r="G303"/>
      <c r="H303"/>
      <c r="I303"/>
      <c r="J303"/>
      <c r="Z303" s="23"/>
    </row>
    <row r="304" spans="1:26" ht="14.45" customHeight="1" x14ac:dyDescent="0.25">
      <c r="A304"/>
      <c r="B304"/>
      <c r="C304"/>
      <c r="D304"/>
      <c r="E304"/>
      <c r="F304"/>
      <c r="G304"/>
      <c r="H304"/>
      <c r="I304"/>
      <c r="J304"/>
      <c r="Z304" s="23"/>
    </row>
    <row r="305" spans="1:26" ht="14.45" customHeight="1" x14ac:dyDescent="0.25">
      <c r="A305"/>
      <c r="B305"/>
      <c r="C305"/>
      <c r="D305"/>
      <c r="E305"/>
      <c r="F305"/>
      <c r="G305"/>
      <c r="H305"/>
      <c r="I305"/>
      <c r="J305"/>
      <c r="Z305" s="23"/>
    </row>
    <row r="306" spans="1:26" ht="14.45" customHeight="1" x14ac:dyDescent="0.25">
      <c r="A306"/>
      <c r="B306"/>
      <c r="C306"/>
      <c r="D306"/>
      <c r="E306"/>
      <c r="F306"/>
      <c r="G306"/>
      <c r="H306"/>
      <c r="I306"/>
      <c r="J306"/>
      <c r="Z306" s="23"/>
    </row>
    <row r="307" spans="1:26" ht="14.45" customHeight="1" x14ac:dyDescent="0.25">
      <c r="A307"/>
      <c r="B307"/>
      <c r="C307"/>
      <c r="D307"/>
      <c r="E307"/>
      <c r="F307"/>
      <c r="G307"/>
      <c r="H307"/>
      <c r="I307"/>
      <c r="J307"/>
      <c r="Z307" s="23"/>
    </row>
    <row r="308" spans="1:26" ht="14.45" customHeight="1" x14ac:dyDescent="0.25">
      <c r="A308"/>
      <c r="B308"/>
      <c r="C308"/>
      <c r="D308"/>
      <c r="E308"/>
      <c r="F308"/>
      <c r="G308"/>
      <c r="H308"/>
      <c r="I308"/>
      <c r="J308"/>
      <c r="Z308" s="23"/>
    </row>
    <row r="309" spans="1:26" ht="14.45" customHeight="1" x14ac:dyDescent="0.25">
      <c r="A309"/>
      <c r="B309"/>
      <c r="C309"/>
      <c r="D309"/>
      <c r="E309"/>
      <c r="F309"/>
      <c r="G309"/>
      <c r="H309"/>
      <c r="I309"/>
      <c r="J309"/>
      <c r="Z309" s="23"/>
    </row>
    <row r="310" spans="1:26" ht="14.45" customHeight="1" x14ac:dyDescent="0.25">
      <c r="A310"/>
      <c r="B310"/>
      <c r="C310"/>
      <c r="D310"/>
      <c r="E310"/>
      <c r="F310"/>
      <c r="G310"/>
      <c r="H310"/>
      <c r="I310"/>
      <c r="J310"/>
      <c r="Z310" s="23"/>
    </row>
    <row r="311" spans="1:26" ht="14.45" customHeight="1" x14ac:dyDescent="0.25">
      <c r="A311"/>
      <c r="B311"/>
      <c r="C311"/>
      <c r="D311"/>
      <c r="E311"/>
      <c r="F311"/>
      <c r="G311"/>
      <c r="H311"/>
      <c r="I311"/>
      <c r="J311"/>
      <c r="Z311" s="23"/>
    </row>
    <row r="312" spans="1:26" ht="14.45" customHeight="1" x14ac:dyDescent="0.25">
      <c r="A312"/>
      <c r="B312"/>
      <c r="C312"/>
      <c r="D312"/>
      <c r="E312"/>
      <c r="F312"/>
      <c r="G312"/>
      <c r="H312"/>
      <c r="I312"/>
      <c r="J312"/>
      <c r="Z312" s="23"/>
    </row>
    <row r="313" spans="1:26" ht="14.45" customHeight="1" x14ac:dyDescent="0.25">
      <c r="A313"/>
      <c r="B313"/>
      <c r="C313"/>
      <c r="D313"/>
      <c r="E313"/>
      <c r="F313"/>
      <c r="G313"/>
      <c r="H313"/>
      <c r="I313"/>
      <c r="J313"/>
      <c r="Z313" s="23"/>
    </row>
    <row r="314" spans="1:26" ht="14.45" customHeight="1" x14ac:dyDescent="0.25">
      <c r="A314"/>
      <c r="B314"/>
      <c r="C314"/>
      <c r="D314"/>
      <c r="E314"/>
      <c r="F314"/>
      <c r="G314"/>
      <c r="H314"/>
      <c r="I314"/>
      <c r="J314"/>
      <c r="Z314" s="23"/>
    </row>
    <row r="315" spans="1:26" ht="14.45" customHeight="1" x14ac:dyDescent="0.25">
      <c r="A315"/>
      <c r="B315"/>
      <c r="C315"/>
      <c r="D315"/>
      <c r="E315"/>
      <c r="F315"/>
      <c r="G315"/>
      <c r="H315"/>
      <c r="I315"/>
      <c r="J315"/>
      <c r="Z315" s="23"/>
    </row>
    <row r="316" spans="1:26" ht="14.45" customHeight="1" x14ac:dyDescent="0.25">
      <c r="A316"/>
      <c r="B316"/>
      <c r="C316"/>
      <c r="D316"/>
      <c r="E316"/>
      <c r="F316"/>
      <c r="G316"/>
      <c r="H316"/>
      <c r="I316"/>
      <c r="J316"/>
      <c r="Z316" s="23"/>
    </row>
    <row r="317" spans="1:26" ht="14.45" customHeight="1" x14ac:dyDescent="0.25">
      <c r="A317"/>
      <c r="B317"/>
      <c r="C317"/>
      <c r="D317"/>
      <c r="E317"/>
      <c r="F317"/>
      <c r="G317"/>
      <c r="H317"/>
      <c r="I317"/>
      <c r="J317"/>
      <c r="Z317" s="23"/>
    </row>
    <row r="318" spans="1:26" ht="14.45" customHeight="1" x14ac:dyDescent="0.25">
      <c r="A318"/>
      <c r="B318"/>
      <c r="C318"/>
      <c r="D318"/>
      <c r="E318"/>
      <c r="F318"/>
      <c r="G318"/>
      <c r="H318"/>
      <c r="I318"/>
      <c r="J318"/>
      <c r="Z318" s="23"/>
    </row>
    <row r="319" spans="1:26" ht="14.45" customHeight="1" x14ac:dyDescent="0.25">
      <c r="A319"/>
      <c r="B319"/>
      <c r="C319"/>
      <c r="D319"/>
      <c r="E319"/>
      <c r="F319"/>
      <c r="G319"/>
      <c r="H319"/>
      <c r="I319"/>
      <c r="J319"/>
      <c r="Z319" s="23"/>
    </row>
    <row r="320" spans="1:26" ht="14.45" customHeight="1" x14ac:dyDescent="0.25">
      <c r="A320"/>
      <c r="B320"/>
      <c r="C320"/>
      <c r="D320"/>
      <c r="E320"/>
      <c r="F320"/>
      <c r="G320"/>
      <c r="H320"/>
      <c r="I320"/>
      <c r="J320"/>
      <c r="Z320" s="23"/>
    </row>
    <row r="321" spans="1:26" ht="14.45" customHeight="1" x14ac:dyDescent="0.25">
      <c r="A321"/>
      <c r="B321"/>
      <c r="C321"/>
      <c r="D321"/>
      <c r="E321"/>
      <c r="F321"/>
      <c r="G321"/>
      <c r="H321"/>
      <c r="I321"/>
      <c r="J321"/>
      <c r="Z321" s="23"/>
    </row>
    <row r="322" spans="1:26" ht="14.45" customHeight="1" x14ac:dyDescent="0.25">
      <c r="A322"/>
      <c r="B322"/>
      <c r="C322"/>
      <c r="D322"/>
      <c r="E322"/>
      <c r="F322"/>
      <c r="G322"/>
      <c r="H322"/>
      <c r="I322"/>
      <c r="J322"/>
      <c r="Z322" s="23"/>
    </row>
    <row r="323" spans="1:26" ht="14.45" customHeight="1" x14ac:dyDescent="0.25">
      <c r="A323"/>
      <c r="B323"/>
      <c r="C323"/>
      <c r="D323"/>
      <c r="E323"/>
      <c r="F323"/>
      <c r="G323"/>
      <c r="H323"/>
      <c r="I323"/>
      <c r="J323"/>
      <c r="Z323" s="23"/>
    </row>
    <row r="324" spans="1:26" ht="14.45" customHeight="1" x14ac:dyDescent="0.25">
      <c r="A324"/>
      <c r="B324"/>
      <c r="C324"/>
      <c r="D324"/>
      <c r="E324"/>
      <c r="F324"/>
      <c r="G324"/>
      <c r="H324"/>
      <c r="I324"/>
      <c r="J324"/>
      <c r="Z324" s="23"/>
    </row>
    <row r="325" spans="1:26" ht="14.45" customHeight="1" x14ac:dyDescent="0.25">
      <c r="A325"/>
      <c r="B325"/>
      <c r="C325"/>
      <c r="D325"/>
      <c r="E325"/>
      <c r="F325"/>
      <c r="G325"/>
      <c r="H325"/>
      <c r="I325"/>
      <c r="J325"/>
      <c r="Z325" s="23"/>
    </row>
    <row r="326" spans="1:26" ht="14.45" customHeight="1" x14ac:dyDescent="0.25">
      <c r="A326"/>
      <c r="B326"/>
      <c r="C326"/>
      <c r="D326"/>
      <c r="E326"/>
      <c r="F326"/>
      <c r="G326"/>
      <c r="H326"/>
      <c r="I326"/>
      <c r="J326"/>
      <c r="Z326" s="23"/>
    </row>
    <row r="327" spans="1:26" ht="14.45" customHeight="1" x14ac:dyDescent="0.25">
      <c r="A327"/>
      <c r="B327"/>
      <c r="C327"/>
      <c r="D327"/>
      <c r="E327"/>
      <c r="F327"/>
      <c r="G327"/>
      <c r="H327"/>
      <c r="I327"/>
      <c r="J327"/>
      <c r="Z327" s="23"/>
    </row>
    <row r="328" spans="1:26" ht="14.45" customHeight="1" x14ac:dyDescent="0.25">
      <c r="A328"/>
      <c r="B328"/>
      <c r="C328"/>
      <c r="D328"/>
      <c r="E328"/>
      <c r="F328"/>
      <c r="G328"/>
      <c r="H328"/>
      <c r="I328"/>
      <c r="J328"/>
      <c r="Z328" s="23"/>
    </row>
    <row r="329" spans="1:26" ht="14.45" customHeight="1" x14ac:dyDescent="0.25">
      <c r="A329"/>
      <c r="B329"/>
      <c r="C329"/>
      <c r="D329"/>
      <c r="E329"/>
      <c r="F329"/>
      <c r="G329"/>
      <c r="H329"/>
      <c r="I329"/>
      <c r="J329"/>
      <c r="Z329" s="23"/>
    </row>
    <row r="330" spans="1:26" ht="14.45" customHeight="1" x14ac:dyDescent="0.25">
      <c r="A330"/>
      <c r="B330"/>
      <c r="C330"/>
      <c r="D330"/>
      <c r="E330"/>
      <c r="F330"/>
      <c r="G330"/>
      <c r="H330"/>
      <c r="I330"/>
      <c r="J330"/>
      <c r="Z330" s="23"/>
    </row>
    <row r="331" spans="1:26" ht="14.45" customHeight="1" x14ac:dyDescent="0.25">
      <c r="A331"/>
      <c r="B331"/>
      <c r="C331"/>
      <c r="D331"/>
      <c r="E331"/>
      <c r="F331"/>
      <c r="G331"/>
      <c r="H331"/>
      <c r="I331"/>
      <c r="J331"/>
      <c r="Z331" s="23"/>
    </row>
    <row r="332" spans="1:26" ht="14.45" customHeight="1" x14ac:dyDescent="0.25">
      <c r="A332"/>
      <c r="B332"/>
      <c r="C332"/>
      <c r="D332"/>
      <c r="E332"/>
      <c r="F332"/>
      <c r="G332"/>
      <c r="H332"/>
      <c r="I332"/>
      <c r="J332"/>
      <c r="Z332" s="23"/>
    </row>
    <row r="333" spans="1:26" ht="14.45" customHeight="1" x14ac:dyDescent="0.25">
      <c r="A333"/>
      <c r="B333"/>
      <c r="C333"/>
      <c r="D333"/>
      <c r="E333"/>
      <c r="F333"/>
      <c r="G333"/>
      <c r="H333"/>
      <c r="I333"/>
      <c r="J333"/>
      <c r="Z333" s="23"/>
    </row>
    <row r="334" spans="1:26" ht="14.45" customHeight="1" x14ac:dyDescent="0.25">
      <c r="A334"/>
      <c r="B334"/>
      <c r="C334"/>
      <c r="D334"/>
      <c r="E334"/>
      <c r="F334"/>
      <c r="G334"/>
      <c r="H334"/>
      <c r="I334"/>
      <c r="J334"/>
      <c r="Z334" s="23"/>
    </row>
    <row r="335" spans="1:26" ht="14.45" customHeight="1" x14ac:dyDescent="0.25">
      <c r="A335"/>
      <c r="B335"/>
      <c r="C335"/>
      <c r="D335"/>
      <c r="E335"/>
      <c r="F335"/>
      <c r="G335"/>
      <c r="H335"/>
      <c r="I335"/>
      <c r="J335"/>
      <c r="Z335" s="23"/>
    </row>
    <row r="336" spans="1:26" ht="14.45" customHeight="1" x14ac:dyDescent="0.25">
      <c r="A336"/>
      <c r="B336"/>
      <c r="C336"/>
      <c r="D336"/>
      <c r="E336"/>
      <c r="F336"/>
      <c r="G336"/>
      <c r="H336"/>
      <c r="I336"/>
      <c r="J336"/>
      <c r="Z336" s="23"/>
    </row>
    <row r="337" spans="1:26" ht="14.45" customHeight="1" x14ac:dyDescent="0.25">
      <c r="A337"/>
      <c r="B337"/>
      <c r="C337"/>
      <c r="D337"/>
      <c r="E337"/>
      <c r="F337"/>
      <c r="G337"/>
      <c r="H337"/>
      <c r="I337"/>
      <c r="J337"/>
      <c r="Z337" s="23"/>
    </row>
    <row r="338" spans="1:26" ht="14.45" customHeight="1" x14ac:dyDescent="0.25">
      <c r="A338"/>
      <c r="B338"/>
      <c r="C338"/>
      <c r="D338"/>
      <c r="E338"/>
      <c r="F338"/>
      <c r="G338"/>
      <c r="H338"/>
      <c r="I338"/>
      <c r="J338"/>
      <c r="Z338" s="23"/>
    </row>
    <row r="339" spans="1:26" ht="14.45" customHeight="1" x14ac:dyDescent="0.25">
      <c r="A339"/>
      <c r="B339"/>
      <c r="C339"/>
      <c r="D339"/>
      <c r="E339"/>
      <c r="F339"/>
      <c r="G339"/>
      <c r="H339"/>
      <c r="I339"/>
      <c r="J339"/>
      <c r="Z339" s="23"/>
    </row>
    <row r="340" spans="1:26" ht="14.45" customHeight="1" x14ac:dyDescent="0.25">
      <c r="A340"/>
      <c r="B340"/>
      <c r="C340"/>
      <c r="D340"/>
      <c r="E340"/>
      <c r="F340"/>
      <c r="G340"/>
      <c r="H340"/>
      <c r="I340"/>
      <c r="J340"/>
      <c r="Z340" s="23"/>
    </row>
    <row r="341" spans="1:26" ht="14.45" customHeight="1" x14ac:dyDescent="0.25">
      <c r="A341"/>
      <c r="B341"/>
      <c r="C341"/>
      <c r="D341"/>
      <c r="E341"/>
      <c r="F341"/>
      <c r="G341"/>
      <c r="H341"/>
      <c r="I341"/>
      <c r="J341"/>
      <c r="Z341" s="23"/>
    </row>
    <row r="342" spans="1:26" ht="14.45" customHeight="1" x14ac:dyDescent="0.25">
      <c r="A342"/>
      <c r="B342"/>
      <c r="C342"/>
      <c r="D342"/>
      <c r="E342"/>
      <c r="F342"/>
      <c r="G342"/>
      <c r="H342"/>
      <c r="I342"/>
      <c r="J342"/>
      <c r="Z342" s="23"/>
    </row>
    <row r="343" spans="1:26" ht="14.45" customHeight="1" x14ac:dyDescent="0.25">
      <c r="A343"/>
      <c r="B343"/>
      <c r="C343"/>
      <c r="D343"/>
      <c r="E343"/>
      <c r="F343"/>
      <c r="G343"/>
      <c r="H343"/>
      <c r="I343"/>
      <c r="J343"/>
      <c r="Z343" s="23"/>
    </row>
    <row r="344" spans="1:26" ht="14.45" customHeight="1" x14ac:dyDescent="0.25">
      <c r="A344"/>
      <c r="B344"/>
      <c r="C344"/>
      <c r="D344"/>
      <c r="E344"/>
      <c r="F344"/>
      <c r="G344"/>
      <c r="H344"/>
      <c r="I344"/>
      <c r="J344"/>
      <c r="Z344" s="23"/>
    </row>
    <row r="345" spans="1:26" ht="14.45" customHeight="1" x14ac:dyDescent="0.25">
      <c r="A345"/>
      <c r="B345"/>
      <c r="C345"/>
      <c r="D345"/>
      <c r="E345"/>
      <c r="F345"/>
      <c r="G345"/>
      <c r="H345"/>
      <c r="I345"/>
      <c r="J345"/>
      <c r="Z345" s="23"/>
    </row>
    <row r="346" spans="1:26" ht="14.45" customHeight="1" x14ac:dyDescent="0.25">
      <c r="A346"/>
      <c r="B346"/>
      <c r="C346"/>
      <c r="D346"/>
      <c r="E346"/>
      <c r="F346"/>
      <c r="G346"/>
      <c r="H346"/>
      <c r="I346"/>
      <c r="J346"/>
      <c r="Z346" s="23"/>
    </row>
    <row r="347" spans="1:26" ht="14.45" customHeight="1" x14ac:dyDescent="0.25">
      <c r="A347"/>
      <c r="B347"/>
      <c r="C347"/>
      <c r="D347"/>
      <c r="E347"/>
      <c r="F347"/>
      <c r="G347"/>
      <c r="H347"/>
      <c r="I347"/>
      <c r="J347"/>
      <c r="Z347" s="23"/>
    </row>
    <row r="348" spans="1:26" ht="14.45" customHeight="1" x14ac:dyDescent="0.25">
      <c r="A348"/>
      <c r="B348"/>
      <c r="C348"/>
      <c r="D348"/>
      <c r="E348"/>
      <c r="F348"/>
      <c r="G348"/>
      <c r="H348"/>
      <c r="I348"/>
      <c r="J348"/>
      <c r="Z348" s="23"/>
    </row>
    <row r="349" spans="1:26" ht="14.45" customHeight="1" x14ac:dyDescent="0.25">
      <c r="A349"/>
      <c r="B349"/>
      <c r="C349"/>
      <c r="D349"/>
      <c r="E349"/>
      <c r="F349"/>
      <c r="G349"/>
      <c r="H349"/>
      <c r="I349"/>
      <c r="J349"/>
      <c r="Z349" s="23"/>
    </row>
    <row r="350" spans="1:26" ht="14.45" customHeight="1" x14ac:dyDescent="0.25">
      <c r="A350"/>
      <c r="B350"/>
      <c r="C350"/>
      <c r="D350"/>
      <c r="E350"/>
      <c r="F350"/>
      <c r="G350"/>
      <c r="H350"/>
      <c r="I350"/>
      <c r="J350"/>
      <c r="Z350" s="23"/>
    </row>
    <row r="351" spans="1:26" ht="14.45" customHeight="1" x14ac:dyDescent="0.25">
      <c r="A351"/>
      <c r="B351"/>
      <c r="C351"/>
      <c r="D351"/>
      <c r="E351"/>
      <c r="F351"/>
      <c r="G351"/>
      <c r="H351"/>
      <c r="I351"/>
      <c r="J351"/>
      <c r="Z351" s="23"/>
    </row>
    <row r="352" spans="1:26" ht="14.45" customHeight="1" x14ac:dyDescent="0.25">
      <c r="A352"/>
      <c r="B352"/>
      <c r="C352"/>
      <c r="D352"/>
      <c r="E352"/>
      <c r="F352"/>
      <c r="G352"/>
      <c r="H352"/>
      <c r="I352"/>
      <c r="J352"/>
      <c r="Z352" s="23"/>
    </row>
    <row r="353" spans="1:31" ht="14.45" customHeight="1" x14ac:dyDescent="0.25">
      <c r="A353"/>
      <c r="B353"/>
      <c r="C353"/>
      <c r="D353"/>
      <c r="E353"/>
      <c r="F353"/>
      <c r="G353"/>
      <c r="H353"/>
      <c r="I353"/>
      <c r="J353"/>
      <c r="Z353" s="23"/>
    </row>
    <row r="354" spans="1:31" ht="14.45" customHeight="1" x14ac:dyDescent="0.25">
      <c r="A354"/>
      <c r="B354"/>
      <c r="C354"/>
      <c r="D354"/>
      <c r="E354"/>
      <c r="F354"/>
      <c r="G354"/>
      <c r="H354"/>
      <c r="I354"/>
      <c r="J354"/>
      <c r="Z354" s="23"/>
    </row>
    <row r="355" spans="1:31" ht="14.45" customHeight="1" x14ac:dyDescent="0.25">
      <c r="A355"/>
      <c r="B355"/>
      <c r="C355"/>
      <c r="D355"/>
      <c r="E355"/>
      <c r="F355"/>
      <c r="G355"/>
      <c r="H355"/>
      <c r="I355"/>
      <c r="J355"/>
      <c r="Z355" s="23"/>
    </row>
    <row r="356" spans="1:31" ht="14.45" customHeight="1" x14ac:dyDescent="0.25">
      <c r="A356"/>
      <c r="B356"/>
      <c r="C356"/>
      <c r="D356"/>
      <c r="E356"/>
      <c r="F356"/>
      <c r="G356"/>
      <c r="H356"/>
      <c r="I356"/>
      <c r="J356"/>
      <c r="Z356" s="23"/>
    </row>
    <row r="357" spans="1:31" ht="14.45" customHeight="1" x14ac:dyDescent="0.25">
      <c r="A357"/>
      <c r="B357"/>
      <c r="C357"/>
      <c r="D357"/>
      <c r="E357"/>
      <c r="F357"/>
      <c r="G357"/>
      <c r="H357"/>
      <c r="I357"/>
      <c r="J357"/>
      <c r="Z357" s="23"/>
    </row>
    <row r="358" spans="1:31" ht="14.45" customHeight="1" x14ac:dyDescent="0.25">
      <c r="A358"/>
      <c r="B358"/>
      <c r="C358"/>
      <c r="D358"/>
      <c r="E358"/>
      <c r="F358"/>
      <c r="G358"/>
      <c r="H358"/>
      <c r="I358"/>
      <c r="J358"/>
      <c r="Z358" s="23"/>
    </row>
    <row r="359" spans="1:31" x14ac:dyDescent="0.25">
      <c r="L359" s="27"/>
      <c r="X359" s="27"/>
      <c r="Y359" s="27"/>
      <c r="Z359" s="27"/>
    </row>
    <row r="360" spans="1:31" x14ac:dyDescent="0.25">
      <c r="A360"/>
      <c r="B360"/>
      <c r="C360"/>
      <c r="D360"/>
      <c r="E360"/>
      <c r="F360"/>
      <c r="G360"/>
      <c r="H360"/>
      <c r="I360"/>
      <c r="J360"/>
      <c r="Z360" s="210"/>
      <c r="AA360" s="202" t="str" cm="1">
        <f t="array" ref="AA360:AC360">AA6:AC6</f>
        <v>Pt Froid</v>
      </c>
      <c r="AB360" s="202" t="str">
        <v>Regulation</v>
      </c>
      <c r="AC360" s="202" t="str">
        <v>Pt Chaud</v>
      </c>
    </row>
    <row r="361" spans="1:31" x14ac:dyDescent="0.25">
      <c r="A361"/>
      <c r="B361"/>
      <c r="C361"/>
      <c r="D361"/>
      <c r="E361"/>
      <c r="F361"/>
      <c r="G361"/>
      <c r="H361"/>
      <c r="I361"/>
      <c r="J361"/>
      <c r="Z361" s="198" t="s">
        <v>90</v>
      </c>
      <c r="AA361" s="43">
        <f>MAX(tab_four80[Pt Froid])</f>
        <v>81.900000000000006</v>
      </c>
      <c r="AB361" s="43">
        <f>MAX(tab_four80[Regulation])</f>
        <v>80.7</v>
      </c>
      <c r="AC361" s="43">
        <f>MAX(tab_four80[Pt Chaud])</f>
        <v>82.8</v>
      </c>
    </row>
    <row r="362" spans="1:31" x14ac:dyDescent="0.25">
      <c r="A362"/>
      <c r="B362"/>
      <c r="C362"/>
      <c r="D362"/>
      <c r="E362"/>
      <c r="F362"/>
      <c r="G362"/>
      <c r="H362"/>
      <c r="I362"/>
      <c r="J362"/>
      <c r="Z362" s="198" t="s">
        <v>91</v>
      </c>
      <c r="AA362" s="43">
        <f ca="1">MAX(OFFSET(INDEX(tab_four80[Pt Froid],1),COUNT(tab_four80[Pt Froid])-30,0,30))</f>
        <v>80.2</v>
      </c>
      <c r="AB362" s="43">
        <f ca="1">MAX(OFFSET(INDEX(tab_four80[Regulation],1),COUNT(tab_four80[Regulation])-30,0,30))</f>
        <v>80.099999999999994</v>
      </c>
      <c r="AC362" s="43">
        <f ca="1">MAX(OFFSET(INDEX(tab_four80[Pt Chaud],1),COUNT(tab_four80[Pt Chaud])-30,0,30))</f>
        <v>81.599999999999994</v>
      </c>
    </row>
    <row r="363" spans="1:31" x14ac:dyDescent="0.25">
      <c r="A363"/>
      <c r="B363"/>
      <c r="C363"/>
      <c r="D363"/>
      <c r="E363"/>
      <c r="F363"/>
      <c r="G363"/>
      <c r="H363"/>
      <c r="I363"/>
      <c r="J363"/>
      <c r="Z363" s="198" t="s">
        <v>93</v>
      </c>
      <c r="AA363" s="43">
        <f ca="1">MIN(OFFSET(INDEX(tab_four80[Pt Froid],1),COUNT(tab_four80[Pt Froid])-30,0,30))</f>
        <v>79.900000000000006</v>
      </c>
      <c r="AB363" s="43">
        <f ca="1">MIN(OFFSET(INDEX(tab_four80[Regulation],1),COUNT(tab_four80[Regulation])-30,0,30))</f>
        <v>80</v>
      </c>
      <c r="AC363" s="43">
        <f ca="1">MIN(OFFSET(INDEX(tab_four80[Pt Chaud],1),COUNT(tab_four80[Pt Chaud])-30,0,30))</f>
        <v>81.400000000000006</v>
      </c>
    </row>
    <row r="364" spans="1:31" x14ac:dyDescent="0.25">
      <c r="A364"/>
      <c r="B364"/>
      <c r="C364"/>
      <c r="D364"/>
      <c r="E364"/>
      <c r="F364"/>
      <c r="G364"/>
      <c r="H364"/>
      <c r="I364"/>
      <c r="J364"/>
      <c r="Z364" s="198" t="s">
        <v>95</v>
      </c>
      <c r="AA364" s="43">
        <f ca="1">AVERAGE(OFFSET(INDEX(tab_four80[Pt Froid],1),COUNT(tab_four80[Pt Froid])-30,0,30))</f>
        <v>80.053333333333327</v>
      </c>
      <c r="AB364" s="43">
        <f ca="1">AVERAGE(OFFSET(INDEX(tab_four80[Regulation],1),COUNT(tab_four80[Regulation])-30,0,30))</f>
        <v>80.03</v>
      </c>
      <c r="AC364" s="43">
        <f ca="1">AVERAGE(OFFSET(INDEX(tab_four80[Pt Chaud],1),COUNT(tab_four80[Pt Chaud])-30,0,30))</f>
        <v>81.510000000000005</v>
      </c>
    </row>
    <row r="365" spans="1:31" x14ac:dyDescent="0.25">
      <c r="A365"/>
      <c r="B365"/>
      <c r="C365"/>
      <c r="D365"/>
      <c r="E365"/>
      <c r="F365"/>
      <c r="G365"/>
      <c r="H365"/>
      <c r="I365"/>
      <c r="J365"/>
      <c r="Z365" s="210"/>
    </row>
    <row r="366" spans="1:31" x14ac:dyDescent="0.25">
      <c r="A366"/>
      <c r="B366"/>
      <c r="C366"/>
      <c r="D366"/>
      <c r="E366"/>
      <c r="F366"/>
      <c r="G366"/>
      <c r="H366"/>
      <c r="I366"/>
      <c r="J366"/>
      <c r="Z366" s="210"/>
    </row>
    <row r="367" spans="1:31" s="27" customFormat="1" x14ac:dyDescent="0.25">
      <c r="A367"/>
      <c r="B367"/>
      <c r="C367"/>
      <c r="D367"/>
      <c r="E367"/>
      <c r="F367"/>
      <c r="G367"/>
      <c r="H367"/>
      <c r="I367"/>
      <c r="J367"/>
      <c r="L367"/>
      <c r="M367"/>
      <c r="N367"/>
      <c r="O367"/>
      <c r="P367"/>
      <c r="Q367"/>
      <c r="R367"/>
      <c r="S367"/>
      <c r="T367"/>
      <c r="U367"/>
      <c r="V367"/>
      <c r="X367"/>
      <c r="Y367"/>
      <c r="Z367" s="210"/>
      <c r="AD367"/>
      <c r="AE367"/>
    </row>
    <row r="368" spans="1:31" s="27" customFormat="1" x14ac:dyDescent="0.25">
      <c r="A368"/>
      <c r="B368"/>
      <c r="C368"/>
      <c r="D368"/>
      <c r="E368"/>
      <c r="F368"/>
      <c r="G368"/>
      <c r="H368"/>
      <c r="I368"/>
      <c r="J368"/>
      <c r="L368"/>
      <c r="M368"/>
      <c r="N368"/>
      <c r="O368"/>
      <c r="P368"/>
      <c r="Q368"/>
      <c r="R368"/>
      <c r="S368"/>
      <c r="T368"/>
      <c r="U368"/>
      <c r="V368"/>
      <c r="X368"/>
      <c r="Y368"/>
      <c r="Z368" s="210"/>
      <c r="AD368"/>
      <c r="AE368"/>
    </row>
    <row r="369" spans="1:31" s="27" customFormat="1" x14ac:dyDescent="0.25">
      <c r="A369"/>
      <c r="B369"/>
      <c r="C369"/>
      <c r="D369"/>
      <c r="E369"/>
      <c r="F369"/>
      <c r="G369"/>
      <c r="H369"/>
      <c r="I369"/>
      <c r="J369"/>
      <c r="L369"/>
      <c r="M369"/>
      <c r="N369"/>
      <c r="O369"/>
      <c r="P369"/>
      <c r="Q369"/>
      <c r="R369"/>
      <c r="S369"/>
      <c r="T369"/>
      <c r="U369"/>
      <c r="V369"/>
      <c r="X369"/>
      <c r="Y369"/>
      <c r="Z369" s="210"/>
      <c r="AD369"/>
      <c r="AE369"/>
    </row>
    <row r="370" spans="1:31" s="27" customFormat="1" x14ac:dyDescent="0.25">
      <c r="A370"/>
      <c r="B370"/>
      <c r="C370"/>
      <c r="D370"/>
      <c r="E370"/>
      <c r="F370"/>
      <c r="G370"/>
      <c r="H370"/>
      <c r="I370"/>
      <c r="J370"/>
      <c r="L370"/>
      <c r="M370"/>
      <c r="N370"/>
      <c r="O370"/>
      <c r="P370"/>
      <c r="Q370"/>
      <c r="R370"/>
      <c r="S370"/>
      <c r="T370"/>
      <c r="U370"/>
      <c r="V370"/>
      <c r="X370"/>
      <c r="Y370"/>
      <c r="Z370" s="210"/>
      <c r="AD370"/>
      <c r="AE370"/>
    </row>
    <row r="371" spans="1:31" s="27" customFormat="1" x14ac:dyDescent="0.25">
      <c r="A371"/>
      <c r="B371"/>
      <c r="C371"/>
      <c r="D371"/>
      <c r="E371"/>
      <c r="F371"/>
      <c r="G371"/>
      <c r="H371"/>
      <c r="I371"/>
      <c r="J371"/>
      <c r="L371"/>
      <c r="M371"/>
      <c r="N371"/>
      <c r="O371"/>
      <c r="P371"/>
      <c r="Q371"/>
      <c r="R371"/>
      <c r="S371"/>
      <c r="T371"/>
      <c r="U371"/>
      <c r="V371"/>
      <c r="X371"/>
      <c r="Y371"/>
      <c r="Z371" s="210"/>
      <c r="AD371"/>
      <c r="AE371"/>
    </row>
    <row r="372" spans="1:31" s="27" customFormat="1" x14ac:dyDescent="0.25">
      <c r="A372"/>
      <c r="B372"/>
      <c r="C372"/>
      <c r="D372"/>
      <c r="E372"/>
      <c r="F372"/>
      <c r="G372"/>
      <c r="H372"/>
      <c r="I372"/>
      <c r="J372"/>
      <c r="L372"/>
      <c r="M372"/>
      <c r="N372"/>
      <c r="O372"/>
      <c r="P372"/>
      <c r="Q372"/>
      <c r="R372"/>
      <c r="S372"/>
      <c r="T372"/>
      <c r="U372"/>
      <c r="V372"/>
      <c r="X372"/>
      <c r="Y372"/>
      <c r="Z372" s="210"/>
      <c r="AD372"/>
      <c r="AE372"/>
    </row>
    <row r="373" spans="1:31" s="27" customFormat="1" x14ac:dyDescent="0.25">
      <c r="A373"/>
      <c r="B373"/>
      <c r="C373"/>
      <c r="D373"/>
      <c r="E373"/>
      <c r="F373"/>
      <c r="G373"/>
      <c r="H373"/>
      <c r="I373"/>
      <c r="J373"/>
      <c r="L373"/>
      <c r="M373"/>
      <c r="N373"/>
      <c r="O373"/>
      <c r="P373"/>
      <c r="Q373"/>
      <c r="R373"/>
      <c r="S373"/>
      <c r="T373"/>
      <c r="U373"/>
      <c r="V373"/>
      <c r="X373"/>
      <c r="Y373"/>
      <c r="Z373" s="210"/>
      <c r="AD373"/>
      <c r="AE373"/>
    </row>
    <row r="374" spans="1:31" s="27" customFormat="1" x14ac:dyDescent="0.25">
      <c r="A374"/>
      <c r="B374"/>
      <c r="C374"/>
      <c r="D374"/>
      <c r="E374"/>
      <c r="F374"/>
      <c r="G374"/>
      <c r="H374"/>
      <c r="I374"/>
      <c r="J374"/>
      <c r="L374"/>
      <c r="M374"/>
      <c r="N374"/>
      <c r="O374"/>
      <c r="P374"/>
      <c r="Q374"/>
      <c r="R374"/>
      <c r="S374"/>
      <c r="T374"/>
      <c r="U374"/>
      <c r="V374"/>
      <c r="X374"/>
      <c r="Y374"/>
      <c r="Z374" s="210"/>
      <c r="AD374"/>
      <c r="AE374"/>
    </row>
    <row r="375" spans="1:31" s="27" customFormat="1" x14ac:dyDescent="0.25">
      <c r="A375"/>
      <c r="B375"/>
      <c r="C375"/>
      <c r="D375"/>
      <c r="E375"/>
      <c r="F375"/>
      <c r="G375"/>
      <c r="H375"/>
      <c r="I375"/>
      <c r="J375"/>
      <c r="L375"/>
      <c r="M375"/>
      <c r="N375"/>
      <c r="O375"/>
      <c r="P375"/>
      <c r="Q375"/>
      <c r="R375"/>
      <c r="S375"/>
      <c r="T375"/>
      <c r="U375"/>
      <c r="V375"/>
      <c r="X375"/>
      <c r="Y375"/>
      <c r="Z375" s="210"/>
      <c r="AD375"/>
      <c r="AE375"/>
    </row>
    <row r="376" spans="1:31" s="27" customFormat="1" x14ac:dyDescent="0.25">
      <c r="A376"/>
      <c r="B376"/>
      <c r="C376"/>
      <c r="D376"/>
      <c r="E376"/>
      <c r="F376"/>
      <c r="G376"/>
      <c r="H376"/>
      <c r="I376"/>
      <c r="J376"/>
      <c r="L376"/>
      <c r="M376"/>
      <c r="N376"/>
      <c r="O376"/>
      <c r="P376"/>
      <c r="Q376"/>
      <c r="R376"/>
      <c r="S376"/>
      <c r="T376"/>
      <c r="U376"/>
      <c r="V376"/>
      <c r="X376"/>
      <c r="Y376"/>
      <c r="Z376" s="210"/>
      <c r="AD376"/>
      <c r="AE376"/>
    </row>
    <row r="377" spans="1:31" s="27" customFormat="1" x14ac:dyDescent="0.25">
      <c r="A377"/>
      <c r="B377"/>
      <c r="C377"/>
      <c r="D377"/>
      <c r="E377"/>
      <c r="F377"/>
      <c r="G377"/>
      <c r="H377"/>
      <c r="I377"/>
      <c r="J377"/>
      <c r="L377"/>
      <c r="M377"/>
      <c r="N377"/>
      <c r="O377"/>
      <c r="P377"/>
      <c r="Q377"/>
      <c r="R377"/>
      <c r="S377"/>
      <c r="T377"/>
      <c r="U377"/>
      <c r="V377"/>
      <c r="X377"/>
      <c r="Y377"/>
      <c r="Z377" s="210"/>
      <c r="AD377"/>
      <c r="AE377"/>
    </row>
    <row r="378" spans="1:31" s="27" customFormat="1" x14ac:dyDescent="0.25">
      <c r="A378"/>
      <c r="B378"/>
      <c r="C378"/>
      <c r="D378"/>
      <c r="E378"/>
      <c r="F378"/>
      <c r="G378"/>
      <c r="H378"/>
      <c r="I378"/>
      <c r="J378"/>
      <c r="L378"/>
      <c r="M378"/>
      <c r="N378"/>
      <c r="O378"/>
      <c r="P378"/>
      <c r="Q378"/>
      <c r="R378"/>
      <c r="S378"/>
      <c r="T378"/>
      <c r="U378"/>
      <c r="V378"/>
      <c r="X378"/>
      <c r="Y378"/>
      <c r="Z378" s="210"/>
      <c r="AD378"/>
      <c r="AE378"/>
    </row>
    <row r="379" spans="1:31" s="27" customFormat="1" x14ac:dyDescent="0.25">
      <c r="A379"/>
      <c r="B379"/>
      <c r="C379"/>
      <c r="D379"/>
      <c r="E379"/>
      <c r="F379"/>
      <c r="G379"/>
      <c r="H379"/>
      <c r="I379"/>
      <c r="J379"/>
      <c r="L379"/>
      <c r="M379"/>
      <c r="N379"/>
      <c r="O379"/>
      <c r="P379"/>
      <c r="Q379"/>
      <c r="R379"/>
      <c r="S379"/>
      <c r="T379"/>
      <c r="U379"/>
      <c r="V379"/>
      <c r="X379"/>
      <c r="Y379"/>
      <c r="Z379" s="210"/>
      <c r="AD379"/>
      <c r="AE379"/>
    </row>
    <row r="380" spans="1:31" s="27" customFormat="1" x14ac:dyDescent="0.25">
      <c r="A380"/>
      <c r="B380"/>
      <c r="C380"/>
      <c r="D380"/>
      <c r="E380"/>
      <c r="F380"/>
      <c r="G380"/>
      <c r="H380"/>
      <c r="I380"/>
      <c r="J380"/>
      <c r="L380"/>
      <c r="M380"/>
      <c r="N380"/>
      <c r="O380"/>
      <c r="P380"/>
      <c r="Q380"/>
      <c r="R380"/>
      <c r="S380"/>
      <c r="T380"/>
      <c r="U380"/>
      <c r="V380"/>
      <c r="X380"/>
      <c r="Y380"/>
      <c r="Z380" s="210"/>
      <c r="AD380"/>
      <c r="AE380"/>
    </row>
    <row r="381" spans="1:31" s="27" customFormat="1" x14ac:dyDescent="0.25">
      <c r="A381"/>
      <c r="B381"/>
      <c r="C381"/>
      <c r="D381"/>
      <c r="E381"/>
      <c r="F381"/>
      <c r="G381"/>
      <c r="H381"/>
      <c r="I381"/>
      <c r="J381"/>
      <c r="L381"/>
      <c r="M381"/>
      <c r="N381"/>
      <c r="O381"/>
      <c r="P381"/>
      <c r="Q381"/>
      <c r="R381"/>
      <c r="S381"/>
      <c r="T381"/>
      <c r="U381"/>
      <c r="V381"/>
      <c r="X381"/>
      <c r="Y381"/>
      <c r="Z381" s="210"/>
      <c r="AD381"/>
      <c r="AE381"/>
    </row>
    <row r="382" spans="1:31" s="27" customFormat="1" x14ac:dyDescent="0.25">
      <c r="A382"/>
      <c r="B382"/>
      <c r="C382"/>
      <c r="D382"/>
      <c r="E382"/>
      <c r="F382"/>
      <c r="G382"/>
      <c r="H382"/>
      <c r="I382"/>
      <c r="J382"/>
      <c r="L382"/>
      <c r="M382"/>
      <c r="N382"/>
      <c r="O382"/>
      <c r="P382"/>
      <c r="Q382"/>
      <c r="R382"/>
      <c r="S382"/>
      <c r="T382"/>
      <c r="U382"/>
      <c r="V382"/>
      <c r="X382"/>
      <c r="Y382"/>
      <c r="Z382" s="210"/>
      <c r="AD382"/>
      <c r="AE382"/>
    </row>
    <row r="383" spans="1:31" s="27" customFormat="1" x14ac:dyDescent="0.25">
      <c r="A383"/>
      <c r="B383"/>
      <c r="C383"/>
      <c r="D383"/>
      <c r="E383"/>
      <c r="F383"/>
      <c r="G383"/>
      <c r="H383"/>
      <c r="I383"/>
      <c r="J383"/>
      <c r="L383"/>
      <c r="M383"/>
      <c r="N383"/>
      <c r="O383"/>
      <c r="P383"/>
      <c r="Q383"/>
      <c r="R383"/>
      <c r="S383"/>
      <c r="T383"/>
      <c r="U383"/>
      <c r="V383"/>
      <c r="X383"/>
      <c r="Y383"/>
      <c r="Z383" s="210"/>
      <c r="AD383"/>
      <c r="AE383"/>
    </row>
    <row r="384" spans="1:31" s="27" customFormat="1" x14ac:dyDescent="0.25">
      <c r="A384"/>
      <c r="B384"/>
      <c r="C384"/>
      <c r="D384"/>
      <c r="E384"/>
      <c r="F384"/>
      <c r="G384"/>
      <c r="H384"/>
      <c r="I384"/>
      <c r="J384"/>
      <c r="L384"/>
      <c r="M384"/>
      <c r="N384"/>
      <c r="O384"/>
      <c r="P384"/>
      <c r="Q384"/>
      <c r="R384"/>
      <c r="S384"/>
      <c r="T384"/>
      <c r="U384"/>
      <c r="V384"/>
      <c r="X384"/>
      <c r="Y384"/>
      <c r="Z384" s="210"/>
      <c r="AD384"/>
      <c r="AE384"/>
    </row>
    <row r="385" spans="1:31" s="27" customFormat="1" x14ac:dyDescent="0.25">
      <c r="A385"/>
      <c r="B385"/>
      <c r="C385"/>
      <c r="D385"/>
      <c r="E385"/>
      <c r="F385"/>
      <c r="G385"/>
      <c r="H385"/>
      <c r="I385"/>
      <c r="J385"/>
      <c r="L385"/>
      <c r="M385"/>
      <c r="N385"/>
      <c r="O385"/>
      <c r="P385"/>
      <c r="Q385"/>
      <c r="R385"/>
      <c r="S385"/>
      <c r="T385"/>
      <c r="U385"/>
      <c r="V385"/>
      <c r="X385"/>
      <c r="Y385"/>
      <c r="Z385" s="210"/>
      <c r="AD385"/>
      <c r="AE385"/>
    </row>
    <row r="386" spans="1:31" s="27" customFormat="1" x14ac:dyDescent="0.25">
      <c r="A386"/>
      <c r="B386"/>
      <c r="C386"/>
      <c r="D386"/>
      <c r="E386"/>
      <c r="F386"/>
      <c r="G386"/>
      <c r="H386"/>
      <c r="I386"/>
      <c r="J386"/>
      <c r="L386"/>
      <c r="M386"/>
      <c r="N386"/>
      <c r="O386"/>
      <c r="P386"/>
      <c r="Q386"/>
      <c r="R386"/>
      <c r="S386"/>
      <c r="T386"/>
      <c r="U386"/>
      <c r="V386"/>
      <c r="X386"/>
      <c r="Y386"/>
      <c r="Z386" s="210"/>
      <c r="AD386"/>
      <c r="AE386"/>
    </row>
    <row r="387" spans="1:31" s="27" customFormat="1" x14ac:dyDescent="0.25">
      <c r="A387"/>
      <c r="B387"/>
      <c r="C387"/>
      <c r="D387"/>
      <c r="E387"/>
      <c r="F387"/>
      <c r="G387"/>
      <c r="H387"/>
      <c r="I387"/>
      <c r="J387"/>
      <c r="L387"/>
      <c r="M387"/>
      <c r="N387"/>
      <c r="O387"/>
      <c r="P387"/>
      <c r="Q387"/>
      <c r="R387"/>
      <c r="S387"/>
      <c r="T387"/>
      <c r="U387"/>
      <c r="V387"/>
      <c r="X387"/>
      <c r="Y387"/>
      <c r="Z387" s="210"/>
      <c r="AD387"/>
      <c r="AE387"/>
    </row>
    <row r="388" spans="1:31" s="27" customFormat="1" x14ac:dyDescent="0.25">
      <c r="A388"/>
      <c r="B388"/>
      <c r="C388"/>
      <c r="D388"/>
      <c r="E388"/>
      <c r="F388"/>
      <c r="G388"/>
      <c r="H388"/>
      <c r="I388"/>
      <c r="J388"/>
      <c r="L388"/>
      <c r="M388"/>
      <c r="N388"/>
      <c r="O388"/>
      <c r="P388"/>
      <c r="Q388"/>
      <c r="R388"/>
      <c r="S388"/>
      <c r="T388"/>
      <c r="U388"/>
      <c r="V388"/>
      <c r="X388"/>
      <c r="Y388"/>
      <c r="Z388" s="210"/>
      <c r="AD388"/>
      <c r="AE388"/>
    </row>
    <row r="389" spans="1:31" s="27" customFormat="1" x14ac:dyDescent="0.25">
      <c r="A389"/>
      <c r="B389"/>
      <c r="C389"/>
      <c r="D389"/>
      <c r="E389"/>
      <c r="F389"/>
      <c r="G389"/>
      <c r="H389"/>
      <c r="I389"/>
      <c r="J389"/>
      <c r="L389"/>
      <c r="M389"/>
      <c r="N389"/>
      <c r="O389"/>
      <c r="P389"/>
      <c r="Q389"/>
      <c r="R389"/>
      <c r="S389"/>
      <c r="T389"/>
      <c r="U389"/>
      <c r="V389"/>
      <c r="X389"/>
      <c r="Y389"/>
      <c r="Z389" s="210"/>
      <c r="AD389"/>
      <c r="AE389"/>
    </row>
    <row r="390" spans="1:31" s="27" customFormat="1" x14ac:dyDescent="0.25">
      <c r="A390"/>
      <c r="B390"/>
      <c r="C390"/>
      <c r="D390"/>
      <c r="E390"/>
      <c r="F390"/>
      <c r="G390"/>
      <c r="H390"/>
      <c r="I390"/>
      <c r="J390"/>
      <c r="L390"/>
      <c r="M390"/>
      <c r="N390"/>
      <c r="O390"/>
      <c r="P390"/>
      <c r="Q390"/>
      <c r="R390"/>
      <c r="S390"/>
      <c r="T390"/>
      <c r="U390"/>
      <c r="V390"/>
      <c r="X390"/>
      <c r="Y390"/>
      <c r="Z390" s="210"/>
      <c r="AD390"/>
      <c r="AE390"/>
    </row>
    <row r="391" spans="1:31" s="27" customFormat="1" x14ac:dyDescent="0.25">
      <c r="A391"/>
      <c r="B391"/>
      <c r="C391"/>
      <c r="D391"/>
      <c r="E391"/>
      <c r="F391"/>
      <c r="G391"/>
      <c r="H391"/>
      <c r="I391"/>
      <c r="J391"/>
      <c r="L391"/>
      <c r="M391"/>
      <c r="N391"/>
      <c r="O391"/>
      <c r="P391"/>
      <c r="Q391"/>
      <c r="R391"/>
      <c r="S391"/>
      <c r="T391"/>
      <c r="U391"/>
      <c r="V391"/>
      <c r="X391"/>
      <c r="Y391"/>
      <c r="Z391" s="210"/>
      <c r="AD391"/>
      <c r="AE391"/>
    </row>
    <row r="392" spans="1:31" s="27" customFormat="1" x14ac:dyDescent="0.25">
      <c r="A392"/>
      <c r="B392"/>
      <c r="C392"/>
      <c r="D392"/>
      <c r="E392"/>
      <c r="F392"/>
      <c r="G392"/>
      <c r="H392"/>
      <c r="I392"/>
      <c r="J392"/>
      <c r="L392"/>
      <c r="M392"/>
      <c r="N392"/>
      <c r="O392"/>
      <c r="P392"/>
      <c r="Q392"/>
      <c r="R392"/>
      <c r="S392"/>
      <c r="T392"/>
      <c r="U392"/>
      <c r="V392"/>
      <c r="X392"/>
      <c r="Y392"/>
      <c r="Z392" s="210"/>
      <c r="AD392"/>
      <c r="AE392"/>
    </row>
    <row r="393" spans="1:31" s="27" customFormat="1" x14ac:dyDescent="0.25">
      <c r="A393"/>
      <c r="B393"/>
      <c r="C393"/>
      <c r="D393"/>
      <c r="E393"/>
      <c r="F393"/>
      <c r="G393"/>
      <c r="H393"/>
      <c r="I393"/>
      <c r="J393"/>
      <c r="L393"/>
      <c r="M393"/>
      <c r="N393"/>
      <c r="O393"/>
      <c r="P393"/>
      <c r="Q393"/>
      <c r="R393"/>
      <c r="S393"/>
      <c r="T393"/>
      <c r="U393"/>
      <c r="V393"/>
      <c r="X393"/>
      <c r="Y393"/>
      <c r="Z393" s="210"/>
      <c r="AD393"/>
      <c r="AE393"/>
    </row>
    <row r="394" spans="1:31" s="27" customFormat="1" x14ac:dyDescent="0.25">
      <c r="A394"/>
      <c r="B394"/>
      <c r="C394"/>
      <c r="D394"/>
      <c r="E394"/>
      <c r="F394"/>
      <c r="G394"/>
      <c r="H394"/>
      <c r="I394"/>
      <c r="J394"/>
      <c r="L394"/>
      <c r="M394"/>
      <c r="N394"/>
      <c r="O394"/>
      <c r="P394"/>
      <c r="Q394"/>
      <c r="R394"/>
      <c r="S394"/>
      <c r="T394"/>
      <c r="U394"/>
      <c r="V394"/>
      <c r="X394"/>
      <c r="Y394"/>
      <c r="Z394" s="210"/>
      <c r="AD394"/>
      <c r="AE394"/>
    </row>
    <row r="395" spans="1:31" s="27" customFormat="1" x14ac:dyDescent="0.25">
      <c r="A395"/>
      <c r="B395"/>
      <c r="C395"/>
      <c r="D395"/>
      <c r="E395"/>
      <c r="F395"/>
      <c r="G395"/>
      <c r="H395"/>
      <c r="I395"/>
      <c r="J395"/>
      <c r="L395"/>
      <c r="M395"/>
      <c r="N395"/>
      <c r="O395"/>
      <c r="P395"/>
      <c r="Q395"/>
      <c r="R395"/>
      <c r="S395"/>
      <c r="T395"/>
      <c r="U395"/>
      <c r="V395"/>
      <c r="X395"/>
      <c r="Y395"/>
      <c r="Z395" s="210"/>
      <c r="AD395"/>
      <c r="AE395"/>
    </row>
    <row r="396" spans="1:31" s="27" customFormat="1" x14ac:dyDescent="0.25">
      <c r="A396"/>
      <c r="B396"/>
      <c r="C396"/>
      <c r="D396"/>
      <c r="E396"/>
      <c r="F396"/>
      <c r="G396"/>
      <c r="H396"/>
      <c r="I396"/>
      <c r="J396"/>
      <c r="L396"/>
      <c r="M396"/>
      <c r="N396"/>
      <c r="O396"/>
      <c r="P396"/>
      <c r="Q396"/>
      <c r="R396"/>
      <c r="S396"/>
      <c r="T396"/>
      <c r="U396"/>
      <c r="V396"/>
      <c r="X396"/>
      <c r="Y396"/>
      <c r="Z396" s="210"/>
      <c r="AD396"/>
      <c r="AE396"/>
    </row>
    <row r="397" spans="1:31" s="27" customFormat="1" x14ac:dyDescent="0.25">
      <c r="A397"/>
      <c r="B397"/>
      <c r="C397"/>
      <c r="D397"/>
      <c r="E397"/>
      <c r="F397"/>
      <c r="G397"/>
      <c r="H397"/>
      <c r="I397"/>
      <c r="J397"/>
      <c r="L397"/>
      <c r="M397"/>
      <c r="N397"/>
      <c r="O397"/>
      <c r="P397"/>
      <c r="Q397"/>
      <c r="R397"/>
      <c r="S397"/>
      <c r="T397"/>
      <c r="U397"/>
      <c r="V397"/>
      <c r="X397"/>
      <c r="Y397"/>
      <c r="Z397" s="210"/>
      <c r="AD397"/>
      <c r="AE397"/>
    </row>
    <row r="398" spans="1:31" s="27" customFormat="1" x14ac:dyDescent="0.25">
      <c r="A398"/>
      <c r="B398"/>
      <c r="C398"/>
      <c r="D398"/>
      <c r="E398"/>
      <c r="F398"/>
      <c r="G398"/>
      <c r="H398"/>
      <c r="I398"/>
      <c r="J398"/>
      <c r="L398"/>
      <c r="M398"/>
      <c r="N398"/>
      <c r="O398"/>
      <c r="P398"/>
      <c r="Q398"/>
      <c r="R398"/>
      <c r="S398"/>
      <c r="T398"/>
      <c r="U398"/>
      <c r="V398"/>
      <c r="X398"/>
      <c r="Y398"/>
      <c r="Z398" s="210"/>
      <c r="AD398"/>
      <c r="AE398"/>
    </row>
    <row r="399" spans="1:31" s="27" customFormat="1" x14ac:dyDescent="0.25">
      <c r="A399"/>
      <c r="B399"/>
      <c r="C399"/>
      <c r="D399"/>
      <c r="E399"/>
      <c r="F399"/>
      <c r="G399"/>
      <c r="H399"/>
      <c r="I399"/>
      <c r="J399"/>
      <c r="L399"/>
      <c r="M399"/>
      <c r="N399"/>
      <c r="O399"/>
      <c r="P399"/>
      <c r="Q399"/>
      <c r="R399"/>
      <c r="S399"/>
      <c r="T399"/>
      <c r="U399"/>
      <c r="V399"/>
      <c r="X399"/>
      <c r="Y399"/>
      <c r="Z399" s="210"/>
      <c r="AD399"/>
      <c r="AE399"/>
    </row>
    <row r="400" spans="1:31" s="27" customFormat="1" x14ac:dyDescent="0.25">
      <c r="A400"/>
      <c r="B400"/>
      <c r="C400"/>
      <c r="D400"/>
      <c r="E400"/>
      <c r="F400"/>
      <c r="G400"/>
      <c r="H400"/>
      <c r="I400"/>
      <c r="J400"/>
      <c r="L400"/>
      <c r="M400"/>
      <c r="N400"/>
      <c r="O400"/>
      <c r="P400"/>
      <c r="Q400"/>
      <c r="R400"/>
      <c r="S400"/>
      <c r="T400"/>
      <c r="U400"/>
      <c r="V400"/>
      <c r="X400"/>
      <c r="Y400"/>
      <c r="Z400" s="210"/>
      <c r="AD400"/>
      <c r="AE400"/>
    </row>
    <row r="401" spans="1:31" s="27" customFormat="1" x14ac:dyDescent="0.25">
      <c r="A401"/>
      <c r="B401"/>
      <c r="C401"/>
      <c r="D401"/>
      <c r="E401"/>
      <c r="F401"/>
      <c r="G401"/>
      <c r="H401"/>
      <c r="I401"/>
      <c r="J401"/>
      <c r="L401"/>
      <c r="M401"/>
      <c r="N401"/>
      <c r="O401"/>
      <c r="P401"/>
      <c r="Q401"/>
      <c r="R401"/>
      <c r="S401"/>
      <c r="T401"/>
      <c r="U401"/>
      <c r="V401"/>
      <c r="X401"/>
      <c r="Y401"/>
      <c r="Z401" s="210"/>
      <c r="AD401"/>
      <c r="AE401"/>
    </row>
    <row r="402" spans="1:31" s="27" customFormat="1" x14ac:dyDescent="0.25">
      <c r="A402"/>
      <c r="B402"/>
      <c r="C402"/>
      <c r="D402"/>
      <c r="E402"/>
      <c r="F402"/>
      <c r="G402"/>
      <c r="H402"/>
      <c r="I402"/>
      <c r="J402"/>
      <c r="L402"/>
      <c r="M402"/>
      <c r="N402"/>
      <c r="O402"/>
      <c r="P402"/>
      <c r="Q402"/>
      <c r="R402"/>
      <c r="S402"/>
      <c r="T402"/>
      <c r="U402"/>
      <c r="V402"/>
      <c r="X402"/>
      <c r="Y402"/>
      <c r="Z402" s="210"/>
      <c r="AD402"/>
      <c r="AE402"/>
    </row>
    <row r="403" spans="1:31" s="27" customFormat="1" x14ac:dyDescent="0.25">
      <c r="A403"/>
      <c r="B403"/>
      <c r="C403"/>
      <c r="D403"/>
      <c r="E403"/>
      <c r="F403"/>
      <c r="G403"/>
      <c r="H403"/>
      <c r="I403"/>
      <c r="J403"/>
      <c r="L403"/>
      <c r="M403"/>
      <c r="N403"/>
      <c r="O403"/>
      <c r="P403"/>
      <c r="Q403"/>
      <c r="R403"/>
      <c r="S403"/>
      <c r="T403"/>
      <c r="U403"/>
      <c r="V403"/>
      <c r="X403"/>
      <c r="Y403"/>
      <c r="Z403" s="210"/>
      <c r="AD403"/>
      <c r="AE403"/>
    </row>
    <row r="404" spans="1:31" s="27" customFormat="1" x14ac:dyDescent="0.25">
      <c r="A404"/>
      <c r="B404"/>
      <c r="C404"/>
      <c r="D404"/>
      <c r="E404"/>
      <c r="F404"/>
      <c r="G404"/>
      <c r="H404"/>
      <c r="I404"/>
      <c r="J404"/>
      <c r="L404"/>
      <c r="M404"/>
      <c r="N404"/>
      <c r="O404"/>
      <c r="P404"/>
      <c r="Q404"/>
      <c r="R404"/>
      <c r="S404"/>
      <c r="T404"/>
      <c r="U404"/>
      <c r="V404"/>
      <c r="X404"/>
      <c r="Y404"/>
      <c r="Z404" s="210"/>
      <c r="AD404"/>
      <c r="AE404"/>
    </row>
    <row r="405" spans="1:31" s="27" customFormat="1" x14ac:dyDescent="0.25">
      <c r="A405"/>
      <c r="B405"/>
      <c r="C405"/>
      <c r="D405"/>
      <c r="E405"/>
      <c r="F405"/>
      <c r="G405"/>
      <c r="H405"/>
      <c r="I405"/>
      <c r="J405"/>
      <c r="L405"/>
      <c r="M405"/>
      <c r="N405"/>
      <c r="O405"/>
      <c r="P405"/>
      <c r="Q405"/>
      <c r="R405"/>
      <c r="S405"/>
      <c r="T405"/>
      <c r="U405"/>
      <c r="V405"/>
      <c r="X405"/>
      <c r="Y405"/>
      <c r="Z405" s="210"/>
      <c r="AD405"/>
      <c r="AE405"/>
    </row>
    <row r="406" spans="1:31" s="27" customFormat="1" x14ac:dyDescent="0.25">
      <c r="A406"/>
      <c r="B406"/>
      <c r="C406"/>
      <c r="D406"/>
      <c r="E406"/>
      <c r="F406"/>
      <c r="G406"/>
      <c r="H406"/>
      <c r="I406"/>
      <c r="J406"/>
      <c r="L406"/>
      <c r="M406"/>
      <c r="N406"/>
      <c r="O406"/>
      <c r="P406"/>
      <c r="Q406"/>
      <c r="R406"/>
      <c r="S406"/>
      <c r="T406"/>
      <c r="U406"/>
      <c r="V406"/>
      <c r="X406"/>
      <c r="Y406"/>
      <c r="Z406" s="210"/>
      <c r="AD406"/>
      <c r="AE406"/>
    </row>
    <row r="407" spans="1:31" s="27" customFormat="1" x14ac:dyDescent="0.25">
      <c r="A407"/>
      <c r="B407"/>
      <c r="C407"/>
      <c r="D407"/>
      <c r="E407"/>
      <c r="F407"/>
      <c r="G407"/>
      <c r="H407"/>
      <c r="I407"/>
      <c r="J407"/>
      <c r="L407"/>
      <c r="M407"/>
      <c r="N407"/>
      <c r="O407"/>
      <c r="P407"/>
      <c r="Q407"/>
      <c r="R407"/>
      <c r="S407"/>
      <c r="T407"/>
      <c r="U407"/>
      <c r="V407"/>
      <c r="X407"/>
      <c r="Y407"/>
      <c r="Z407" s="210"/>
      <c r="AD407"/>
      <c r="AE407"/>
    </row>
    <row r="408" spans="1:31" s="27" customFormat="1" x14ac:dyDescent="0.25">
      <c r="A408"/>
      <c r="B408"/>
      <c r="C408"/>
      <c r="D408"/>
      <c r="E408"/>
      <c r="F408"/>
      <c r="G408"/>
      <c r="H408"/>
      <c r="I408"/>
      <c r="J408"/>
      <c r="L408"/>
      <c r="M408"/>
      <c r="N408"/>
      <c r="O408"/>
      <c r="P408"/>
      <c r="Q408"/>
      <c r="R408"/>
      <c r="S408"/>
      <c r="T408"/>
      <c r="U408"/>
      <c r="V408"/>
      <c r="X408"/>
      <c r="Y408"/>
      <c r="Z408" s="210"/>
      <c r="AD408"/>
      <c r="AE408"/>
    </row>
    <row r="409" spans="1:31" s="27" customFormat="1" x14ac:dyDescent="0.25">
      <c r="A409"/>
      <c r="B409"/>
      <c r="C409"/>
      <c r="D409"/>
      <c r="E409"/>
      <c r="F409"/>
      <c r="G409"/>
      <c r="H409"/>
      <c r="I409"/>
      <c r="J409"/>
      <c r="L409"/>
      <c r="M409"/>
      <c r="N409"/>
      <c r="O409"/>
      <c r="P409"/>
      <c r="Q409"/>
      <c r="R409"/>
      <c r="S409"/>
      <c r="T409"/>
      <c r="U409"/>
      <c r="V409"/>
      <c r="X409"/>
      <c r="Y409"/>
      <c r="Z409" s="210"/>
      <c r="AD409"/>
      <c r="AE409"/>
    </row>
    <row r="410" spans="1:31" s="27" customFormat="1" x14ac:dyDescent="0.25">
      <c r="A410"/>
      <c r="B410"/>
      <c r="C410"/>
      <c r="D410"/>
      <c r="E410"/>
      <c r="F410"/>
      <c r="G410"/>
      <c r="H410"/>
      <c r="I410"/>
      <c r="J410"/>
      <c r="L410"/>
      <c r="M410"/>
      <c r="N410"/>
      <c r="O410"/>
      <c r="P410"/>
      <c r="Q410"/>
      <c r="R410"/>
      <c r="S410"/>
      <c r="T410"/>
      <c r="U410"/>
      <c r="V410"/>
      <c r="X410"/>
      <c r="Y410"/>
      <c r="Z410" s="210"/>
      <c r="AD410"/>
      <c r="AE410"/>
    </row>
    <row r="411" spans="1:31" s="27" customFormat="1" x14ac:dyDescent="0.25">
      <c r="A411"/>
      <c r="B411"/>
      <c r="C411"/>
      <c r="D411"/>
      <c r="E411"/>
      <c r="F411"/>
      <c r="G411"/>
      <c r="H411"/>
      <c r="I411"/>
      <c r="J411"/>
      <c r="L411"/>
      <c r="M411"/>
      <c r="N411"/>
      <c r="O411"/>
      <c r="P411"/>
      <c r="Q411"/>
      <c r="R411"/>
      <c r="S411"/>
      <c r="T411"/>
      <c r="U411"/>
      <c r="V411"/>
      <c r="X411"/>
      <c r="Y411"/>
      <c r="Z411" s="210"/>
      <c r="AD411"/>
      <c r="AE411"/>
    </row>
    <row r="412" spans="1:31" s="27" customFormat="1" x14ac:dyDescent="0.25">
      <c r="A412"/>
      <c r="B412"/>
      <c r="C412"/>
      <c r="D412"/>
      <c r="E412"/>
      <c r="F412"/>
      <c r="G412"/>
      <c r="H412"/>
      <c r="I412"/>
      <c r="J412"/>
      <c r="L412"/>
      <c r="M412"/>
      <c r="N412"/>
      <c r="O412"/>
      <c r="P412"/>
      <c r="Q412"/>
      <c r="R412"/>
      <c r="S412"/>
      <c r="T412"/>
      <c r="U412"/>
      <c r="V412"/>
      <c r="X412"/>
      <c r="Y412"/>
      <c r="Z412" s="210"/>
      <c r="AD412"/>
      <c r="AE412"/>
    </row>
    <row r="413" spans="1:31" s="27" customFormat="1" x14ac:dyDescent="0.25">
      <c r="A413"/>
      <c r="B413"/>
      <c r="C413"/>
      <c r="D413"/>
      <c r="E413"/>
      <c r="F413"/>
      <c r="G413"/>
      <c r="H413"/>
      <c r="I413"/>
      <c r="J413"/>
      <c r="L413"/>
      <c r="M413"/>
      <c r="N413"/>
      <c r="O413"/>
      <c r="P413"/>
      <c r="Q413"/>
      <c r="R413"/>
      <c r="S413"/>
      <c r="T413"/>
      <c r="U413"/>
      <c r="V413"/>
      <c r="X413"/>
      <c r="Y413"/>
      <c r="Z413" s="210"/>
      <c r="AD413"/>
      <c r="AE413"/>
    </row>
    <row r="414" spans="1:31" s="27" customFormat="1" x14ac:dyDescent="0.25">
      <c r="A414"/>
      <c r="B414"/>
      <c r="C414"/>
      <c r="D414"/>
      <c r="E414"/>
      <c r="F414"/>
      <c r="G414"/>
      <c r="H414"/>
      <c r="I414"/>
      <c r="J414"/>
      <c r="L414"/>
      <c r="M414"/>
      <c r="N414"/>
      <c r="O414"/>
      <c r="P414"/>
      <c r="Q414"/>
      <c r="R414"/>
      <c r="S414"/>
      <c r="T414"/>
      <c r="U414"/>
      <c r="V414"/>
      <c r="X414"/>
      <c r="Y414"/>
      <c r="Z414" s="210"/>
      <c r="AD414"/>
      <c r="AE414"/>
    </row>
    <row r="415" spans="1:31" s="27" customFormat="1" x14ac:dyDescent="0.25">
      <c r="A415"/>
      <c r="B415"/>
      <c r="C415"/>
      <c r="D415"/>
      <c r="E415"/>
      <c r="F415"/>
      <c r="G415"/>
      <c r="H415"/>
      <c r="I415"/>
      <c r="J415"/>
      <c r="L415"/>
      <c r="M415"/>
      <c r="N415"/>
      <c r="O415"/>
      <c r="P415"/>
      <c r="Q415"/>
      <c r="R415"/>
      <c r="S415"/>
      <c r="T415"/>
      <c r="U415"/>
      <c r="V415"/>
      <c r="X415"/>
      <c r="Y415"/>
      <c r="Z415" s="210"/>
      <c r="AD415"/>
      <c r="AE415"/>
    </row>
    <row r="416" spans="1:31" s="27" customFormat="1" x14ac:dyDescent="0.25">
      <c r="A416"/>
      <c r="B416"/>
      <c r="C416"/>
      <c r="D416"/>
      <c r="E416"/>
      <c r="F416"/>
      <c r="G416"/>
      <c r="H416"/>
      <c r="I416"/>
      <c r="J416"/>
      <c r="L416"/>
      <c r="M416"/>
      <c r="N416"/>
      <c r="O416"/>
      <c r="P416"/>
      <c r="Q416"/>
      <c r="R416"/>
      <c r="S416"/>
      <c r="T416"/>
      <c r="U416"/>
      <c r="V416"/>
      <c r="X416"/>
      <c r="Y416"/>
      <c r="Z416" s="210"/>
      <c r="AD416"/>
      <c r="AE416"/>
    </row>
    <row r="417" spans="1:31" s="27" customFormat="1" x14ac:dyDescent="0.25">
      <c r="A417"/>
      <c r="B417"/>
      <c r="C417"/>
      <c r="D417"/>
      <c r="E417"/>
      <c r="F417"/>
      <c r="G417"/>
      <c r="H417"/>
      <c r="I417"/>
      <c r="J417"/>
      <c r="L417"/>
      <c r="M417"/>
      <c r="N417"/>
      <c r="O417"/>
      <c r="P417"/>
      <c r="Q417"/>
      <c r="R417"/>
      <c r="S417"/>
      <c r="T417"/>
      <c r="U417"/>
      <c r="V417"/>
      <c r="X417"/>
      <c r="Y417"/>
      <c r="Z417" s="210"/>
      <c r="AD417"/>
      <c r="AE417"/>
    </row>
    <row r="418" spans="1:31" s="27" customFormat="1" x14ac:dyDescent="0.25">
      <c r="A418"/>
      <c r="B418"/>
      <c r="C418"/>
      <c r="D418"/>
      <c r="E418"/>
      <c r="F418"/>
      <c r="G418"/>
      <c r="H418"/>
      <c r="I418"/>
      <c r="J418"/>
      <c r="L418"/>
      <c r="M418"/>
      <c r="N418"/>
      <c r="O418"/>
      <c r="P418"/>
      <c r="Q418"/>
      <c r="R418"/>
      <c r="S418"/>
      <c r="T418"/>
      <c r="U418"/>
      <c r="V418"/>
      <c r="X418"/>
      <c r="Y418"/>
      <c r="Z418" s="210"/>
      <c r="AD418"/>
      <c r="AE418"/>
    </row>
    <row r="419" spans="1:31" s="27" customFormat="1" x14ac:dyDescent="0.25">
      <c r="A419"/>
      <c r="B419"/>
      <c r="C419"/>
      <c r="D419"/>
      <c r="E419"/>
      <c r="F419"/>
      <c r="G419"/>
      <c r="H419"/>
      <c r="I419"/>
      <c r="J419"/>
      <c r="L419"/>
      <c r="M419"/>
      <c r="N419"/>
      <c r="O419"/>
      <c r="P419"/>
      <c r="Q419"/>
      <c r="R419"/>
      <c r="S419"/>
      <c r="T419"/>
      <c r="U419"/>
      <c r="V419"/>
      <c r="X419"/>
      <c r="Y419"/>
      <c r="Z419" s="210"/>
      <c r="AD419"/>
      <c r="AE419"/>
    </row>
    <row r="420" spans="1:31" s="27" customFormat="1" x14ac:dyDescent="0.25">
      <c r="A420"/>
      <c r="B420"/>
      <c r="C420"/>
      <c r="D420"/>
      <c r="E420"/>
      <c r="F420"/>
      <c r="G420"/>
      <c r="H420"/>
      <c r="I420"/>
      <c r="J420"/>
      <c r="L420"/>
      <c r="M420"/>
      <c r="N420"/>
      <c r="O420"/>
      <c r="P420"/>
      <c r="Q420"/>
      <c r="R420"/>
      <c r="S420"/>
      <c r="T420"/>
      <c r="U420"/>
      <c r="V420"/>
      <c r="X420"/>
      <c r="Y420"/>
      <c r="Z420" s="210"/>
      <c r="AD420"/>
      <c r="AE420"/>
    </row>
    <row r="421" spans="1:31" s="27" customFormat="1" x14ac:dyDescent="0.25">
      <c r="A421"/>
      <c r="B421"/>
      <c r="C421"/>
      <c r="D421"/>
      <c r="E421"/>
      <c r="F421"/>
      <c r="G421"/>
      <c r="H421"/>
      <c r="I421"/>
      <c r="J421"/>
      <c r="L421"/>
      <c r="M421"/>
      <c r="N421"/>
      <c r="O421"/>
      <c r="P421"/>
      <c r="Q421"/>
      <c r="R421"/>
      <c r="S421"/>
      <c r="T421"/>
      <c r="U421"/>
      <c r="V421"/>
      <c r="X421"/>
      <c r="Y421"/>
      <c r="Z421" s="210"/>
      <c r="AD421"/>
      <c r="AE421"/>
    </row>
    <row r="422" spans="1:31" s="27" customFormat="1" x14ac:dyDescent="0.25">
      <c r="A422"/>
      <c r="B422"/>
      <c r="C422"/>
      <c r="D422"/>
      <c r="E422"/>
      <c r="F422"/>
      <c r="G422"/>
      <c r="H422"/>
      <c r="I422"/>
      <c r="J422"/>
      <c r="L422"/>
      <c r="M422"/>
      <c r="N422"/>
      <c r="O422"/>
      <c r="P422"/>
      <c r="Q422"/>
      <c r="R422"/>
      <c r="S422"/>
      <c r="T422"/>
      <c r="U422"/>
      <c r="V422"/>
      <c r="X422"/>
      <c r="Y422"/>
      <c r="Z422" s="210"/>
      <c r="AD422"/>
      <c r="AE422"/>
    </row>
    <row r="423" spans="1:31" s="27" customFormat="1" x14ac:dyDescent="0.25">
      <c r="A423"/>
      <c r="B423"/>
      <c r="C423"/>
      <c r="D423"/>
      <c r="E423"/>
      <c r="F423"/>
      <c r="G423"/>
      <c r="H423"/>
      <c r="I423"/>
      <c r="J423"/>
      <c r="L423"/>
      <c r="M423"/>
      <c r="N423"/>
      <c r="O423"/>
      <c r="P423"/>
      <c r="Q423"/>
      <c r="R423"/>
      <c r="S423"/>
      <c r="T423"/>
      <c r="U423"/>
      <c r="V423"/>
      <c r="X423"/>
      <c r="Y423"/>
      <c r="Z423" s="210"/>
      <c r="AD423"/>
      <c r="AE423"/>
    </row>
    <row r="424" spans="1:31" s="27" customFormat="1" x14ac:dyDescent="0.25">
      <c r="A424"/>
      <c r="B424"/>
      <c r="C424"/>
      <c r="D424"/>
      <c r="E424"/>
      <c r="F424"/>
      <c r="G424"/>
      <c r="H424"/>
      <c r="I424"/>
      <c r="J424"/>
      <c r="L424"/>
      <c r="M424"/>
      <c r="N424"/>
      <c r="O424"/>
      <c r="P424"/>
      <c r="Q424"/>
      <c r="R424"/>
      <c r="S424"/>
      <c r="T424"/>
      <c r="U424"/>
      <c r="V424"/>
      <c r="X424"/>
      <c r="Y424"/>
      <c r="Z424" s="210"/>
      <c r="AD424"/>
      <c r="AE424"/>
    </row>
    <row r="425" spans="1:31" s="27" customFormat="1" x14ac:dyDescent="0.25">
      <c r="A425"/>
      <c r="B425"/>
      <c r="C425"/>
      <c r="D425"/>
      <c r="E425"/>
      <c r="F425"/>
      <c r="G425"/>
      <c r="H425"/>
      <c r="I425"/>
      <c r="J425"/>
      <c r="L425"/>
      <c r="M425"/>
      <c r="N425"/>
      <c r="O425"/>
      <c r="P425"/>
      <c r="Q425"/>
      <c r="R425"/>
      <c r="S425"/>
      <c r="T425"/>
      <c r="U425"/>
      <c r="V425"/>
      <c r="X425"/>
      <c r="Y425"/>
      <c r="Z425" s="210"/>
      <c r="AD425"/>
      <c r="AE425"/>
    </row>
    <row r="426" spans="1:31" s="27" customFormat="1" x14ac:dyDescent="0.25">
      <c r="A426"/>
      <c r="B426"/>
      <c r="C426"/>
      <c r="D426"/>
      <c r="E426"/>
      <c r="F426"/>
      <c r="G426"/>
      <c r="H426"/>
      <c r="I426"/>
      <c r="J426"/>
      <c r="L426"/>
      <c r="M426"/>
      <c r="N426"/>
      <c r="O426"/>
      <c r="P426"/>
      <c r="Q426"/>
      <c r="R426"/>
      <c r="S426"/>
      <c r="T426"/>
      <c r="U426"/>
      <c r="V426"/>
      <c r="X426"/>
      <c r="Y426"/>
      <c r="Z426" s="210"/>
      <c r="AD426"/>
      <c r="AE426"/>
    </row>
    <row r="427" spans="1:31" s="27" customFormat="1" x14ac:dyDescent="0.25">
      <c r="A427"/>
      <c r="B427"/>
      <c r="C427"/>
      <c r="D427"/>
      <c r="E427"/>
      <c r="F427"/>
      <c r="G427"/>
      <c r="H427"/>
      <c r="I427"/>
      <c r="J427"/>
      <c r="L427"/>
      <c r="M427"/>
      <c r="N427"/>
      <c r="O427"/>
      <c r="P427"/>
      <c r="Q427"/>
      <c r="R427"/>
      <c r="S427"/>
      <c r="T427"/>
      <c r="U427"/>
      <c r="V427"/>
      <c r="X427"/>
      <c r="Y427"/>
      <c r="Z427" s="210"/>
      <c r="AD427"/>
      <c r="AE427"/>
    </row>
    <row r="428" spans="1:31" s="27" customFormat="1" x14ac:dyDescent="0.25">
      <c r="A428"/>
      <c r="B428"/>
      <c r="C428"/>
      <c r="D428"/>
      <c r="E428"/>
      <c r="F428"/>
      <c r="G428"/>
      <c r="H428"/>
      <c r="I428"/>
      <c r="J428"/>
      <c r="L428"/>
      <c r="M428"/>
      <c r="N428"/>
      <c r="O428"/>
      <c r="P428"/>
      <c r="Q428"/>
      <c r="R428"/>
      <c r="S428"/>
      <c r="T428"/>
      <c r="U428"/>
      <c r="V428"/>
      <c r="X428"/>
      <c r="Y428"/>
      <c r="Z428" s="210"/>
      <c r="AD428"/>
      <c r="AE428"/>
    </row>
    <row r="429" spans="1:31" s="27" customFormat="1" x14ac:dyDescent="0.25">
      <c r="A429"/>
      <c r="B429"/>
      <c r="C429"/>
      <c r="D429"/>
      <c r="E429"/>
      <c r="F429"/>
      <c r="G429"/>
      <c r="H429"/>
      <c r="I429"/>
      <c r="J429"/>
      <c r="L429"/>
      <c r="M429"/>
      <c r="N429"/>
      <c r="O429"/>
      <c r="P429"/>
      <c r="Q429"/>
      <c r="R429"/>
      <c r="S429"/>
      <c r="T429"/>
      <c r="U429"/>
      <c r="V429"/>
      <c r="X429"/>
      <c r="Y429"/>
      <c r="Z429" s="210"/>
      <c r="AD429"/>
      <c r="AE429"/>
    </row>
    <row r="430" spans="1:31" s="27" customFormat="1" x14ac:dyDescent="0.25">
      <c r="A430"/>
      <c r="B430"/>
      <c r="C430"/>
      <c r="D430"/>
      <c r="E430"/>
      <c r="F430"/>
      <c r="G430"/>
      <c r="H430"/>
      <c r="I430"/>
      <c r="J430"/>
      <c r="L430"/>
      <c r="M430"/>
      <c r="N430"/>
      <c r="O430"/>
      <c r="P430"/>
      <c r="Q430"/>
      <c r="R430"/>
      <c r="S430"/>
      <c r="T430"/>
      <c r="U430"/>
      <c r="V430"/>
      <c r="X430"/>
      <c r="Y430"/>
      <c r="Z430" s="210"/>
      <c r="AD430"/>
      <c r="AE430"/>
    </row>
    <row r="431" spans="1:31" s="27" customFormat="1" x14ac:dyDescent="0.25">
      <c r="A431"/>
      <c r="B431"/>
      <c r="C431"/>
      <c r="D431"/>
      <c r="E431"/>
      <c r="F431"/>
      <c r="G431"/>
      <c r="H431"/>
      <c r="I431"/>
      <c r="J431"/>
      <c r="L431"/>
      <c r="M431"/>
      <c r="N431"/>
      <c r="O431"/>
      <c r="P431"/>
      <c r="Q431"/>
      <c r="R431"/>
      <c r="S431"/>
      <c r="T431"/>
      <c r="U431"/>
      <c r="V431"/>
      <c r="X431"/>
      <c r="Y431"/>
      <c r="Z431" s="210"/>
      <c r="AD431"/>
      <c r="AE431"/>
    </row>
    <row r="432" spans="1:31" s="27" customFormat="1" x14ac:dyDescent="0.25">
      <c r="A432"/>
      <c r="B432"/>
      <c r="C432"/>
      <c r="D432"/>
      <c r="E432"/>
      <c r="F432"/>
      <c r="G432"/>
      <c r="H432"/>
      <c r="I432"/>
      <c r="J432"/>
      <c r="L432"/>
      <c r="M432"/>
      <c r="N432"/>
      <c r="O432"/>
      <c r="P432"/>
      <c r="Q432"/>
      <c r="R432"/>
      <c r="S432"/>
      <c r="T432"/>
      <c r="U432"/>
      <c r="V432"/>
      <c r="X432"/>
      <c r="Y432"/>
      <c r="Z432" s="210"/>
      <c r="AD432"/>
      <c r="AE432"/>
    </row>
    <row r="433" spans="1:31" s="27" customFormat="1" x14ac:dyDescent="0.25">
      <c r="A433"/>
      <c r="B433"/>
      <c r="C433"/>
      <c r="D433"/>
      <c r="E433"/>
      <c r="F433"/>
      <c r="G433"/>
      <c r="H433"/>
      <c r="I433"/>
      <c r="J433"/>
      <c r="L433"/>
      <c r="M433"/>
      <c r="N433"/>
      <c r="O433"/>
      <c r="P433"/>
      <c r="Q433"/>
      <c r="R433"/>
      <c r="S433"/>
      <c r="T433"/>
      <c r="U433"/>
      <c r="V433"/>
      <c r="X433"/>
      <c r="Y433"/>
      <c r="Z433" s="210"/>
      <c r="AD433"/>
      <c r="AE433"/>
    </row>
    <row r="434" spans="1:31" s="27" customFormat="1" x14ac:dyDescent="0.25">
      <c r="A434"/>
      <c r="B434"/>
      <c r="C434"/>
      <c r="D434"/>
      <c r="E434"/>
      <c r="F434"/>
      <c r="G434"/>
      <c r="H434"/>
      <c r="I434"/>
      <c r="J434"/>
      <c r="L434"/>
      <c r="M434"/>
      <c r="N434"/>
      <c r="O434"/>
      <c r="P434"/>
      <c r="Q434"/>
      <c r="R434"/>
      <c r="S434"/>
      <c r="T434"/>
      <c r="U434"/>
      <c r="V434"/>
      <c r="X434"/>
      <c r="Y434"/>
      <c r="Z434" s="210"/>
      <c r="AD434"/>
      <c r="AE434"/>
    </row>
    <row r="435" spans="1:31" s="27" customFormat="1" x14ac:dyDescent="0.25">
      <c r="A435"/>
      <c r="B435"/>
      <c r="C435"/>
      <c r="D435"/>
      <c r="E435"/>
      <c r="F435"/>
      <c r="G435"/>
      <c r="H435"/>
      <c r="I435"/>
      <c r="J435"/>
      <c r="L435"/>
      <c r="M435"/>
      <c r="N435"/>
      <c r="O435"/>
      <c r="P435"/>
      <c r="Q435"/>
      <c r="R435"/>
      <c r="S435"/>
      <c r="T435"/>
      <c r="U435"/>
      <c r="V435"/>
      <c r="X435"/>
      <c r="Y435"/>
      <c r="Z435" s="210"/>
      <c r="AD435"/>
      <c r="AE435"/>
    </row>
    <row r="436" spans="1:31" s="27" customFormat="1" x14ac:dyDescent="0.25">
      <c r="A436"/>
      <c r="B436"/>
      <c r="C436"/>
      <c r="D436"/>
      <c r="E436"/>
      <c r="F436"/>
      <c r="G436"/>
      <c r="H436"/>
      <c r="I436"/>
      <c r="J436"/>
      <c r="L436"/>
      <c r="M436"/>
      <c r="N436"/>
      <c r="O436"/>
      <c r="P436"/>
      <c r="Q436"/>
      <c r="R436"/>
      <c r="S436"/>
      <c r="T436"/>
      <c r="U436"/>
      <c r="V436"/>
      <c r="X436"/>
      <c r="Y436"/>
      <c r="Z436" s="210"/>
      <c r="AD436"/>
      <c r="AE436"/>
    </row>
    <row r="437" spans="1:31" s="27" customFormat="1" x14ac:dyDescent="0.25">
      <c r="A437"/>
      <c r="B437"/>
      <c r="C437"/>
      <c r="D437"/>
      <c r="E437"/>
      <c r="F437"/>
      <c r="G437"/>
      <c r="H437"/>
      <c r="I437"/>
      <c r="J437"/>
      <c r="L437"/>
      <c r="M437"/>
      <c r="N437"/>
      <c r="O437"/>
      <c r="P437"/>
      <c r="Q437"/>
      <c r="R437"/>
      <c r="S437"/>
      <c r="T437"/>
      <c r="U437"/>
      <c r="V437"/>
      <c r="X437"/>
      <c r="Y437"/>
      <c r="Z437" s="210"/>
      <c r="AD437"/>
      <c r="AE437"/>
    </row>
    <row r="438" spans="1:31" s="27" customFormat="1" x14ac:dyDescent="0.25">
      <c r="A438"/>
      <c r="B438"/>
      <c r="C438"/>
      <c r="D438"/>
      <c r="E438"/>
      <c r="F438"/>
      <c r="G438"/>
      <c r="H438"/>
      <c r="I438"/>
      <c r="J438"/>
      <c r="L438"/>
      <c r="M438"/>
      <c r="N438"/>
      <c r="O438"/>
      <c r="P438"/>
      <c r="Q438"/>
      <c r="R438"/>
      <c r="S438"/>
      <c r="T438"/>
      <c r="U438"/>
      <c r="V438"/>
      <c r="X438"/>
      <c r="Y438"/>
      <c r="Z438" s="210"/>
      <c r="AD438"/>
      <c r="AE438"/>
    </row>
    <row r="439" spans="1:31" s="27" customFormat="1" x14ac:dyDescent="0.25">
      <c r="A439"/>
      <c r="B439"/>
      <c r="C439"/>
      <c r="D439"/>
      <c r="E439"/>
      <c r="F439"/>
      <c r="G439"/>
      <c r="H439"/>
      <c r="I439"/>
      <c r="J439"/>
      <c r="L439"/>
      <c r="M439"/>
      <c r="N439"/>
      <c r="O439"/>
      <c r="P439"/>
      <c r="Q439"/>
      <c r="R439"/>
      <c r="S439"/>
      <c r="T439"/>
      <c r="U439"/>
      <c r="V439"/>
      <c r="X439"/>
      <c r="Y439"/>
      <c r="Z439" s="210"/>
      <c r="AD439"/>
      <c r="AE439"/>
    </row>
    <row r="440" spans="1:31" s="27" customFormat="1" x14ac:dyDescent="0.25">
      <c r="A440"/>
      <c r="B440"/>
      <c r="C440"/>
      <c r="D440"/>
      <c r="E440"/>
      <c r="F440"/>
      <c r="G440"/>
      <c r="H440"/>
      <c r="I440"/>
      <c r="J440"/>
      <c r="L440"/>
      <c r="M440"/>
      <c r="N440"/>
      <c r="O440"/>
      <c r="P440"/>
      <c r="Q440"/>
      <c r="R440"/>
      <c r="S440"/>
      <c r="T440"/>
      <c r="U440"/>
      <c r="V440"/>
      <c r="X440"/>
      <c r="Y440"/>
      <c r="Z440" s="210"/>
      <c r="AD440"/>
      <c r="AE440"/>
    </row>
    <row r="441" spans="1:31" s="27" customFormat="1" x14ac:dyDescent="0.25">
      <c r="A441"/>
      <c r="B441"/>
      <c r="C441"/>
      <c r="D441"/>
      <c r="E441"/>
      <c r="F441"/>
      <c r="G441"/>
      <c r="H441"/>
      <c r="I441"/>
      <c r="J441"/>
      <c r="L441"/>
      <c r="M441"/>
      <c r="N441"/>
      <c r="O441"/>
      <c r="P441"/>
      <c r="Q441"/>
      <c r="R441"/>
      <c r="S441"/>
      <c r="T441"/>
      <c r="U441"/>
      <c r="V441"/>
      <c r="X441"/>
      <c r="Y441"/>
      <c r="Z441" s="210"/>
      <c r="AD441"/>
      <c r="AE441"/>
    </row>
    <row r="442" spans="1:31" s="27" customFormat="1" x14ac:dyDescent="0.25">
      <c r="A442"/>
      <c r="B442"/>
      <c r="C442"/>
      <c r="D442"/>
      <c r="E442"/>
      <c r="F442"/>
      <c r="G442"/>
      <c r="H442"/>
      <c r="I442"/>
      <c r="J442"/>
      <c r="L442"/>
      <c r="M442"/>
      <c r="N442"/>
      <c r="O442"/>
      <c r="P442"/>
      <c r="Q442"/>
      <c r="R442"/>
      <c r="S442"/>
      <c r="T442"/>
      <c r="U442"/>
      <c r="V442"/>
      <c r="X442"/>
      <c r="Y442"/>
      <c r="Z442" s="210"/>
      <c r="AD442"/>
      <c r="AE442"/>
    </row>
    <row r="443" spans="1:31" s="27" customFormat="1" x14ac:dyDescent="0.25">
      <c r="A443"/>
      <c r="B443"/>
      <c r="C443"/>
      <c r="D443"/>
      <c r="E443"/>
      <c r="F443"/>
      <c r="G443"/>
      <c r="H443"/>
      <c r="I443"/>
      <c r="J443"/>
      <c r="L443"/>
      <c r="M443"/>
      <c r="N443"/>
      <c r="O443"/>
      <c r="P443"/>
      <c r="Q443"/>
      <c r="R443"/>
      <c r="S443"/>
      <c r="T443"/>
      <c r="U443"/>
      <c r="V443"/>
      <c r="X443"/>
      <c r="Y443"/>
      <c r="Z443" s="210"/>
      <c r="AD443"/>
      <c r="AE443"/>
    </row>
    <row r="444" spans="1:31" s="27" customFormat="1" x14ac:dyDescent="0.25">
      <c r="A444"/>
      <c r="B444"/>
      <c r="C444"/>
      <c r="D444"/>
      <c r="E444"/>
      <c r="F444"/>
      <c r="G444"/>
      <c r="H444"/>
      <c r="I444"/>
      <c r="J444"/>
      <c r="L444"/>
      <c r="M444"/>
      <c r="N444"/>
      <c r="O444"/>
      <c r="P444"/>
      <c r="Q444"/>
      <c r="R444"/>
      <c r="S444"/>
      <c r="T444"/>
      <c r="U444"/>
      <c r="V444"/>
      <c r="X444"/>
      <c r="Y444"/>
      <c r="Z444" s="210"/>
      <c r="AD444"/>
      <c r="AE444"/>
    </row>
    <row r="445" spans="1:31" s="27" customFormat="1" x14ac:dyDescent="0.25">
      <c r="A445"/>
      <c r="B445"/>
      <c r="C445"/>
      <c r="D445"/>
      <c r="E445"/>
      <c r="F445"/>
      <c r="G445"/>
      <c r="H445"/>
      <c r="I445"/>
      <c r="J445"/>
      <c r="L445"/>
      <c r="M445"/>
      <c r="N445"/>
      <c r="O445"/>
      <c r="P445"/>
      <c r="Q445"/>
      <c r="R445"/>
      <c r="S445"/>
      <c r="T445"/>
      <c r="U445"/>
      <c r="V445"/>
      <c r="X445"/>
      <c r="Y445"/>
      <c r="Z445" s="210"/>
      <c r="AD445"/>
      <c r="AE445"/>
    </row>
    <row r="446" spans="1:31" s="27" customFormat="1" x14ac:dyDescent="0.25">
      <c r="A446"/>
      <c r="B446"/>
      <c r="C446"/>
      <c r="D446"/>
      <c r="E446"/>
      <c r="F446"/>
      <c r="G446"/>
      <c r="H446"/>
      <c r="I446"/>
      <c r="J446"/>
      <c r="L446"/>
      <c r="M446"/>
      <c r="N446"/>
      <c r="O446"/>
      <c r="P446"/>
      <c r="Q446"/>
      <c r="R446"/>
      <c r="S446"/>
      <c r="T446"/>
      <c r="U446"/>
      <c r="V446"/>
      <c r="X446"/>
      <c r="Y446"/>
      <c r="Z446" s="210"/>
      <c r="AD446"/>
      <c r="AE446"/>
    </row>
    <row r="447" spans="1:31" s="27" customFormat="1" x14ac:dyDescent="0.25">
      <c r="A447"/>
      <c r="B447"/>
      <c r="C447"/>
      <c r="D447"/>
      <c r="E447"/>
      <c r="F447"/>
      <c r="G447"/>
      <c r="H447"/>
      <c r="I447"/>
      <c r="J447"/>
      <c r="L447"/>
      <c r="M447"/>
      <c r="N447"/>
      <c r="O447"/>
      <c r="P447"/>
      <c r="Q447"/>
      <c r="R447"/>
      <c r="S447"/>
      <c r="T447"/>
      <c r="U447"/>
      <c r="V447"/>
      <c r="X447"/>
      <c r="Y447"/>
      <c r="Z447" s="210"/>
      <c r="AD447"/>
      <c r="AE447"/>
    </row>
    <row r="448" spans="1:31" s="27" customFormat="1" x14ac:dyDescent="0.25">
      <c r="A448"/>
      <c r="B448"/>
      <c r="C448"/>
      <c r="D448"/>
      <c r="E448"/>
      <c r="F448"/>
      <c r="G448"/>
      <c r="H448"/>
      <c r="I448"/>
      <c r="J448"/>
      <c r="L448"/>
      <c r="M448"/>
      <c r="N448"/>
      <c r="O448"/>
      <c r="P448"/>
      <c r="Q448"/>
      <c r="R448"/>
      <c r="S448"/>
      <c r="T448"/>
      <c r="U448"/>
      <c r="V448"/>
      <c r="X448"/>
      <c r="Y448"/>
      <c r="Z448" s="210"/>
      <c r="AD448"/>
      <c r="AE448"/>
    </row>
    <row r="449" spans="1:31" s="27" customFormat="1" x14ac:dyDescent="0.25">
      <c r="A449"/>
      <c r="B449"/>
      <c r="C449"/>
      <c r="D449"/>
      <c r="E449"/>
      <c r="F449"/>
      <c r="G449"/>
      <c r="H449"/>
      <c r="I449"/>
      <c r="J449"/>
      <c r="L449"/>
      <c r="M449"/>
      <c r="N449"/>
      <c r="O449"/>
      <c r="P449"/>
      <c r="Q449"/>
      <c r="R449"/>
      <c r="S449"/>
      <c r="T449"/>
      <c r="U449"/>
      <c r="V449"/>
      <c r="X449"/>
      <c r="Y449"/>
      <c r="Z449" s="210"/>
      <c r="AD449"/>
      <c r="AE449"/>
    </row>
    <row r="450" spans="1:31" s="27" customFormat="1" x14ac:dyDescent="0.25">
      <c r="A450"/>
      <c r="B450"/>
      <c r="C450"/>
      <c r="D450"/>
      <c r="E450"/>
      <c r="F450"/>
      <c r="G450"/>
      <c r="H450"/>
      <c r="I450"/>
      <c r="J450"/>
      <c r="L450"/>
      <c r="M450"/>
      <c r="N450"/>
      <c r="O450"/>
      <c r="P450"/>
      <c r="Q450"/>
      <c r="R450"/>
      <c r="S450"/>
      <c r="T450"/>
      <c r="U450"/>
      <c r="V450"/>
      <c r="X450"/>
      <c r="Y450"/>
      <c r="Z450" s="210"/>
      <c r="AD450"/>
      <c r="AE450"/>
    </row>
    <row r="451" spans="1:31" s="27" customFormat="1" x14ac:dyDescent="0.25">
      <c r="A451"/>
      <c r="B451"/>
      <c r="C451"/>
      <c r="D451"/>
      <c r="E451"/>
      <c r="F451"/>
      <c r="G451"/>
      <c r="H451"/>
      <c r="I451"/>
      <c r="J451"/>
      <c r="L451"/>
      <c r="M451"/>
      <c r="N451"/>
      <c r="O451"/>
      <c r="P451"/>
      <c r="Q451"/>
      <c r="R451"/>
      <c r="S451"/>
      <c r="T451"/>
      <c r="U451"/>
      <c r="V451"/>
      <c r="X451"/>
      <c r="Y451"/>
      <c r="Z451" s="210"/>
      <c r="AD451"/>
      <c r="AE451"/>
    </row>
    <row r="452" spans="1:31" s="27" customFormat="1" x14ac:dyDescent="0.25">
      <c r="A452"/>
      <c r="B452"/>
      <c r="C452"/>
      <c r="D452"/>
      <c r="E452"/>
      <c r="F452"/>
      <c r="G452"/>
      <c r="H452"/>
      <c r="I452"/>
      <c r="J452"/>
      <c r="L452"/>
      <c r="M452"/>
      <c r="N452"/>
      <c r="O452"/>
      <c r="P452"/>
      <c r="Q452"/>
      <c r="R452"/>
      <c r="S452"/>
      <c r="T452"/>
      <c r="U452"/>
      <c r="V452"/>
      <c r="X452"/>
      <c r="Y452"/>
      <c r="Z452" s="210"/>
      <c r="AD452"/>
      <c r="AE452"/>
    </row>
    <row r="453" spans="1:31" s="27" customFormat="1" x14ac:dyDescent="0.25">
      <c r="A453"/>
      <c r="B453"/>
      <c r="C453"/>
      <c r="D453"/>
      <c r="E453"/>
      <c r="F453"/>
      <c r="G453"/>
      <c r="H453"/>
      <c r="I453"/>
      <c r="J453"/>
      <c r="L453"/>
      <c r="M453"/>
      <c r="N453"/>
      <c r="O453"/>
      <c r="P453"/>
      <c r="Q453"/>
      <c r="R453"/>
      <c r="S453"/>
      <c r="T453"/>
      <c r="U453"/>
      <c r="V453"/>
      <c r="X453"/>
      <c r="Y453"/>
      <c r="Z453" s="210"/>
      <c r="AD453"/>
      <c r="AE453"/>
    </row>
    <row r="454" spans="1:31" s="27" customFormat="1" x14ac:dyDescent="0.25">
      <c r="A454"/>
      <c r="B454"/>
      <c r="C454"/>
      <c r="D454"/>
      <c r="E454"/>
      <c r="F454"/>
      <c r="G454"/>
      <c r="H454"/>
      <c r="I454"/>
      <c r="J454"/>
      <c r="L454"/>
      <c r="M454"/>
      <c r="N454"/>
      <c r="O454"/>
      <c r="P454"/>
      <c r="Q454"/>
      <c r="R454"/>
      <c r="S454"/>
      <c r="T454"/>
      <c r="U454"/>
      <c r="V454"/>
      <c r="X454"/>
      <c r="Y454"/>
      <c r="Z454" s="210"/>
      <c r="AD454"/>
      <c r="AE454"/>
    </row>
    <row r="455" spans="1:31" s="27" customFormat="1" x14ac:dyDescent="0.25">
      <c r="A455"/>
      <c r="B455"/>
      <c r="C455"/>
      <c r="D455"/>
      <c r="E455"/>
      <c r="F455"/>
      <c r="G455"/>
      <c r="H455"/>
      <c r="I455"/>
      <c r="J455"/>
      <c r="L455"/>
      <c r="M455"/>
      <c r="N455"/>
      <c r="O455"/>
      <c r="P455"/>
      <c r="Q455"/>
      <c r="R455"/>
      <c r="S455"/>
      <c r="T455"/>
      <c r="U455"/>
      <c r="V455"/>
      <c r="X455"/>
      <c r="Y455"/>
      <c r="Z455" s="210"/>
      <c r="AD455"/>
      <c r="AE455"/>
    </row>
    <row r="456" spans="1:31" s="27" customFormat="1" x14ac:dyDescent="0.25">
      <c r="A456"/>
      <c r="B456"/>
      <c r="C456"/>
      <c r="D456"/>
      <c r="E456"/>
      <c r="F456"/>
      <c r="G456"/>
      <c r="H456"/>
      <c r="I456"/>
      <c r="J456"/>
      <c r="L456"/>
      <c r="M456"/>
      <c r="N456"/>
      <c r="O456"/>
      <c r="P456"/>
      <c r="Q456"/>
      <c r="R456"/>
      <c r="S456"/>
      <c r="T456"/>
      <c r="U456"/>
      <c r="V456"/>
      <c r="X456"/>
      <c r="Y456"/>
      <c r="Z456" s="210"/>
      <c r="AD456"/>
      <c r="AE456"/>
    </row>
    <row r="457" spans="1:31" s="27" customFormat="1" x14ac:dyDescent="0.25">
      <c r="A457"/>
      <c r="B457"/>
      <c r="C457"/>
      <c r="D457"/>
      <c r="E457"/>
      <c r="F457"/>
      <c r="G457"/>
      <c r="H457"/>
      <c r="I457"/>
      <c r="J457"/>
      <c r="L457"/>
      <c r="M457"/>
      <c r="N457"/>
      <c r="O457"/>
      <c r="P457"/>
      <c r="Q457"/>
      <c r="R457"/>
      <c r="S457"/>
      <c r="T457"/>
      <c r="U457"/>
      <c r="V457"/>
      <c r="X457"/>
      <c r="Y457"/>
      <c r="Z457" s="210"/>
      <c r="AD457"/>
      <c r="AE457"/>
    </row>
    <row r="458" spans="1:31" s="27" customFormat="1" x14ac:dyDescent="0.25">
      <c r="A458"/>
      <c r="B458"/>
      <c r="C458"/>
      <c r="D458"/>
      <c r="E458"/>
      <c r="F458"/>
      <c r="G458"/>
      <c r="H458"/>
      <c r="I458"/>
      <c r="J458"/>
      <c r="L458"/>
      <c r="M458"/>
      <c r="N458"/>
      <c r="O458"/>
      <c r="P458"/>
      <c r="Q458"/>
      <c r="R458"/>
      <c r="S458"/>
      <c r="T458"/>
      <c r="U458"/>
      <c r="V458"/>
      <c r="X458"/>
      <c r="Y458"/>
      <c r="Z458" s="210"/>
      <c r="AD458"/>
      <c r="AE458"/>
    </row>
    <row r="459" spans="1:31" s="27" customFormat="1" x14ac:dyDescent="0.25">
      <c r="A459"/>
      <c r="B459"/>
      <c r="C459"/>
      <c r="D459"/>
      <c r="E459"/>
      <c r="F459"/>
      <c r="G459"/>
      <c r="H459"/>
      <c r="I459"/>
      <c r="J459"/>
      <c r="L459"/>
      <c r="M459"/>
      <c r="N459"/>
      <c r="O459"/>
      <c r="P459"/>
      <c r="Q459"/>
      <c r="R459"/>
      <c r="S459"/>
      <c r="T459"/>
      <c r="U459"/>
      <c r="V459"/>
      <c r="X459"/>
      <c r="Y459"/>
      <c r="Z459" s="210"/>
      <c r="AD459"/>
      <c r="AE459"/>
    </row>
    <row r="460" spans="1:31" s="27" customFormat="1" x14ac:dyDescent="0.25">
      <c r="A460"/>
      <c r="B460"/>
      <c r="C460"/>
      <c r="D460"/>
      <c r="E460"/>
      <c r="F460"/>
      <c r="G460"/>
      <c r="H460"/>
      <c r="I460"/>
      <c r="J460"/>
      <c r="L460"/>
      <c r="M460"/>
      <c r="N460"/>
      <c r="O460"/>
      <c r="P460"/>
      <c r="Q460"/>
      <c r="R460"/>
      <c r="S460"/>
      <c r="T460"/>
      <c r="U460"/>
      <c r="V460"/>
      <c r="X460"/>
      <c r="Y460"/>
      <c r="Z460" s="210"/>
      <c r="AD460"/>
      <c r="AE460"/>
    </row>
    <row r="461" spans="1:31" s="27" customFormat="1" x14ac:dyDescent="0.25">
      <c r="A461"/>
      <c r="B461"/>
      <c r="C461"/>
      <c r="D461"/>
      <c r="E461"/>
      <c r="F461"/>
      <c r="G461"/>
      <c r="H461"/>
      <c r="I461"/>
      <c r="J461"/>
      <c r="L461"/>
      <c r="M461"/>
      <c r="N461"/>
      <c r="O461"/>
      <c r="P461"/>
      <c r="Q461"/>
      <c r="R461"/>
      <c r="S461"/>
      <c r="T461"/>
      <c r="U461"/>
      <c r="V461"/>
      <c r="X461"/>
      <c r="Y461"/>
      <c r="Z461" s="210"/>
      <c r="AD461"/>
      <c r="AE461"/>
    </row>
    <row r="462" spans="1:31" s="27" customFormat="1" x14ac:dyDescent="0.25">
      <c r="A462"/>
      <c r="B462"/>
      <c r="C462"/>
      <c r="D462"/>
      <c r="E462"/>
      <c r="F462"/>
      <c r="G462"/>
      <c r="H462"/>
      <c r="I462"/>
      <c r="J462"/>
      <c r="L462"/>
      <c r="M462"/>
      <c r="N462"/>
      <c r="O462"/>
      <c r="P462"/>
      <c r="Q462"/>
      <c r="R462"/>
      <c r="S462"/>
      <c r="T462"/>
      <c r="U462"/>
      <c r="V462"/>
      <c r="X462"/>
      <c r="Y462"/>
      <c r="Z462" s="210"/>
      <c r="AD462"/>
      <c r="AE462"/>
    </row>
    <row r="463" spans="1:31" s="27" customFormat="1" x14ac:dyDescent="0.25">
      <c r="A463"/>
      <c r="B463"/>
      <c r="C463"/>
      <c r="D463"/>
      <c r="E463"/>
      <c r="F463"/>
      <c r="G463"/>
      <c r="H463"/>
      <c r="I463"/>
      <c r="J463"/>
      <c r="L463"/>
      <c r="M463"/>
      <c r="N463"/>
      <c r="O463"/>
      <c r="P463"/>
      <c r="Q463"/>
      <c r="R463"/>
      <c r="S463"/>
      <c r="T463"/>
      <c r="U463"/>
      <c r="V463"/>
      <c r="X463"/>
      <c r="Y463"/>
      <c r="Z463" s="210"/>
      <c r="AD463"/>
      <c r="AE463"/>
    </row>
    <row r="464" spans="1:31" s="27" customFormat="1" x14ac:dyDescent="0.25">
      <c r="A464"/>
      <c r="B464"/>
      <c r="C464"/>
      <c r="D464"/>
      <c r="E464"/>
      <c r="F464"/>
      <c r="G464"/>
      <c r="H464"/>
      <c r="I464"/>
      <c r="J464"/>
      <c r="L464"/>
      <c r="M464"/>
      <c r="N464"/>
      <c r="O464"/>
      <c r="P464"/>
      <c r="Q464"/>
      <c r="R464"/>
      <c r="S464"/>
      <c r="T464"/>
      <c r="U464"/>
      <c r="V464"/>
      <c r="X464"/>
      <c r="Y464"/>
      <c r="Z464" s="210"/>
      <c r="AD464"/>
      <c r="AE464"/>
    </row>
    <row r="465" spans="1:31" s="27" customFormat="1" x14ac:dyDescent="0.25">
      <c r="A465"/>
      <c r="B465"/>
      <c r="C465"/>
      <c r="D465"/>
      <c r="E465"/>
      <c r="F465"/>
      <c r="G465"/>
      <c r="H465"/>
      <c r="I465"/>
      <c r="J465"/>
      <c r="L465"/>
      <c r="M465"/>
      <c r="N465"/>
      <c r="O465"/>
      <c r="P465"/>
      <c r="Q465"/>
      <c r="R465"/>
      <c r="S465"/>
      <c r="T465"/>
      <c r="U465"/>
      <c r="V465"/>
      <c r="X465"/>
      <c r="Y465"/>
      <c r="Z465" s="210"/>
      <c r="AD465"/>
      <c r="AE465"/>
    </row>
    <row r="466" spans="1:31" s="27" customFormat="1" x14ac:dyDescent="0.25">
      <c r="A466"/>
      <c r="B466"/>
      <c r="C466"/>
      <c r="D466"/>
      <c r="E466"/>
      <c r="F466"/>
      <c r="G466"/>
      <c r="H466"/>
      <c r="I466"/>
      <c r="J466"/>
      <c r="L466"/>
      <c r="M466"/>
      <c r="N466"/>
      <c r="O466"/>
      <c r="P466"/>
      <c r="Q466"/>
      <c r="R466"/>
      <c r="S466"/>
      <c r="T466"/>
      <c r="U466"/>
      <c r="V466"/>
      <c r="X466"/>
      <c r="Y466"/>
      <c r="Z466" s="210"/>
      <c r="AD466"/>
      <c r="AE466"/>
    </row>
    <row r="467" spans="1:31" s="27" customFormat="1" x14ac:dyDescent="0.25">
      <c r="A467"/>
      <c r="B467"/>
      <c r="C467"/>
      <c r="D467"/>
      <c r="E467"/>
      <c r="F467"/>
      <c r="G467"/>
      <c r="H467"/>
      <c r="I467"/>
      <c r="J467"/>
      <c r="L467"/>
      <c r="M467"/>
      <c r="N467"/>
      <c r="O467"/>
      <c r="P467"/>
      <c r="Q467"/>
      <c r="R467"/>
      <c r="S467"/>
      <c r="T467"/>
      <c r="U467"/>
      <c r="V467"/>
      <c r="X467"/>
      <c r="Y467"/>
      <c r="Z467" s="210"/>
      <c r="AD467"/>
      <c r="AE467"/>
    </row>
    <row r="468" spans="1:31" s="27" customFormat="1" x14ac:dyDescent="0.25">
      <c r="A468"/>
      <c r="B468"/>
      <c r="C468"/>
      <c r="D468"/>
      <c r="E468"/>
      <c r="F468"/>
      <c r="G468"/>
      <c r="H468"/>
      <c r="I468"/>
      <c r="J468"/>
      <c r="L468"/>
      <c r="M468"/>
      <c r="N468"/>
      <c r="O468"/>
      <c r="P468"/>
      <c r="Q468"/>
      <c r="R468"/>
      <c r="S468"/>
      <c r="T468"/>
      <c r="U468"/>
      <c r="V468"/>
      <c r="X468"/>
      <c r="Y468"/>
      <c r="Z468" s="210"/>
      <c r="AD468"/>
      <c r="AE468"/>
    </row>
    <row r="469" spans="1:31" s="27" customFormat="1" x14ac:dyDescent="0.25">
      <c r="A469"/>
      <c r="B469"/>
      <c r="C469"/>
      <c r="D469"/>
      <c r="E469"/>
      <c r="F469"/>
      <c r="G469"/>
      <c r="H469"/>
      <c r="I469"/>
      <c r="J469"/>
      <c r="L469"/>
      <c r="M469"/>
      <c r="N469"/>
      <c r="O469"/>
      <c r="P469"/>
      <c r="Q469"/>
      <c r="R469"/>
      <c r="S469"/>
      <c r="T469"/>
      <c r="U469"/>
      <c r="V469"/>
      <c r="X469"/>
      <c r="Y469"/>
      <c r="Z469" s="210"/>
      <c r="AD469"/>
      <c r="AE469"/>
    </row>
    <row r="470" spans="1:31" s="27" customFormat="1" x14ac:dyDescent="0.25">
      <c r="A470"/>
      <c r="B470"/>
      <c r="C470"/>
      <c r="D470"/>
      <c r="E470"/>
      <c r="F470"/>
      <c r="G470"/>
      <c r="H470"/>
      <c r="I470"/>
      <c r="J470"/>
      <c r="L470"/>
      <c r="M470"/>
      <c r="N470"/>
      <c r="O470"/>
      <c r="P470"/>
      <c r="Q470"/>
      <c r="R470"/>
      <c r="S470"/>
      <c r="T470"/>
      <c r="U470"/>
      <c r="V470"/>
      <c r="X470"/>
      <c r="Y470"/>
      <c r="Z470" s="210"/>
      <c r="AD470"/>
      <c r="AE470"/>
    </row>
    <row r="471" spans="1:31" s="27" customFormat="1" x14ac:dyDescent="0.25">
      <c r="A471"/>
      <c r="B471"/>
      <c r="C471"/>
      <c r="D471"/>
      <c r="E471"/>
      <c r="F471"/>
      <c r="G471"/>
      <c r="H471"/>
      <c r="I471"/>
      <c r="J471"/>
      <c r="L471"/>
      <c r="M471"/>
      <c r="N471"/>
      <c r="O471"/>
      <c r="P471"/>
      <c r="Q471"/>
      <c r="R471"/>
      <c r="S471"/>
      <c r="T471"/>
      <c r="U471"/>
      <c r="V471"/>
      <c r="X471"/>
      <c r="Y471"/>
      <c r="Z471" s="210"/>
      <c r="AD471"/>
      <c r="AE471"/>
    </row>
    <row r="472" spans="1:31" s="27" customFormat="1" x14ac:dyDescent="0.25">
      <c r="A472"/>
      <c r="B472"/>
      <c r="C472"/>
      <c r="D472"/>
      <c r="E472"/>
      <c r="F472"/>
      <c r="G472"/>
      <c r="H472"/>
      <c r="I472"/>
      <c r="J472"/>
      <c r="L472"/>
      <c r="M472"/>
      <c r="N472"/>
      <c r="O472"/>
      <c r="P472"/>
      <c r="Q472"/>
      <c r="R472"/>
      <c r="S472"/>
      <c r="T472"/>
      <c r="U472"/>
      <c r="V472"/>
      <c r="X472"/>
      <c r="Y472"/>
      <c r="Z472" s="210"/>
      <c r="AD472"/>
      <c r="AE472"/>
    </row>
    <row r="473" spans="1:31" s="27" customFormat="1" x14ac:dyDescent="0.25">
      <c r="A473"/>
      <c r="B473"/>
      <c r="C473"/>
      <c r="D473"/>
      <c r="E473"/>
      <c r="F473"/>
      <c r="G473"/>
      <c r="H473"/>
      <c r="I473"/>
      <c r="J473"/>
      <c r="L473"/>
      <c r="M473"/>
      <c r="N473"/>
      <c r="O473"/>
      <c r="P473"/>
      <c r="Q473"/>
      <c r="R473"/>
      <c r="S473"/>
      <c r="T473"/>
      <c r="U473"/>
      <c r="V473"/>
      <c r="X473"/>
      <c r="Y473"/>
      <c r="Z473" s="210"/>
      <c r="AD473"/>
      <c r="AE473"/>
    </row>
    <row r="474" spans="1:31" s="27" customFormat="1" x14ac:dyDescent="0.25">
      <c r="A474"/>
      <c r="B474"/>
      <c r="C474"/>
      <c r="D474"/>
      <c r="E474"/>
      <c r="F474"/>
      <c r="G474"/>
      <c r="H474"/>
      <c r="I474"/>
      <c r="J474"/>
      <c r="L474"/>
      <c r="M474"/>
      <c r="N474"/>
      <c r="O474"/>
      <c r="P474"/>
      <c r="Q474"/>
      <c r="R474"/>
      <c r="S474"/>
      <c r="T474"/>
      <c r="U474"/>
      <c r="V474"/>
      <c r="X474"/>
      <c r="Y474"/>
      <c r="Z474" s="210"/>
      <c r="AD474"/>
      <c r="AE474"/>
    </row>
    <row r="475" spans="1:31" s="27" customFormat="1" x14ac:dyDescent="0.25">
      <c r="A475"/>
      <c r="B475"/>
      <c r="C475"/>
      <c r="D475"/>
      <c r="E475"/>
      <c r="F475"/>
      <c r="G475"/>
      <c r="H475"/>
      <c r="I475"/>
      <c r="J475"/>
      <c r="L475"/>
      <c r="M475"/>
      <c r="N475"/>
      <c r="O475"/>
      <c r="P475"/>
      <c r="Q475"/>
      <c r="R475"/>
      <c r="S475"/>
      <c r="T475"/>
      <c r="U475"/>
      <c r="V475"/>
      <c r="X475"/>
      <c r="Y475"/>
      <c r="Z475" s="210"/>
      <c r="AD475"/>
      <c r="AE475"/>
    </row>
    <row r="476" spans="1:31" s="27" customFormat="1" x14ac:dyDescent="0.25">
      <c r="A476"/>
      <c r="B476"/>
      <c r="C476"/>
      <c r="D476"/>
      <c r="E476"/>
      <c r="F476"/>
      <c r="G476"/>
      <c r="H476"/>
      <c r="I476"/>
      <c r="J476"/>
      <c r="L476"/>
      <c r="M476"/>
      <c r="N476"/>
      <c r="O476"/>
      <c r="P476"/>
      <c r="Q476"/>
      <c r="R476"/>
      <c r="S476"/>
      <c r="T476"/>
      <c r="U476"/>
      <c r="V476"/>
      <c r="X476"/>
      <c r="Y476"/>
      <c r="Z476" s="210"/>
      <c r="AD476"/>
      <c r="AE476"/>
    </row>
    <row r="477" spans="1:31" s="27" customFormat="1" x14ac:dyDescent="0.25">
      <c r="A477"/>
      <c r="B477"/>
      <c r="C477"/>
      <c r="D477"/>
      <c r="E477"/>
      <c r="F477"/>
      <c r="G477"/>
      <c r="H477"/>
      <c r="I477"/>
      <c r="J477"/>
      <c r="L477"/>
      <c r="M477"/>
      <c r="N477"/>
      <c r="O477"/>
      <c r="P477"/>
      <c r="Q477"/>
      <c r="R477"/>
      <c r="S477"/>
      <c r="T477"/>
      <c r="U477"/>
      <c r="V477"/>
      <c r="X477"/>
      <c r="Y477"/>
      <c r="Z477" s="210"/>
      <c r="AD477"/>
      <c r="AE477"/>
    </row>
    <row r="478" spans="1:31" s="27" customFormat="1" x14ac:dyDescent="0.25">
      <c r="A478"/>
      <c r="B478"/>
      <c r="C478"/>
      <c r="D478"/>
      <c r="E478"/>
      <c r="F478"/>
      <c r="G478"/>
      <c r="H478"/>
      <c r="I478"/>
      <c r="J478"/>
      <c r="L478"/>
      <c r="M478"/>
      <c r="N478"/>
      <c r="O478"/>
      <c r="P478"/>
      <c r="Q478"/>
      <c r="R478"/>
      <c r="S478"/>
      <c r="T478"/>
      <c r="U478"/>
      <c r="V478"/>
      <c r="X478"/>
      <c r="Y478"/>
      <c r="Z478" s="210"/>
      <c r="AD478"/>
      <c r="AE478"/>
    </row>
    <row r="479" spans="1:31" s="27" customFormat="1" x14ac:dyDescent="0.25">
      <c r="A479"/>
      <c r="B479"/>
      <c r="C479"/>
      <c r="D479"/>
      <c r="E479"/>
      <c r="F479"/>
      <c r="G479"/>
      <c r="H479"/>
      <c r="I479"/>
      <c r="J479"/>
      <c r="L479"/>
      <c r="M479"/>
      <c r="N479"/>
      <c r="O479"/>
      <c r="P479"/>
      <c r="Q479"/>
      <c r="R479"/>
      <c r="S479"/>
      <c r="T479"/>
      <c r="U479"/>
      <c r="V479"/>
      <c r="X479"/>
      <c r="Y479"/>
      <c r="Z479" s="210"/>
      <c r="AD479"/>
      <c r="AE479"/>
    </row>
    <row r="480" spans="1:31" s="27" customFormat="1" x14ac:dyDescent="0.25">
      <c r="A480"/>
      <c r="B480"/>
      <c r="C480"/>
      <c r="D480"/>
      <c r="E480"/>
      <c r="F480"/>
      <c r="G480"/>
      <c r="H480"/>
      <c r="I480"/>
      <c r="J480"/>
      <c r="L480"/>
      <c r="M480"/>
      <c r="N480"/>
      <c r="O480"/>
      <c r="P480"/>
      <c r="Q480"/>
      <c r="R480"/>
      <c r="S480"/>
      <c r="T480"/>
      <c r="U480"/>
      <c r="V480"/>
      <c r="X480"/>
      <c r="Y480"/>
      <c r="Z480" s="210"/>
      <c r="AD480"/>
      <c r="AE480"/>
    </row>
    <row r="481" spans="1:31" s="27" customFormat="1" x14ac:dyDescent="0.25">
      <c r="A481"/>
      <c r="B481"/>
      <c r="C481"/>
      <c r="D481"/>
      <c r="E481"/>
      <c r="F481"/>
      <c r="G481"/>
      <c r="H481"/>
      <c r="I481"/>
      <c r="J481"/>
      <c r="L481"/>
      <c r="M481"/>
      <c r="N481"/>
      <c r="O481"/>
      <c r="P481"/>
      <c r="Q481"/>
      <c r="R481"/>
      <c r="S481"/>
      <c r="T481"/>
      <c r="U481"/>
      <c r="V481"/>
      <c r="X481"/>
      <c r="Y481"/>
      <c r="Z481" s="210"/>
      <c r="AD481"/>
      <c r="AE481"/>
    </row>
    <row r="482" spans="1:31" s="27" customFormat="1" x14ac:dyDescent="0.25">
      <c r="A482"/>
      <c r="B482"/>
      <c r="C482"/>
      <c r="D482"/>
      <c r="E482"/>
      <c r="F482"/>
      <c r="G482"/>
      <c r="H482"/>
      <c r="I482"/>
      <c r="J482"/>
      <c r="L482"/>
      <c r="M482"/>
      <c r="N482"/>
      <c r="O482"/>
      <c r="P482"/>
      <c r="Q482"/>
      <c r="R482"/>
      <c r="S482"/>
      <c r="T482"/>
      <c r="U482"/>
      <c r="V482"/>
      <c r="X482"/>
      <c r="Y482"/>
      <c r="Z482" s="210"/>
      <c r="AD482"/>
      <c r="AE482"/>
    </row>
    <row r="483" spans="1:31" s="27" customFormat="1" x14ac:dyDescent="0.25">
      <c r="A483"/>
      <c r="B483"/>
      <c r="C483"/>
      <c r="D483"/>
      <c r="E483"/>
      <c r="F483"/>
      <c r="G483"/>
      <c r="H483"/>
      <c r="I483"/>
      <c r="J483"/>
      <c r="L483"/>
      <c r="M483"/>
      <c r="N483"/>
      <c r="O483"/>
      <c r="P483"/>
      <c r="Q483"/>
      <c r="R483"/>
      <c r="S483"/>
      <c r="T483"/>
      <c r="U483"/>
      <c r="V483"/>
      <c r="X483"/>
      <c r="Y483"/>
      <c r="Z483" s="210"/>
      <c r="AD483"/>
      <c r="AE483"/>
    </row>
    <row r="484" spans="1:31" s="27" customFormat="1" x14ac:dyDescent="0.25">
      <c r="A484"/>
      <c r="B484"/>
      <c r="C484"/>
      <c r="D484"/>
      <c r="E484"/>
      <c r="F484"/>
      <c r="G484"/>
      <c r="H484"/>
      <c r="I484"/>
      <c r="J484"/>
      <c r="L484"/>
      <c r="M484"/>
      <c r="N484"/>
      <c r="O484"/>
      <c r="P484"/>
      <c r="Q484"/>
      <c r="R484"/>
      <c r="S484"/>
      <c r="T484"/>
      <c r="U484"/>
      <c r="V484"/>
      <c r="X484"/>
      <c r="Y484"/>
      <c r="Z484" s="210"/>
      <c r="AD484"/>
      <c r="AE484"/>
    </row>
    <row r="485" spans="1:31" s="27" customFormat="1" x14ac:dyDescent="0.25">
      <c r="A485"/>
      <c r="B485"/>
      <c r="C485"/>
      <c r="D485"/>
      <c r="E485"/>
      <c r="F485"/>
      <c r="G485"/>
      <c r="H485"/>
      <c r="I485"/>
      <c r="J485"/>
      <c r="L485"/>
      <c r="M485"/>
      <c r="N485"/>
      <c r="O485"/>
      <c r="P485"/>
      <c r="Q485"/>
      <c r="R485"/>
      <c r="S485"/>
      <c r="T485"/>
      <c r="U485"/>
      <c r="V485"/>
      <c r="X485"/>
      <c r="Y485"/>
      <c r="Z485" s="210"/>
      <c r="AD485"/>
      <c r="AE485"/>
    </row>
    <row r="486" spans="1:31" s="27" customFormat="1" x14ac:dyDescent="0.25">
      <c r="A486"/>
      <c r="B486"/>
      <c r="C486"/>
      <c r="D486"/>
      <c r="E486"/>
      <c r="F486"/>
      <c r="G486"/>
      <c r="H486"/>
      <c r="I486"/>
      <c r="J486"/>
      <c r="L486"/>
      <c r="M486"/>
      <c r="N486"/>
      <c r="O486"/>
      <c r="P486"/>
      <c r="Q486"/>
      <c r="R486"/>
      <c r="S486"/>
      <c r="T486"/>
      <c r="U486"/>
      <c r="V486"/>
      <c r="X486"/>
      <c r="Y486"/>
      <c r="Z486" s="210"/>
      <c r="AD486"/>
      <c r="AE486"/>
    </row>
    <row r="487" spans="1:31" s="27" customFormat="1" x14ac:dyDescent="0.25">
      <c r="A487"/>
      <c r="B487"/>
      <c r="C487"/>
      <c r="D487"/>
      <c r="E487"/>
      <c r="F487"/>
      <c r="G487"/>
      <c r="H487"/>
      <c r="I487"/>
      <c r="J487"/>
      <c r="L487"/>
      <c r="M487"/>
      <c r="N487"/>
      <c r="O487"/>
      <c r="P487"/>
      <c r="Q487"/>
      <c r="R487"/>
      <c r="S487"/>
      <c r="T487"/>
      <c r="U487"/>
      <c r="V487"/>
      <c r="X487"/>
      <c r="Y487"/>
      <c r="Z487" s="210"/>
      <c r="AD487"/>
      <c r="AE487"/>
    </row>
    <row r="488" spans="1:31" s="27" customFormat="1" x14ac:dyDescent="0.25">
      <c r="A488"/>
      <c r="B488"/>
      <c r="C488"/>
      <c r="D488"/>
      <c r="E488"/>
      <c r="F488"/>
      <c r="G488"/>
      <c r="H488"/>
      <c r="I488"/>
      <c r="J488"/>
      <c r="L488"/>
      <c r="M488"/>
      <c r="N488"/>
      <c r="O488"/>
      <c r="P488"/>
      <c r="Q488"/>
      <c r="R488"/>
      <c r="S488"/>
      <c r="T488"/>
      <c r="U488"/>
      <c r="V488"/>
      <c r="X488"/>
      <c r="Y488"/>
      <c r="Z488" s="210"/>
      <c r="AD488"/>
      <c r="AE488"/>
    </row>
    <row r="489" spans="1:31" s="27" customFormat="1" x14ac:dyDescent="0.25">
      <c r="A489"/>
      <c r="B489"/>
      <c r="C489"/>
      <c r="D489"/>
      <c r="E489"/>
      <c r="F489"/>
      <c r="G489"/>
      <c r="H489"/>
      <c r="I489"/>
      <c r="J489"/>
      <c r="L489"/>
      <c r="M489"/>
      <c r="N489"/>
      <c r="O489"/>
      <c r="P489"/>
      <c r="Q489"/>
      <c r="R489"/>
      <c r="S489"/>
      <c r="T489"/>
      <c r="U489"/>
      <c r="V489"/>
      <c r="X489"/>
      <c r="Y489"/>
      <c r="Z489" s="210"/>
      <c r="AD489"/>
      <c r="AE489"/>
    </row>
    <row r="490" spans="1:31" s="27" customFormat="1" x14ac:dyDescent="0.25">
      <c r="A490"/>
      <c r="B490"/>
      <c r="C490"/>
      <c r="D490"/>
      <c r="E490"/>
      <c r="F490"/>
      <c r="G490"/>
      <c r="H490"/>
      <c r="I490"/>
      <c r="J490"/>
      <c r="L490"/>
      <c r="M490"/>
      <c r="N490"/>
      <c r="O490"/>
      <c r="P490"/>
      <c r="Q490"/>
      <c r="R490"/>
      <c r="S490"/>
      <c r="T490"/>
      <c r="U490"/>
      <c r="V490"/>
      <c r="X490"/>
      <c r="Y490"/>
      <c r="Z490" s="210"/>
      <c r="AD490"/>
      <c r="AE490"/>
    </row>
    <row r="491" spans="1:31" s="27" customFormat="1" x14ac:dyDescent="0.25">
      <c r="A491"/>
      <c r="B491"/>
      <c r="C491"/>
      <c r="D491"/>
      <c r="E491"/>
      <c r="F491"/>
      <c r="G491"/>
      <c r="H491"/>
      <c r="I491"/>
      <c r="J491"/>
      <c r="L491"/>
      <c r="M491"/>
      <c r="N491"/>
      <c r="O491"/>
      <c r="P491"/>
      <c r="Q491"/>
      <c r="R491"/>
      <c r="S491"/>
      <c r="T491"/>
      <c r="U491"/>
      <c r="V491"/>
      <c r="X491"/>
      <c r="Y491"/>
      <c r="Z491" s="210"/>
      <c r="AD491"/>
      <c r="AE491"/>
    </row>
    <row r="492" spans="1:31" s="27" customFormat="1" x14ac:dyDescent="0.25">
      <c r="A492"/>
      <c r="B492"/>
      <c r="C492"/>
      <c r="D492"/>
      <c r="E492"/>
      <c r="F492"/>
      <c r="G492"/>
      <c r="H492"/>
      <c r="I492"/>
      <c r="J492"/>
      <c r="L492"/>
      <c r="M492"/>
      <c r="N492"/>
      <c r="O492"/>
      <c r="P492"/>
      <c r="Q492"/>
      <c r="R492"/>
      <c r="S492"/>
      <c r="T492"/>
      <c r="U492"/>
      <c r="V492"/>
      <c r="X492"/>
      <c r="Y492"/>
      <c r="Z492" s="210"/>
      <c r="AD492"/>
      <c r="AE492"/>
    </row>
    <row r="493" spans="1:31" s="27" customFormat="1" x14ac:dyDescent="0.25">
      <c r="A493"/>
      <c r="B493"/>
      <c r="C493"/>
      <c r="D493"/>
      <c r="E493"/>
      <c r="F493"/>
      <c r="G493"/>
      <c r="H493"/>
      <c r="I493"/>
      <c r="J493"/>
      <c r="L493"/>
      <c r="M493"/>
      <c r="N493"/>
      <c r="O493"/>
      <c r="P493"/>
      <c r="Q493"/>
      <c r="R493"/>
      <c r="S493"/>
      <c r="T493"/>
      <c r="U493"/>
      <c r="V493"/>
      <c r="X493"/>
      <c r="Y493"/>
      <c r="Z493" s="210"/>
      <c r="AD493"/>
      <c r="AE493"/>
    </row>
    <row r="494" spans="1:31" s="27" customFormat="1" x14ac:dyDescent="0.25">
      <c r="A494"/>
      <c r="B494"/>
      <c r="C494"/>
      <c r="D494"/>
      <c r="E494"/>
      <c r="F494"/>
      <c r="G494"/>
      <c r="H494"/>
      <c r="I494"/>
      <c r="J494"/>
      <c r="L494"/>
      <c r="M494"/>
      <c r="N494"/>
      <c r="O494"/>
      <c r="P494"/>
      <c r="Q494"/>
      <c r="R494"/>
      <c r="S494"/>
      <c r="T494"/>
      <c r="U494"/>
      <c r="V494"/>
      <c r="X494"/>
      <c r="Y494"/>
      <c r="Z494" s="210"/>
      <c r="AD494"/>
      <c r="AE494"/>
    </row>
    <row r="495" spans="1:31" s="27" customFormat="1" x14ac:dyDescent="0.25">
      <c r="A495"/>
      <c r="B495"/>
      <c r="C495"/>
      <c r="D495"/>
      <c r="E495"/>
      <c r="F495"/>
      <c r="G495"/>
      <c r="H495"/>
      <c r="I495"/>
      <c r="J495"/>
      <c r="L495"/>
      <c r="M495"/>
      <c r="N495"/>
      <c r="O495"/>
      <c r="P495"/>
      <c r="Q495"/>
      <c r="R495"/>
      <c r="S495"/>
      <c r="T495"/>
      <c r="U495"/>
      <c r="V495"/>
      <c r="X495"/>
      <c r="Y495"/>
      <c r="Z495" s="210"/>
      <c r="AD495"/>
      <c r="AE495"/>
    </row>
    <row r="496" spans="1:31" s="27" customFormat="1" x14ac:dyDescent="0.25">
      <c r="A496"/>
      <c r="B496"/>
      <c r="C496"/>
      <c r="D496"/>
      <c r="E496"/>
      <c r="F496"/>
      <c r="G496"/>
      <c r="H496"/>
      <c r="I496"/>
      <c r="J496"/>
      <c r="L496"/>
      <c r="M496"/>
      <c r="N496"/>
      <c r="O496"/>
      <c r="P496"/>
      <c r="Q496"/>
      <c r="R496"/>
      <c r="S496"/>
      <c r="T496"/>
      <c r="U496"/>
      <c r="V496"/>
      <c r="X496"/>
      <c r="Y496"/>
      <c r="Z496" s="210"/>
      <c r="AD496"/>
      <c r="AE496"/>
    </row>
    <row r="497" spans="1:31" s="27" customFormat="1" x14ac:dyDescent="0.25">
      <c r="A497"/>
      <c r="B497"/>
      <c r="C497"/>
      <c r="D497"/>
      <c r="E497"/>
      <c r="F497"/>
      <c r="G497"/>
      <c r="H497"/>
      <c r="I497"/>
      <c r="J497"/>
      <c r="L497"/>
      <c r="M497"/>
      <c r="N497"/>
      <c r="O497"/>
      <c r="P497"/>
      <c r="Q497"/>
      <c r="R497"/>
      <c r="S497"/>
      <c r="T497"/>
      <c r="U497"/>
      <c r="V497"/>
      <c r="X497"/>
      <c r="Y497"/>
      <c r="Z497" s="210"/>
      <c r="AD497"/>
      <c r="AE497"/>
    </row>
    <row r="498" spans="1:31" s="27" customFormat="1" x14ac:dyDescent="0.25">
      <c r="A498"/>
      <c r="B498"/>
      <c r="C498"/>
      <c r="D498"/>
      <c r="E498"/>
      <c r="F498"/>
      <c r="G498"/>
      <c r="H498"/>
      <c r="I498"/>
      <c r="J498"/>
      <c r="L498"/>
      <c r="M498"/>
      <c r="N498"/>
      <c r="O498"/>
      <c r="P498"/>
      <c r="Q498"/>
      <c r="R498"/>
      <c r="S498"/>
      <c r="T498"/>
      <c r="U498"/>
      <c r="V498"/>
      <c r="X498"/>
      <c r="Y498"/>
      <c r="Z498" s="210"/>
      <c r="AD498"/>
      <c r="AE498"/>
    </row>
    <row r="499" spans="1:31" s="27" customFormat="1" x14ac:dyDescent="0.25">
      <c r="A499"/>
      <c r="B499"/>
      <c r="C499"/>
      <c r="D499"/>
      <c r="E499"/>
      <c r="F499"/>
      <c r="G499"/>
      <c r="H499"/>
      <c r="I499"/>
      <c r="J499"/>
      <c r="L499"/>
      <c r="M499"/>
      <c r="N499"/>
      <c r="O499"/>
      <c r="P499"/>
      <c r="Q499"/>
      <c r="R499"/>
      <c r="S499"/>
      <c r="T499"/>
      <c r="U499"/>
      <c r="V499"/>
      <c r="X499"/>
      <c r="Y499"/>
      <c r="Z499" s="210"/>
      <c r="AD499"/>
      <c r="AE499"/>
    </row>
    <row r="500" spans="1:31" s="27" customFormat="1" x14ac:dyDescent="0.25">
      <c r="A500"/>
      <c r="B500"/>
      <c r="C500"/>
      <c r="D500"/>
      <c r="E500"/>
      <c r="F500"/>
      <c r="G500"/>
      <c r="H500"/>
      <c r="I500"/>
      <c r="J500"/>
      <c r="L500"/>
      <c r="M500"/>
      <c r="N500"/>
      <c r="O500"/>
      <c r="P500"/>
      <c r="Q500"/>
      <c r="R500"/>
      <c r="S500"/>
      <c r="T500"/>
      <c r="U500"/>
      <c r="V500"/>
      <c r="X500"/>
      <c r="Y500"/>
      <c r="Z500"/>
      <c r="AD500"/>
      <c r="AE500"/>
    </row>
    <row r="501" spans="1:31" s="27" customFormat="1" x14ac:dyDescent="0.25">
      <c r="A501"/>
      <c r="B501"/>
      <c r="C501"/>
      <c r="D501"/>
      <c r="E501"/>
      <c r="F501"/>
      <c r="G501"/>
      <c r="H501"/>
      <c r="I501"/>
      <c r="J501"/>
      <c r="L501"/>
      <c r="M501"/>
      <c r="N501"/>
      <c r="O501"/>
      <c r="P501"/>
      <c r="Q501"/>
      <c r="R501"/>
      <c r="S501"/>
      <c r="T501"/>
      <c r="U501"/>
      <c r="V501"/>
      <c r="X501"/>
      <c r="Y501"/>
      <c r="Z501"/>
      <c r="AD501"/>
      <c r="AE501"/>
    </row>
    <row r="502" spans="1:31" s="27" customFormat="1" x14ac:dyDescent="0.25">
      <c r="A502"/>
      <c r="B502"/>
      <c r="C502"/>
      <c r="D502"/>
      <c r="E502"/>
      <c r="F502"/>
      <c r="G502"/>
      <c r="H502"/>
      <c r="I502"/>
      <c r="J502"/>
      <c r="L502"/>
      <c r="M502"/>
      <c r="N502"/>
      <c r="O502"/>
      <c r="P502"/>
      <c r="Q502"/>
      <c r="R502"/>
      <c r="S502"/>
      <c r="T502"/>
      <c r="U502"/>
      <c r="V502"/>
      <c r="X502"/>
      <c r="Y502"/>
      <c r="Z502"/>
      <c r="AD502"/>
      <c r="AE502"/>
    </row>
    <row r="503" spans="1:31" s="27" customFormat="1" x14ac:dyDescent="0.25">
      <c r="A503"/>
      <c r="B503"/>
      <c r="C503"/>
      <c r="D503"/>
      <c r="E503"/>
      <c r="F503"/>
      <c r="G503"/>
      <c r="H503"/>
      <c r="I503"/>
      <c r="J503"/>
      <c r="L503"/>
      <c r="M503"/>
      <c r="N503"/>
      <c r="O503"/>
      <c r="P503"/>
      <c r="Q503"/>
      <c r="R503"/>
      <c r="S503"/>
      <c r="T503"/>
      <c r="U503"/>
      <c r="V503"/>
      <c r="X503"/>
      <c r="Y503"/>
      <c r="Z503"/>
      <c r="AD503"/>
      <c r="AE503"/>
    </row>
    <row r="504" spans="1:31" s="27" customFormat="1" x14ac:dyDescent="0.25">
      <c r="A504"/>
      <c r="B504"/>
      <c r="C504"/>
      <c r="D504"/>
      <c r="E504"/>
      <c r="F504"/>
      <c r="G504"/>
      <c r="H504"/>
      <c r="I504"/>
      <c r="J504"/>
      <c r="L504"/>
      <c r="M504"/>
      <c r="N504"/>
      <c r="O504"/>
      <c r="P504"/>
      <c r="Q504"/>
      <c r="R504"/>
      <c r="S504"/>
      <c r="T504"/>
      <c r="U504"/>
      <c r="V504"/>
      <c r="X504"/>
      <c r="Y504"/>
      <c r="Z504"/>
      <c r="AD504"/>
      <c r="AE504"/>
    </row>
    <row r="505" spans="1:31" s="27" customFormat="1" x14ac:dyDescent="0.25">
      <c r="A505"/>
      <c r="B505"/>
      <c r="C505"/>
      <c r="D505"/>
      <c r="E505"/>
      <c r="F505"/>
      <c r="G505"/>
      <c r="H505"/>
      <c r="I505"/>
      <c r="J505"/>
      <c r="L505"/>
      <c r="M505"/>
      <c r="N505"/>
      <c r="O505"/>
      <c r="P505"/>
      <c r="Q505"/>
      <c r="R505"/>
      <c r="S505"/>
      <c r="T505"/>
      <c r="U505"/>
      <c r="V505"/>
      <c r="X505"/>
      <c r="Y505"/>
      <c r="Z505"/>
      <c r="AD505"/>
      <c r="AE505"/>
    </row>
    <row r="506" spans="1:31" s="27" customFormat="1" x14ac:dyDescent="0.25">
      <c r="A506"/>
      <c r="B506"/>
      <c r="C506"/>
      <c r="D506"/>
      <c r="E506"/>
      <c r="F506"/>
      <c r="G506"/>
      <c r="H506"/>
      <c r="I506"/>
      <c r="J506"/>
      <c r="L506"/>
      <c r="M506"/>
      <c r="N506"/>
      <c r="O506"/>
      <c r="P506"/>
      <c r="Q506"/>
      <c r="R506"/>
      <c r="S506"/>
      <c r="T506"/>
      <c r="U506"/>
      <c r="V506"/>
      <c r="X506"/>
      <c r="Y506"/>
      <c r="Z506"/>
      <c r="AD506"/>
      <c r="AE506"/>
    </row>
    <row r="507" spans="1:31" s="27" customFormat="1" x14ac:dyDescent="0.25">
      <c r="A507"/>
      <c r="B507"/>
      <c r="C507"/>
      <c r="D507"/>
      <c r="E507"/>
      <c r="F507"/>
      <c r="G507"/>
      <c r="H507"/>
      <c r="I507"/>
      <c r="J507"/>
      <c r="L507"/>
      <c r="M507"/>
      <c r="N507"/>
      <c r="O507"/>
      <c r="P507"/>
      <c r="Q507"/>
      <c r="R507"/>
      <c r="S507"/>
      <c r="T507"/>
      <c r="U507"/>
      <c r="V507"/>
      <c r="X507"/>
      <c r="Y507"/>
      <c r="Z507"/>
      <c r="AD507"/>
      <c r="AE507"/>
    </row>
    <row r="508" spans="1:31" s="27" customFormat="1" x14ac:dyDescent="0.25">
      <c r="A508"/>
      <c r="B508"/>
      <c r="C508"/>
      <c r="D508"/>
      <c r="E508"/>
      <c r="F508"/>
      <c r="G508"/>
      <c r="H508"/>
      <c r="I508"/>
      <c r="J508"/>
      <c r="L508"/>
      <c r="M508"/>
      <c r="N508"/>
      <c r="O508"/>
      <c r="P508"/>
      <c r="Q508"/>
      <c r="R508"/>
      <c r="S508"/>
      <c r="T508"/>
      <c r="U508"/>
      <c r="V508"/>
      <c r="X508"/>
      <c r="Y508"/>
      <c r="Z508"/>
      <c r="AD508"/>
      <c r="AE508"/>
    </row>
    <row r="509" spans="1:31" s="27" customFormat="1" x14ac:dyDescent="0.25">
      <c r="A509"/>
      <c r="B509"/>
      <c r="C509"/>
      <c r="D509"/>
      <c r="E509"/>
      <c r="F509"/>
      <c r="G509"/>
      <c r="H509"/>
      <c r="I509"/>
      <c r="J509"/>
      <c r="L509"/>
      <c r="M509"/>
      <c r="N509"/>
      <c r="O509"/>
      <c r="P509"/>
      <c r="Q509"/>
      <c r="R509"/>
      <c r="S509"/>
      <c r="T509"/>
      <c r="U509"/>
      <c r="V509"/>
      <c r="X509"/>
      <c r="Y509"/>
      <c r="Z509"/>
      <c r="AD509"/>
      <c r="AE509"/>
    </row>
  </sheetData>
  <sheetProtection algorithmName="SHA-512" hashValue="NOUtD2yhV9HHX24f7fkAkbv636BRNUMNFCTj+x6oAQ2tF7EU0/uVZG4swt18LBL0T8WkruVBPumz50QRPtTKWA==" saltValue="7WMuSwROhydUV7wcn2F+ug==" spinCount="100000" sheet="1" objects="1" scenarios="1"/>
  <mergeCells count="8">
    <mergeCell ref="A1:AC1"/>
    <mergeCell ref="B5:J5"/>
    <mergeCell ref="N5:V5"/>
    <mergeCell ref="N194:V194"/>
    <mergeCell ref="N195:V195"/>
    <mergeCell ref="A187:W187"/>
    <mergeCell ref="M157:M186"/>
    <mergeCell ref="M7:M156"/>
  </mergeCells>
  <conditionalFormatting sqref="N189:V189">
    <cfRule type="cellIs" dxfId="111" priority="4" operator="equal">
      <formula>$W$189</formula>
    </cfRule>
  </conditionalFormatting>
  <conditionalFormatting sqref="N190:V190">
    <cfRule type="cellIs" dxfId="110" priority="3" operator="equal">
      <formula>$W$190</formula>
    </cfRule>
  </conditionalFormatting>
  <conditionalFormatting sqref="N191:V191">
    <cfRule type="cellIs" dxfId="109" priority="1" operator="equal">
      <formula>$W$191</formula>
    </cfRule>
    <cfRule type="cellIs" dxfId="108" priority="2" operator="equal">
      <formula>$W$191</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52273-DE25-4759-B37F-AF85C8AA79A3}">
  <sheetPr codeName="Feuil36">
    <tabColor rgb="FF002060"/>
  </sheetPr>
  <dimension ref="A1:AC216"/>
  <sheetViews>
    <sheetView topLeftCell="A43" zoomScale="85" zoomScaleNormal="85" workbookViewId="0">
      <selection activeCell="S57" sqref="S57:S62"/>
    </sheetView>
  </sheetViews>
  <sheetFormatPr baseColWidth="10" defaultRowHeight="15" x14ac:dyDescent="0.25"/>
  <cols>
    <col min="1" max="1" width="16.7109375" style="192" bestFit="1" customWidth="1"/>
    <col min="2" max="10" width="12.7109375" style="27" bestFit="1" customWidth="1"/>
    <col min="11" max="11" width="11" style="27"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Mesures_Four!E27</f>
        <v>200°C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M2" s="212" t="s">
        <v>87</v>
      </c>
      <c r="N2" s="44">
        <f>Mesures_Four!E40</f>
        <v>0.31</v>
      </c>
      <c r="O2" s="44">
        <f>Mesures_Four!E41</f>
        <v>0.12</v>
      </c>
      <c r="P2" s="44">
        <f>Mesures_Four!E42</f>
        <v>0.25</v>
      </c>
      <c r="Q2" s="44">
        <f>Mesures_Four!E43</f>
        <v>0.17</v>
      </c>
      <c r="R2" s="44">
        <f>Mesures_Four!E44</f>
        <v>0.16</v>
      </c>
      <c r="S2" s="44">
        <f>Mesures_Four!E45</f>
        <v>0.15</v>
      </c>
      <c r="T2" s="44">
        <f>Mesures_Four!E46</f>
        <v>0.08</v>
      </c>
      <c r="U2" s="44">
        <f>Mesures_Four!E47</f>
        <v>0.17</v>
      </c>
      <c r="V2" s="44">
        <f>Mesures_Four!E48</f>
        <v>0.26</v>
      </c>
      <c r="W2" s="159"/>
      <c r="X2" s="159"/>
      <c r="Y2" s="159"/>
    </row>
    <row r="3" spans="1:29" x14ac:dyDescent="0.25">
      <c r="M3" s="212" t="s">
        <v>23</v>
      </c>
      <c r="N3" s="44">
        <f>Mesures_Four!E28</f>
        <v>0.17</v>
      </c>
      <c r="O3" s="44">
        <f>Mesures_Four!E29</f>
        <v>0.17</v>
      </c>
      <c r="P3" s="44">
        <f>Mesures_Four!E30</f>
        <v>0.17</v>
      </c>
      <c r="Q3" s="44">
        <f>Mesures_Four!E31</f>
        <v>0.17</v>
      </c>
      <c r="R3" s="44">
        <f>Mesures_Four!E32</f>
        <v>0.17</v>
      </c>
      <c r="S3" s="44">
        <f>Mesures_Four!E33</f>
        <v>0.17</v>
      </c>
      <c r="T3" s="44">
        <f>Mesures_Four!E34</f>
        <v>0.17</v>
      </c>
      <c r="U3" s="44">
        <f>Mesures_Four!E35</f>
        <v>0.17</v>
      </c>
      <c r="V3" s="44">
        <f>Mesures_Four!E36</f>
        <v>0.17</v>
      </c>
      <c r="W3" s="159"/>
      <c r="X3" s="159"/>
      <c r="Y3" s="159"/>
    </row>
    <row r="4" spans="1:29" x14ac:dyDescent="0.25">
      <c r="M4" s="23"/>
      <c r="N4" s="211"/>
      <c r="O4" s="211"/>
      <c r="P4" s="211"/>
      <c r="Q4" s="211"/>
      <c r="R4" s="211"/>
      <c r="S4" s="211"/>
      <c r="T4" s="211"/>
      <c r="U4" s="211"/>
      <c r="V4" s="211"/>
      <c r="W4" s="159"/>
      <c r="X4" s="159"/>
      <c r="Y4" s="159"/>
    </row>
    <row r="5" spans="1:29" x14ac:dyDescent="0.25">
      <c r="A5" s="375" t="s">
        <v>344</v>
      </c>
      <c r="B5" s="375"/>
      <c r="C5" s="375"/>
      <c r="D5" s="375"/>
      <c r="E5" s="375"/>
      <c r="F5" s="375"/>
      <c r="G5" s="375"/>
      <c r="H5" s="375"/>
      <c r="I5" s="375"/>
      <c r="J5" s="375"/>
      <c r="M5" s="375" t="s">
        <v>88</v>
      </c>
      <c r="N5" s="375"/>
      <c r="O5" s="375"/>
      <c r="P5" s="375"/>
      <c r="Q5" s="375"/>
      <c r="R5" s="375"/>
      <c r="S5" s="375"/>
      <c r="T5" s="375"/>
      <c r="U5" s="375"/>
      <c r="V5" s="375"/>
      <c r="Z5" s="210"/>
    </row>
    <row r="6" spans="1:29" x14ac:dyDescent="0.25">
      <c r="A6" s="209" t="str" cm="1">
        <f t="array" ref="A6:J103">tab_transfert200[#All]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7" t="str" cm="1">
        <f t="array" ref="N6:V6">tab_transfert200[[#Headers],[Connecteur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103">tab_four200[[#All],[Consigne T°]]</f>
        <v>Consigne T°</v>
      </c>
      <c r="Z6" s="202" t="str" cm="1">
        <f t="array" ref="Z6:AC103">tab_four200[[#All],[Date/Heure]:[Pt Chaud]]</f>
        <v>Date/Heure</v>
      </c>
      <c r="AA6" s="202" t="str">
        <v>Pt Froid</v>
      </c>
      <c r="AB6" s="202" t="str">
        <v>Regulation</v>
      </c>
      <c r="AC6" s="202" t="str">
        <v>Pt Chaud</v>
      </c>
    </row>
    <row r="7" spans="1:29" ht="15" customHeight="1" x14ac:dyDescent="0.25">
      <c r="A7" s="23" t="str">
        <v>13/02/2024  03:13</v>
      </c>
      <c r="B7">
        <v>163.13</v>
      </c>
      <c r="C7">
        <v>163.51</v>
      </c>
      <c r="D7">
        <v>159.65</v>
      </c>
      <c r="E7">
        <v>165.95</v>
      </c>
      <c r="F7">
        <v>165.79</v>
      </c>
      <c r="G7">
        <v>166.71</v>
      </c>
      <c r="H7">
        <v>149.13</v>
      </c>
      <c r="I7">
        <v>169.38</v>
      </c>
      <c r="J7">
        <v>164.55</v>
      </c>
      <c r="K7" s="205"/>
      <c r="M7" s="378" t="s">
        <v>342</v>
      </c>
      <c r="N7" s="206" cm="1">
        <f t="array" ref="N7:V103">tab_transfert200[[Connecteur 1]:[Connecteur 9]]+N2:V2+N3:V3</f>
        <v>163.60999999999999</v>
      </c>
      <c r="O7" s="206">
        <v>163.79999999999998</v>
      </c>
      <c r="P7" s="206">
        <v>160.07</v>
      </c>
      <c r="Q7" s="206">
        <v>166.28999999999996</v>
      </c>
      <c r="R7" s="206">
        <v>166.11999999999998</v>
      </c>
      <c r="S7" s="206">
        <v>167.03</v>
      </c>
      <c r="T7" s="206">
        <v>149.38</v>
      </c>
      <c r="U7" s="206">
        <v>169.71999999999997</v>
      </c>
      <c r="V7" s="206">
        <v>164.98</v>
      </c>
      <c r="W7" s="203">
        <v>190</v>
      </c>
      <c r="Z7" s="23" t="str">
        <v>13/02/2024  03:13</v>
      </c>
      <c r="AA7">
        <v>165.1</v>
      </c>
      <c r="AB7">
        <v>152</v>
      </c>
      <c r="AC7">
        <v>160.9</v>
      </c>
    </row>
    <row r="8" spans="1:29" ht="15" customHeight="1" x14ac:dyDescent="0.25">
      <c r="A8" s="23" t="str">
        <v>13/02/2024  03:14</v>
      </c>
      <c r="B8">
        <v>167.17</v>
      </c>
      <c r="C8">
        <v>167.41</v>
      </c>
      <c r="D8">
        <v>164.07</v>
      </c>
      <c r="E8">
        <v>170.34</v>
      </c>
      <c r="F8">
        <v>170.05</v>
      </c>
      <c r="G8">
        <v>171.2</v>
      </c>
      <c r="H8">
        <v>153.75</v>
      </c>
      <c r="I8">
        <v>173.71</v>
      </c>
      <c r="J8">
        <v>168.51</v>
      </c>
      <c r="K8" s="205"/>
      <c r="M8" s="378"/>
      <c r="N8" s="206">
        <v>167.64999999999998</v>
      </c>
      <c r="O8" s="206">
        <v>167.7</v>
      </c>
      <c r="P8" s="206">
        <v>164.48999999999998</v>
      </c>
      <c r="Q8" s="206">
        <v>170.67999999999998</v>
      </c>
      <c r="R8" s="206">
        <v>170.38</v>
      </c>
      <c r="S8" s="206">
        <v>171.51999999999998</v>
      </c>
      <c r="T8" s="206">
        <v>154</v>
      </c>
      <c r="U8" s="206">
        <v>174.04999999999998</v>
      </c>
      <c r="V8" s="206">
        <v>168.93999999999997</v>
      </c>
      <c r="W8" s="203">
        <v>190</v>
      </c>
      <c r="Z8" s="23" t="str">
        <v>13/02/2024  03:14</v>
      </c>
      <c r="AA8">
        <v>169.2</v>
      </c>
      <c r="AB8">
        <v>156.5</v>
      </c>
      <c r="AC8">
        <v>165</v>
      </c>
    </row>
    <row r="9" spans="1:29" ht="15" customHeight="1" x14ac:dyDescent="0.25">
      <c r="A9" s="23" t="str">
        <v>13/02/2024  03:15</v>
      </c>
      <c r="B9">
        <v>171.44</v>
      </c>
      <c r="C9">
        <v>172.08</v>
      </c>
      <c r="D9">
        <v>168.3</v>
      </c>
      <c r="E9">
        <v>174.62</v>
      </c>
      <c r="F9">
        <v>174.4</v>
      </c>
      <c r="G9">
        <v>175.49</v>
      </c>
      <c r="H9">
        <v>158.44</v>
      </c>
      <c r="I9">
        <v>178.02</v>
      </c>
      <c r="J9">
        <v>172.82</v>
      </c>
      <c r="K9" s="205"/>
      <c r="M9" s="378"/>
      <c r="N9" s="206">
        <v>171.92</v>
      </c>
      <c r="O9" s="206">
        <v>172.37</v>
      </c>
      <c r="P9" s="206">
        <v>168.72</v>
      </c>
      <c r="Q9" s="206">
        <v>174.95999999999998</v>
      </c>
      <c r="R9" s="206">
        <v>174.73</v>
      </c>
      <c r="S9" s="206">
        <v>175.81</v>
      </c>
      <c r="T9" s="206">
        <v>158.69</v>
      </c>
      <c r="U9" s="206">
        <v>178.35999999999999</v>
      </c>
      <c r="V9" s="206">
        <v>173.24999999999997</v>
      </c>
      <c r="W9" s="203">
        <v>190</v>
      </c>
      <c r="Z9" s="23" t="str">
        <v>13/02/2024  03:15</v>
      </c>
      <c r="AA9">
        <v>173.3</v>
      </c>
      <c r="AB9">
        <v>161.19999999999999</v>
      </c>
      <c r="AC9">
        <v>169.2</v>
      </c>
    </row>
    <row r="10" spans="1:29" ht="15" customHeight="1" x14ac:dyDescent="0.25">
      <c r="A10" s="23" t="str">
        <v>13/02/2024  03:16</v>
      </c>
      <c r="B10">
        <v>175.88</v>
      </c>
      <c r="C10">
        <v>176.39</v>
      </c>
      <c r="D10">
        <v>172.91</v>
      </c>
      <c r="E10">
        <v>178.8</v>
      </c>
      <c r="F10">
        <v>178.58</v>
      </c>
      <c r="G10">
        <v>179.7</v>
      </c>
      <c r="H10">
        <v>162.55000000000001</v>
      </c>
      <c r="I10">
        <v>182.17</v>
      </c>
      <c r="J10">
        <v>177.29</v>
      </c>
      <c r="K10" s="205"/>
      <c r="M10" s="378"/>
      <c r="N10" s="206">
        <v>176.35999999999999</v>
      </c>
      <c r="O10" s="206">
        <v>176.67999999999998</v>
      </c>
      <c r="P10" s="206">
        <v>173.32999999999998</v>
      </c>
      <c r="Q10" s="206">
        <v>179.14</v>
      </c>
      <c r="R10" s="206">
        <v>178.91</v>
      </c>
      <c r="S10" s="206">
        <v>180.01999999999998</v>
      </c>
      <c r="T10" s="206">
        <v>162.80000000000001</v>
      </c>
      <c r="U10" s="206">
        <v>182.50999999999996</v>
      </c>
      <c r="V10" s="206">
        <v>177.71999999999997</v>
      </c>
      <c r="W10" s="203">
        <v>190</v>
      </c>
      <c r="Z10" s="23" t="str">
        <v>13/02/2024  03:16</v>
      </c>
      <c r="AA10">
        <v>177.5</v>
      </c>
      <c r="AB10">
        <v>165.4</v>
      </c>
      <c r="AC10">
        <v>173.3</v>
      </c>
    </row>
    <row r="11" spans="1:29" ht="15" customHeight="1" x14ac:dyDescent="0.25">
      <c r="A11" s="23" t="str">
        <v>13/02/2024  03:17</v>
      </c>
      <c r="B11">
        <v>180.2</v>
      </c>
      <c r="C11">
        <v>180.15</v>
      </c>
      <c r="D11">
        <v>177.07</v>
      </c>
      <c r="E11">
        <v>183.03</v>
      </c>
      <c r="F11">
        <v>182.83</v>
      </c>
      <c r="G11">
        <v>184.18</v>
      </c>
      <c r="H11">
        <v>166.83</v>
      </c>
      <c r="I11">
        <v>186.35</v>
      </c>
      <c r="J11">
        <v>181.44</v>
      </c>
      <c r="K11" s="205"/>
      <c r="M11" s="378"/>
      <c r="N11" s="206">
        <v>180.67999999999998</v>
      </c>
      <c r="O11" s="206">
        <v>180.44</v>
      </c>
      <c r="P11" s="206">
        <v>177.48999999999998</v>
      </c>
      <c r="Q11" s="206">
        <v>183.36999999999998</v>
      </c>
      <c r="R11" s="206">
        <v>183.16</v>
      </c>
      <c r="S11" s="206">
        <v>184.5</v>
      </c>
      <c r="T11" s="206">
        <v>167.08</v>
      </c>
      <c r="U11" s="206">
        <v>186.68999999999997</v>
      </c>
      <c r="V11" s="206">
        <v>181.86999999999998</v>
      </c>
      <c r="W11" s="203">
        <v>190</v>
      </c>
      <c r="Z11" s="23" t="str">
        <v>13/02/2024  03:17</v>
      </c>
      <c r="AA11">
        <v>181.7</v>
      </c>
      <c r="AB11">
        <v>169.7</v>
      </c>
      <c r="AC11">
        <v>177.5</v>
      </c>
    </row>
    <row r="12" spans="1:29" ht="15" customHeight="1" x14ac:dyDescent="0.25">
      <c r="A12" s="23" t="str">
        <v>13/02/2024  03:18</v>
      </c>
      <c r="B12">
        <v>184.61</v>
      </c>
      <c r="C12">
        <v>184.68</v>
      </c>
      <c r="D12">
        <v>181.28</v>
      </c>
      <c r="E12">
        <v>187.17</v>
      </c>
      <c r="F12">
        <v>187.14</v>
      </c>
      <c r="G12">
        <v>188.46</v>
      </c>
      <c r="H12">
        <v>171.71</v>
      </c>
      <c r="I12">
        <v>190.44</v>
      </c>
      <c r="J12">
        <v>185.58</v>
      </c>
      <c r="K12" s="205"/>
      <c r="M12" s="378"/>
      <c r="N12" s="206">
        <v>185.09</v>
      </c>
      <c r="O12" s="206">
        <v>184.97</v>
      </c>
      <c r="P12" s="206">
        <v>181.7</v>
      </c>
      <c r="Q12" s="206">
        <v>187.50999999999996</v>
      </c>
      <c r="R12" s="206">
        <v>187.46999999999997</v>
      </c>
      <c r="S12" s="206">
        <v>188.78</v>
      </c>
      <c r="T12" s="206">
        <v>171.96</v>
      </c>
      <c r="U12" s="206">
        <v>190.77999999999997</v>
      </c>
      <c r="V12" s="206">
        <v>186.01</v>
      </c>
      <c r="W12" s="203">
        <v>190</v>
      </c>
      <c r="Z12" s="23" t="str">
        <v>13/02/2024  03:18</v>
      </c>
      <c r="AA12">
        <v>185.9</v>
      </c>
      <c r="AB12">
        <v>174.1</v>
      </c>
      <c r="AC12">
        <v>181.7</v>
      </c>
    </row>
    <row r="13" spans="1:29" ht="15" customHeight="1" x14ac:dyDescent="0.25">
      <c r="A13" s="23" t="str">
        <v>13/02/2024  03:19</v>
      </c>
      <c r="B13">
        <v>188.2</v>
      </c>
      <c r="C13">
        <v>188.8</v>
      </c>
      <c r="D13">
        <v>185.37</v>
      </c>
      <c r="E13">
        <v>191.39</v>
      </c>
      <c r="F13">
        <v>190.95</v>
      </c>
      <c r="G13">
        <v>192.71</v>
      </c>
      <c r="H13">
        <v>175.64</v>
      </c>
      <c r="I13">
        <v>194.71</v>
      </c>
      <c r="J13">
        <v>189.75</v>
      </c>
      <c r="K13" s="205"/>
      <c r="M13" s="378"/>
      <c r="N13" s="206">
        <v>188.67999999999998</v>
      </c>
      <c r="O13" s="206">
        <v>189.09</v>
      </c>
      <c r="P13" s="206">
        <v>185.79</v>
      </c>
      <c r="Q13" s="206">
        <v>191.72999999999996</v>
      </c>
      <c r="R13" s="206">
        <v>191.27999999999997</v>
      </c>
      <c r="S13" s="206">
        <v>193.03</v>
      </c>
      <c r="T13" s="206">
        <v>175.89</v>
      </c>
      <c r="U13" s="206">
        <v>195.04999999999998</v>
      </c>
      <c r="V13" s="206">
        <v>190.17999999999998</v>
      </c>
      <c r="W13" s="203">
        <v>190</v>
      </c>
      <c r="Z13" s="23" t="str">
        <v>13/02/2024  03:19</v>
      </c>
      <c r="AA13">
        <v>190</v>
      </c>
      <c r="AB13">
        <v>178.3</v>
      </c>
      <c r="AC13">
        <v>185.9</v>
      </c>
    </row>
    <row r="14" spans="1:29" ht="15" customHeight="1" x14ac:dyDescent="0.25">
      <c r="A14" s="23" t="str">
        <v>13/02/2024  03:20</v>
      </c>
      <c r="B14">
        <v>191.69</v>
      </c>
      <c r="C14">
        <v>192.37</v>
      </c>
      <c r="D14">
        <v>188.84</v>
      </c>
      <c r="E14">
        <v>194.52</v>
      </c>
      <c r="F14">
        <v>194.24</v>
      </c>
      <c r="G14">
        <v>195.48</v>
      </c>
      <c r="H14">
        <v>180.03</v>
      </c>
      <c r="I14">
        <v>197.6</v>
      </c>
      <c r="J14">
        <v>192.97</v>
      </c>
      <c r="K14" s="205"/>
      <c r="M14" s="378"/>
      <c r="N14" s="206">
        <v>192.17</v>
      </c>
      <c r="O14" s="206">
        <v>192.66</v>
      </c>
      <c r="P14" s="206">
        <v>189.26</v>
      </c>
      <c r="Q14" s="206">
        <v>194.85999999999999</v>
      </c>
      <c r="R14" s="206">
        <v>194.57</v>
      </c>
      <c r="S14" s="206">
        <v>195.79999999999998</v>
      </c>
      <c r="T14" s="206">
        <v>180.28</v>
      </c>
      <c r="U14" s="206">
        <v>197.93999999999997</v>
      </c>
      <c r="V14" s="206">
        <v>193.39999999999998</v>
      </c>
      <c r="W14" s="203">
        <v>190</v>
      </c>
      <c r="Z14" s="23" t="str">
        <v>13/02/2024  03:20</v>
      </c>
      <c r="AA14">
        <v>194.1</v>
      </c>
      <c r="AB14">
        <v>182.6</v>
      </c>
      <c r="AC14">
        <v>190</v>
      </c>
    </row>
    <row r="15" spans="1:29" ht="15" customHeight="1" x14ac:dyDescent="0.25">
      <c r="A15" s="23" t="str">
        <v>13/02/2024  03:21</v>
      </c>
      <c r="B15">
        <v>192.59</v>
      </c>
      <c r="C15">
        <v>192.99</v>
      </c>
      <c r="D15">
        <v>190.12</v>
      </c>
      <c r="E15">
        <v>194.9</v>
      </c>
      <c r="F15">
        <v>194.68</v>
      </c>
      <c r="G15">
        <v>196.11</v>
      </c>
      <c r="H15">
        <v>182.31</v>
      </c>
      <c r="I15">
        <v>197.52</v>
      </c>
      <c r="J15">
        <v>193.71</v>
      </c>
      <c r="K15" s="205"/>
      <c r="M15" s="378"/>
      <c r="N15" s="206">
        <v>193.07</v>
      </c>
      <c r="O15" s="206">
        <v>193.28</v>
      </c>
      <c r="P15" s="206">
        <v>190.54</v>
      </c>
      <c r="Q15" s="206">
        <v>195.23999999999998</v>
      </c>
      <c r="R15" s="206">
        <v>195.01</v>
      </c>
      <c r="S15" s="206">
        <v>196.43</v>
      </c>
      <c r="T15" s="206">
        <v>182.56</v>
      </c>
      <c r="U15" s="206">
        <v>197.85999999999999</v>
      </c>
      <c r="V15" s="206">
        <v>194.14</v>
      </c>
      <c r="W15" s="203">
        <v>190</v>
      </c>
      <c r="Z15" s="23" t="str">
        <v>13/02/2024  03:21</v>
      </c>
      <c r="AA15">
        <v>196.8</v>
      </c>
      <c r="AB15">
        <v>185.9</v>
      </c>
      <c r="AC15">
        <v>192.7</v>
      </c>
    </row>
    <row r="16" spans="1:29" ht="15" customHeight="1" x14ac:dyDescent="0.25">
      <c r="A16" s="23" t="str">
        <v>13/02/2024  03:22</v>
      </c>
      <c r="B16">
        <v>192.62</v>
      </c>
      <c r="C16">
        <v>192.81</v>
      </c>
      <c r="D16">
        <v>190.46</v>
      </c>
      <c r="E16">
        <v>194.69</v>
      </c>
      <c r="F16">
        <v>194.42</v>
      </c>
      <c r="G16">
        <v>195.85</v>
      </c>
      <c r="H16">
        <v>184.18</v>
      </c>
      <c r="I16">
        <v>196.94</v>
      </c>
      <c r="J16">
        <v>193.76</v>
      </c>
      <c r="K16" s="205"/>
      <c r="M16" s="378"/>
      <c r="N16" s="206">
        <v>193.1</v>
      </c>
      <c r="O16" s="206">
        <v>193.1</v>
      </c>
      <c r="P16" s="206">
        <v>190.88</v>
      </c>
      <c r="Q16" s="206">
        <v>195.02999999999997</v>
      </c>
      <c r="R16" s="206">
        <v>194.74999999999997</v>
      </c>
      <c r="S16" s="206">
        <v>196.17</v>
      </c>
      <c r="T16" s="206">
        <v>184.43</v>
      </c>
      <c r="U16" s="206">
        <v>197.27999999999997</v>
      </c>
      <c r="V16" s="206">
        <v>194.18999999999997</v>
      </c>
      <c r="W16" s="203">
        <v>190</v>
      </c>
      <c r="Z16" s="23" t="str">
        <v>13/02/2024  03:22</v>
      </c>
      <c r="AA16">
        <v>197.6</v>
      </c>
      <c r="AB16">
        <v>187.9</v>
      </c>
      <c r="AC16">
        <v>193.9</v>
      </c>
    </row>
    <row r="17" spans="1:29" ht="15" customHeight="1" x14ac:dyDescent="0.25">
      <c r="A17" s="23" t="str">
        <v>13/02/2024  03:23</v>
      </c>
      <c r="B17">
        <v>192.61</v>
      </c>
      <c r="C17">
        <v>192.79</v>
      </c>
      <c r="D17">
        <v>190.73</v>
      </c>
      <c r="E17">
        <v>194.33</v>
      </c>
      <c r="F17">
        <v>194.25</v>
      </c>
      <c r="G17">
        <v>195.5</v>
      </c>
      <c r="H17">
        <v>185.47</v>
      </c>
      <c r="I17">
        <v>196.39</v>
      </c>
      <c r="J17">
        <v>193.49</v>
      </c>
      <c r="K17" s="205"/>
      <c r="M17" s="378"/>
      <c r="N17" s="206">
        <v>193.09</v>
      </c>
      <c r="O17" s="206">
        <v>193.07999999999998</v>
      </c>
      <c r="P17" s="206">
        <v>191.14999999999998</v>
      </c>
      <c r="Q17" s="206">
        <v>194.67</v>
      </c>
      <c r="R17" s="206">
        <v>194.57999999999998</v>
      </c>
      <c r="S17" s="206">
        <v>195.82</v>
      </c>
      <c r="T17" s="206">
        <v>185.72</v>
      </c>
      <c r="U17" s="206">
        <v>196.72999999999996</v>
      </c>
      <c r="V17" s="206">
        <v>193.92</v>
      </c>
      <c r="W17" s="203">
        <v>190</v>
      </c>
      <c r="Z17" s="23" t="str">
        <v>13/02/2024  03:23</v>
      </c>
      <c r="AA17">
        <v>197.5</v>
      </c>
      <c r="AB17">
        <v>189.2</v>
      </c>
      <c r="AC17">
        <v>194.3</v>
      </c>
    </row>
    <row r="18" spans="1:29" ht="15" customHeight="1" x14ac:dyDescent="0.25">
      <c r="A18" s="23" t="str">
        <v>13/02/2024  03:24</v>
      </c>
      <c r="B18">
        <v>192.43</v>
      </c>
      <c r="C18">
        <v>192.27</v>
      </c>
      <c r="D18">
        <v>190.7</v>
      </c>
      <c r="E18">
        <v>193.55</v>
      </c>
      <c r="F18">
        <v>193.82</v>
      </c>
      <c r="G18">
        <v>194.99</v>
      </c>
      <c r="H18">
        <v>186.49</v>
      </c>
      <c r="I18">
        <v>195.2</v>
      </c>
      <c r="J18">
        <v>193.13</v>
      </c>
      <c r="K18" s="205"/>
      <c r="M18" s="378"/>
      <c r="N18" s="206">
        <v>192.91</v>
      </c>
      <c r="O18" s="206">
        <v>192.56</v>
      </c>
      <c r="P18" s="206">
        <v>191.11999999999998</v>
      </c>
      <c r="Q18" s="206">
        <v>193.89</v>
      </c>
      <c r="R18" s="206">
        <v>194.14999999999998</v>
      </c>
      <c r="S18" s="206">
        <v>195.31</v>
      </c>
      <c r="T18" s="206">
        <v>186.74</v>
      </c>
      <c r="U18" s="206">
        <v>195.53999999999996</v>
      </c>
      <c r="V18" s="206">
        <v>193.55999999999997</v>
      </c>
      <c r="W18" s="203">
        <v>190</v>
      </c>
      <c r="Z18" s="23" t="str">
        <v>13/02/2024  03:24</v>
      </c>
      <c r="AA18">
        <v>196.8</v>
      </c>
      <c r="AB18">
        <v>190</v>
      </c>
      <c r="AC18">
        <v>194.3</v>
      </c>
    </row>
    <row r="19" spans="1:29" ht="15" customHeight="1" x14ac:dyDescent="0.25">
      <c r="A19" s="23" t="str">
        <v>13/02/2024  03:25</v>
      </c>
      <c r="B19">
        <v>191.96</v>
      </c>
      <c r="C19">
        <v>192.04</v>
      </c>
      <c r="D19">
        <v>190.57</v>
      </c>
      <c r="E19">
        <v>193.15</v>
      </c>
      <c r="F19">
        <v>193.22</v>
      </c>
      <c r="G19">
        <v>194.42</v>
      </c>
      <c r="H19">
        <v>187.23</v>
      </c>
      <c r="I19">
        <v>194.71</v>
      </c>
      <c r="J19">
        <v>192.72</v>
      </c>
      <c r="K19" s="205"/>
      <c r="M19" s="378"/>
      <c r="N19" s="206">
        <v>192.44</v>
      </c>
      <c r="O19" s="206">
        <v>192.32999999999998</v>
      </c>
      <c r="P19" s="206">
        <v>190.98999999999998</v>
      </c>
      <c r="Q19" s="206">
        <v>193.48999999999998</v>
      </c>
      <c r="R19" s="206">
        <v>193.54999999999998</v>
      </c>
      <c r="S19" s="206">
        <v>194.73999999999998</v>
      </c>
      <c r="T19" s="206">
        <v>187.48</v>
      </c>
      <c r="U19" s="206">
        <v>195.04999999999998</v>
      </c>
      <c r="V19" s="206">
        <v>193.14999999999998</v>
      </c>
      <c r="W19" s="203">
        <v>190</v>
      </c>
      <c r="Z19" s="23" t="str">
        <v>13/02/2024  03:25</v>
      </c>
      <c r="AA19">
        <v>195.9</v>
      </c>
      <c r="AB19">
        <v>190.4</v>
      </c>
      <c r="AC19">
        <v>194.1</v>
      </c>
    </row>
    <row r="20" spans="1:29" ht="15" customHeight="1" x14ac:dyDescent="0.25">
      <c r="A20" s="23" t="str">
        <v>13/02/2024  03:26</v>
      </c>
      <c r="B20">
        <v>191.79</v>
      </c>
      <c r="C20">
        <v>191.96</v>
      </c>
      <c r="D20">
        <v>190.65</v>
      </c>
      <c r="E20">
        <v>192.89</v>
      </c>
      <c r="F20">
        <v>192.94</v>
      </c>
      <c r="G20">
        <v>194.14</v>
      </c>
      <c r="H20">
        <v>187.9</v>
      </c>
      <c r="I20">
        <v>194.3</v>
      </c>
      <c r="J20">
        <v>192.52</v>
      </c>
      <c r="K20" s="205"/>
      <c r="M20" s="378"/>
      <c r="N20" s="206">
        <v>192.26999999999998</v>
      </c>
      <c r="O20" s="206">
        <v>192.25</v>
      </c>
      <c r="P20" s="206">
        <v>191.07</v>
      </c>
      <c r="Q20" s="206">
        <v>193.22999999999996</v>
      </c>
      <c r="R20" s="206">
        <v>193.26999999999998</v>
      </c>
      <c r="S20" s="206">
        <v>194.45999999999998</v>
      </c>
      <c r="T20" s="206">
        <v>188.15</v>
      </c>
      <c r="U20" s="206">
        <v>194.64</v>
      </c>
      <c r="V20" s="206">
        <v>192.95</v>
      </c>
      <c r="W20" s="203">
        <v>190</v>
      </c>
      <c r="Z20" s="23" t="str">
        <v>13/02/2024  03:26</v>
      </c>
      <c r="AA20">
        <v>195.1</v>
      </c>
      <c r="AB20">
        <v>190.6</v>
      </c>
      <c r="AC20">
        <v>193.8</v>
      </c>
    </row>
    <row r="21" spans="1:29" ht="15" customHeight="1" x14ac:dyDescent="0.25">
      <c r="A21" s="23" t="str">
        <v>13/02/2024  03:27</v>
      </c>
      <c r="B21">
        <v>191.75</v>
      </c>
      <c r="C21">
        <v>191.83</v>
      </c>
      <c r="D21">
        <v>190.64</v>
      </c>
      <c r="E21">
        <v>192.62</v>
      </c>
      <c r="F21">
        <v>192.77</v>
      </c>
      <c r="G21">
        <v>193.89</v>
      </c>
      <c r="H21">
        <v>188.45</v>
      </c>
      <c r="I21">
        <v>193.86</v>
      </c>
      <c r="J21">
        <v>192.27</v>
      </c>
      <c r="K21" s="205"/>
      <c r="M21" s="378"/>
      <c r="N21" s="206">
        <v>192.23</v>
      </c>
      <c r="O21" s="206">
        <v>192.12</v>
      </c>
      <c r="P21" s="206">
        <v>191.05999999999997</v>
      </c>
      <c r="Q21" s="206">
        <v>192.95999999999998</v>
      </c>
      <c r="R21" s="206">
        <v>193.1</v>
      </c>
      <c r="S21" s="206">
        <v>194.20999999999998</v>
      </c>
      <c r="T21" s="206">
        <v>188.7</v>
      </c>
      <c r="U21" s="206">
        <v>194.2</v>
      </c>
      <c r="V21" s="206">
        <v>192.7</v>
      </c>
      <c r="W21" s="203">
        <v>190</v>
      </c>
      <c r="Z21" s="23" t="str">
        <v>13/02/2024  03:27</v>
      </c>
      <c r="AA21">
        <v>194.5</v>
      </c>
      <c r="AB21">
        <v>190.7</v>
      </c>
      <c r="AC21">
        <v>193.5</v>
      </c>
    </row>
    <row r="22" spans="1:29" ht="15" customHeight="1" x14ac:dyDescent="0.25">
      <c r="A22" s="23" t="str">
        <v>13/02/2024  03:28</v>
      </c>
      <c r="B22">
        <v>191.62</v>
      </c>
      <c r="C22">
        <v>191.61</v>
      </c>
      <c r="D22">
        <v>190.67</v>
      </c>
      <c r="E22">
        <v>192.35</v>
      </c>
      <c r="F22">
        <v>192.49</v>
      </c>
      <c r="G22">
        <v>193.62</v>
      </c>
      <c r="H22">
        <v>188.95</v>
      </c>
      <c r="I22">
        <v>193.4</v>
      </c>
      <c r="J22">
        <v>192.08</v>
      </c>
      <c r="K22" s="205"/>
      <c r="M22" s="378"/>
      <c r="N22" s="206">
        <v>192.1</v>
      </c>
      <c r="O22" s="206">
        <v>191.9</v>
      </c>
      <c r="P22" s="206">
        <v>191.08999999999997</v>
      </c>
      <c r="Q22" s="206">
        <v>192.68999999999997</v>
      </c>
      <c r="R22" s="206">
        <v>192.82</v>
      </c>
      <c r="S22" s="206">
        <v>193.94</v>
      </c>
      <c r="T22" s="206">
        <v>189.2</v>
      </c>
      <c r="U22" s="206">
        <v>193.73999999999998</v>
      </c>
      <c r="V22" s="206">
        <v>192.51</v>
      </c>
      <c r="W22" s="203">
        <v>190</v>
      </c>
      <c r="Z22" s="23" t="str">
        <v>13/02/2024  03:28</v>
      </c>
      <c r="AA22">
        <v>194.1</v>
      </c>
      <c r="AB22">
        <v>190.7</v>
      </c>
      <c r="AC22">
        <v>193.4</v>
      </c>
    </row>
    <row r="23" spans="1:29" ht="15" customHeight="1" x14ac:dyDescent="0.25">
      <c r="A23" s="23" t="str">
        <v>13/02/2024  03:29</v>
      </c>
      <c r="B23">
        <v>191.5</v>
      </c>
      <c r="C23">
        <v>191.29</v>
      </c>
      <c r="D23">
        <v>190.64</v>
      </c>
      <c r="E23">
        <v>192.05</v>
      </c>
      <c r="F23">
        <v>192.31</v>
      </c>
      <c r="G23">
        <v>193.37</v>
      </c>
      <c r="H23">
        <v>189.15</v>
      </c>
      <c r="I23">
        <v>193.08</v>
      </c>
      <c r="J23">
        <v>191.9</v>
      </c>
      <c r="K23" s="205"/>
      <c r="M23" s="378"/>
      <c r="N23" s="206">
        <v>191.98</v>
      </c>
      <c r="O23" s="206">
        <v>191.57999999999998</v>
      </c>
      <c r="P23" s="206">
        <v>191.05999999999997</v>
      </c>
      <c r="Q23" s="206">
        <v>192.39</v>
      </c>
      <c r="R23" s="206">
        <v>192.64</v>
      </c>
      <c r="S23" s="206">
        <v>193.69</v>
      </c>
      <c r="T23" s="206">
        <v>189.4</v>
      </c>
      <c r="U23" s="206">
        <v>193.42</v>
      </c>
      <c r="V23" s="206">
        <v>192.32999999999998</v>
      </c>
      <c r="W23" s="203">
        <v>190</v>
      </c>
      <c r="Z23" s="23" t="str">
        <v>13/02/2024  03:29</v>
      </c>
      <c r="AA23">
        <v>193.5</v>
      </c>
      <c r="AB23">
        <v>190.7</v>
      </c>
      <c r="AC23">
        <v>193.1</v>
      </c>
    </row>
    <row r="24" spans="1:29" ht="15" customHeight="1" x14ac:dyDescent="0.25">
      <c r="A24" s="23" t="str">
        <v>13/02/2024  03:30</v>
      </c>
      <c r="B24">
        <v>191.32</v>
      </c>
      <c r="C24">
        <v>191.23</v>
      </c>
      <c r="D24">
        <v>190.52</v>
      </c>
      <c r="E24">
        <v>191.8</v>
      </c>
      <c r="F24">
        <v>191.95</v>
      </c>
      <c r="G24">
        <v>193.04</v>
      </c>
      <c r="H24">
        <v>189.45</v>
      </c>
      <c r="I24">
        <v>192.71</v>
      </c>
      <c r="J24">
        <v>191.64</v>
      </c>
      <c r="K24" s="205"/>
      <c r="M24" s="378"/>
      <c r="N24" s="206">
        <v>191.79999999999998</v>
      </c>
      <c r="O24" s="206">
        <v>191.51999999999998</v>
      </c>
      <c r="P24" s="206">
        <v>190.94</v>
      </c>
      <c r="Q24" s="206">
        <v>192.14</v>
      </c>
      <c r="R24" s="206">
        <v>192.27999999999997</v>
      </c>
      <c r="S24" s="206">
        <v>193.35999999999999</v>
      </c>
      <c r="T24" s="206">
        <v>189.7</v>
      </c>
      <c r="U24" s="206">
        <v>193.04999999999998</v>
      </c>
      <c r="V24" s="206">
        <v>192.06999999999996</v>
      </c>
      <c r="W24" s="203">
        <v>190</v>
      </c>
      <c r="Z24" s="23" t="str">
        <v>13/02/2024  03:30</v>
      </c>
      <c r="AA24">
        <v>193</v>
      </c>
      <c r="AB24">
        <v>190.7</v>
      </c>
      <c r="AC24">
        <v>192.9</v>
      </c>
    </row>
    <row r="25" spans="1:29" ht="15" customHeight="1" x14ac:dyDescent="0.25">
      <c r="A25" s="23" t="str">
        <v>13/02/2024  03:31</v>
      </c>
      <c r="B25">
        <v>191.34</v>
      </c>
      <c r="C25">
        <v>191.19</v>
      </c>
      <c r="D25">
        <v>190.52</v>
      </c>
      <c r="E25">
        <v>191.72</v>
      </c>
      <c r="F25">
        <v>191.91</v>
      </c>
      <c r="G25">
        <v>192.97</v>
      </c>
      <c r="H25">
        <v>189.78</v>
      </c>
      <c r="I25">
        <v>192.51</v>
      </c>
      <c r="J25">
        <v>191.53</v>
      </c>
      <c r="K25" s="205"/>
      <c r="M25" s="378"/>
      <c r="N25" s="206">
        <v>191.82</v>
      </c>
      <c r="O25" s="206">
        <v>191.48</v>
      </c>
      <c r="P25" s="206">
        <v>190.94</v>
      </c>
      <c r="Q25" s="206">
        <v>192.05999999999997</v>
      </c>
      <c r="R25" s="206">
        <v>192.23999999999998</v>
      </c>
      <c r="S25" s="206">
        <v>193.29</v>
      </c>
      <c r="T25" s="206">
        <v>190.03</v>
      </c>
      <c r="U25" s="206">
        <v>192.84999999999997</v>
      </c>
      <c r="V25" s="206">
        <v>191.95999999999998</v>
      </c>
      <c r="W25" s="203">
        <v>190</v>
      </c>
      <c r="Z25" s="23" t="str">
        <v>13/02/2024  03:31</v>
      </c>
      <c r="AA25">
        <v>192.6</v>
      </c>
      <c r="AB25">
        <v>190.6</v>
      </c>
      <c r="AC25">
        <v>192.8</v>
      </c>
    </row>
    <row r="26" spans="1:29" ht="15" customHeight="1" x14ac:dyDescent="0.25">
      <c r="A26" s="23" t="str">
        <v>13/02/2024  03:32</v>
      </c>
      <c r="B26">
        <v>191.24</v>
      </c>
      <c r="C26">
        <v>191.14</v>
      </c>
      <c r="D26">
        <v>190.61</v>
      </c>
      <c r="E26">
        <v>191.6</v>
      </c>
      <c r="F26">
        <v>191.87</v>
      </c>
      <c r="G26">
        <v>192.87</v>
      </c>
      <c r="H26">
        <v>189.86</v>
      </c>
      <c r="I26">
        <v>192.42</v>
      </c>
      <c r="J26">
        <v>191.46</v>
      </c>
      <c r="K26" s="205"/>
      <c r="M26" s="378"/>
      <c r="N26" s="206">
        <v>191.72</v>
      </c>
      <c r="O26" s="206">
        <v>191.42999999999998</v>
      </c>
      <c r="P26" s="206">
        <v>191.03</v>
      </c>
      <c r="Q26" s="206">
        <v>191.93999999999997</v>
      </c>
      <c r="R26" s="206">
        <v>192.2</v>
      </c>
      <c r="S26" s="206">
        <v>193.19</v>
      </c>
      <c r="T26" s="206">
        <v>190.11</v>
      </c>
      <c r="U26" s="206">
        <v>192.75999999999996</v>
      </c>
      <c r="V26" s="206">
        <v>191.89</v>
      </c>
      <c r="W26" s="203">
        <v>190</v>
      </c>
      <c r="Z26" s="23" t="str">
        <v>13/02/2024  03:32</v>
      </c>
      <c r="AA26">
        <v>192.4</v>
      </c>
      <c r="AB26">
        <v>190.5</v>
      </c>
      <c r="AC26">
        <v>192.7</v>
      </c>
    </row>
    <row r="27" spans="1:29" ht="15" customHeight="1" x14ac:dyDescent="0.25">
      <c r="A27" s="23" t="str">
        <v>13/02/2024  03:33</v>
      </c>
      <c r="B27">
        <v>191.38</v>
      </c>
      <c r="C27">
        <v>191.22</v>
      </c>
      <c r="D27">
        <v>190.75</v>
      </c>
      <c r="E27">
        <v>191.68</v>
      </c>
      <c r="F27">
        <v>191.84</v>
      </c>
      <c r="G27">
        <v>192.91</v>
      </c>
      <c r="H27">
        <v>190.06</v>
      </c>
      <c r="I27">
        <v>192.44</v>
      </c>
      <c r="J27">
        <v>191.54</v>
      </c>
      <c r="K27" s="205"/>
      <c r="M27" s="378"/>
      <c r="N27" s="206">
        <v>191.85999999999999</v>
      </c>
      <c r="O27" s="206">
        <v>191.51</v>
      </c>
      <c r="P27" s="206">
        <v>191.17</v>
      </c>
      <c r="Q27" s="206">
        <v>192.01999999999998</v>
      </c>
      <c r="R27" s="206">
        <v>192.17</v>
      </c>
      <c r="S27" s="206">
        <v>193.23</v>
      </c>
      <c r="T27" s="206">
        <v>190.31</v>
      </c>
      <c r="U27" s="206">
        <v>192.77999999999997</v>
      </c>
      <c r="V27" s="206">
        <v>191.96999999999997</v>
      </c>
      <c r="W27" s="203">
        <v>190</v>
      </c>
      <c r="Z27" s="23" t="str">
        <v>13/02/2024  03:33</v>
      </c>
      <c r="AA27">
        <v>192.2</v>
      </c>
      <c r="AB27">
        <v>190.4</v>
      </c>
      <c r="AC27">
        <v>192.6</v>
      </c>
    </row>
    <row r="28" spans="1:29" ht="15" customHeight="1" x14ac:dyDescent="0.25">
      <c r="A28" s="23" t="str">
        <v>13/02/2024  03:34</v>
      </c>
      <c r="B28">
        <v>191.3</v>
      </c>
      <c r="C28">
        <v>191.19</v>
      </c>
      <c r="D28">
        <v>190.74</v>
      </c>
      <c r="E28">
        <v>191.58</v>
      </c>
      <c r="F28">
        <v>191.78</v>
      </c>
      <c r="G28">
        <v>192.8</v>
      </c>
      <c r="H28">
        <v>190.21</v>
      </c>
      <c r="I28">
        <v>192.23</v>
      </c>
      <c r="J28">
        <v>191.43</v>
      </c>
      <c r="K28" s="205"/>
      <c r="M28" s="378"/>
      <c r="N28" s="206">
        <v>191.78</v>
      </c>
      <c r="O28" s="206">
        <v>191.48</v>
      </c>
      <c r="P28" s="206">
        <v>191.16</v>
      </c>
      <c r="Q28" s="206">
        <v>191.92</v>
      </c>
      <c r="R28" s="206">
        <v>192.10999999999999</v>
      </c>
      <c r="S28" s="206">
        <v>193.12</v>
      </c>
      <c r="T28" s="206">
        <v>190.46</v>
      </c>
      <c r="U28" s="206">
        <v>192.56999999999996</v>
      </c>
      <c r="V28" s="206">
        <v>191.85999999999999</v>
      </c>
      <c r="W28" s="203">
        <v>190</v>
      </c>
      <c r="Z28" s="23" t="str">
        <v>13/02/2024  03:34</v>
      </c>
      <c r="AA28">
        <v>192</v>
      </c>
      <c r="AB28">
        <v>190.4</v>
      </c>
      <c r="AC28">
        <v>192.6</v>
      </c>
    </row>
    <row r="29" spans="1:29" ht="15" customHeight="1" x14ac:dyDescent="0.25">
      <c r="A29" s="23" t="str">
        <v>13/02/2024  03:35</v>
      </c>
      <c r="B29">
        <v>191.26</v>
      </c>
      <c r="C29">
        <v>191.1</v>
      </c>
      <c r="D29">
        <v>190.69</v>
      </c>
      <c r="E29">
        <v>191.42</v>
      </c>
      <c r="F29">
        <v>191.48</v>
      </c>
      <c r="G29">
        <v>192.53</v>
      </c>
      <c r="H29">
        <v>190.32</v>
      </c>
      <c r="I29">
        <v>191.92</v>
      </c>
      <c r="J29">
        <v>191.29</v>
      </c>
      <c r="K29" s="205"/>
      <c r="M29" s="378"/>
      <c r="N29" s="206">
        <v>191.73999999999998</v>
      </c>
      <c r="O29" s="206">
        <v>191.39</v>
      </c>
      <c r="P29" s="206">
        <v>191.10999999999999</v>
      </c>
      <c r="Q29" s="206">
        <v>191.75999999999996</v>
      </c>
      <c r="R29" s="206">
        <v>191.80999999999997</v>
      </c>
      <c r="S29" s="206">
        <v>192.85</v>
      </c>
      <c r="T29" s="206">
        <v>190.57</v>
      </c>
      <c r="U29" s="206">
        <v>192.25999999999996</v>
      </c>
      <c r="V29" s="206">
        <v>191.71999999999997</v>
      </c>
      <c r="W29" s="203">
        <v>190</v>
      </c>
      <c r="Z29" s="23" t="str">
        <v>13/02/2024  03:35</v>
      </c>
      <c r="AA29">
        <v>191.9</v>
      </c>
      <c r="AB29">
        <v>190.4</v>
      </c>
      <c r="AC29">
        <v>192.5</v>
      </c>
    </row>
    <row r="30" spans="1:29" ht="15" customHeight="1" x14ac:dyDescent="0.25">
      <c r="A30" s="23" t="str">
        <v>13/02/2024  03:36</v>
      </c>
      <c r="B30">
        <v>191.08</v>
      </c>
      <c r="C30">
        <v>190.93</v>
      </c>
      <c r="D30">
        <v>190.64</v>
      </c>
      <c r="E30">
        <v>191.29</v>
      </c>
      <c r="F30">
        <v>191.43</v>
      </c>
      <c r="G30">
        <v>192.49</v>
      </c>
      <c r="H30">
        <v>190.29</v>
      </c>
      <c r="I30">
        <v>191.86</v>
      </c>
      <c r="J30">
        <v>191.2</v>
      </c>
      <c r="K30" s="205"/>
      <c r="M30" s="378"/>
      <c r="N30" s="206">
        <v>191.56</v>
      </c>
      <c r="O30" s="206">
        <v>191.22</v>
      </c>
      <c r="P30" s="206">
        <v>191.05999999999997</v>
      </c>
      <c r="Q30" s="206">
        <v>191.62999999999997</v>
      </c>
      <c r="R30" s="206">
        <v>191.76</v>
      </c>
      <c r="S30" s="206">
        <v>192.81</v>
      </c>
      <c r="T30" s="206">
        <v>190.54</v>
      </c>
      <c r="U30" s="206">
        <v>192.2</v>
      </c>
      <c r="V30" s="206">
        <v>191.62999999999997</v>
      </c>
      <c r="W30" s="203">
        <v>190</v>
      </c>
      <c r="Z30" s="23" t="str">
        <v>13/02/2024  03:36</v>
      </c>
      <c r="AA30">
        <v>191.6</v>
      </c>
      <c r="AB30">
        <v>190.4</v>
      </c>
      <c r="AC30">
        <v>192.4</v>
      </c>
    </row>
    <row r="31" spans="1:29" ht="15" customHeight="1" x14ac:dyDescent="0.25">
      <c r="A31" s="23" t="str">
        <v>13/02/2024  03:37</v>
      </c>
      <c r="B31">
        <v>191.18</v>
      </c>
      <c r="C31">
        <v>191.03</v>
      </c>
      <c r="D31">
        <v>190.76</v>
      </c>
      <c r="E31">
        <v>191.34</v>
      </c>
      <c r="F31">
        <v>191.48</v>
      </c>
      <c r="G31">
        <v>192.46</v>
      </c>
      <c r="H31">
        <v>190.45</v>
      </c>
      <c r="I31">
        <v>191.86</v>
      </c>
      <c r="J31">
        <v>191.22</v>
      </c>
      <c r="K31" s="205"/>
      <c r="M31" s="378"/>
      <c r="N31" s="206">
        <v>191.66</v>
      </c>
      <c r="O31" s="206">
        <v>191.32</v>
      </c>
      <c r="P31" s="206">
        <v>191.17999999999998</v>
      </c>
      <c r="Q31" s="206">
        <v>191.67999999999998</v>
      </c>
      <c r="R31" s="206">
        <v>191.80999999999997</v>
      </c>
      <c r="S31" s="206">
        <v>192.78</v>
      </c>
      <c r="T31" s="206">
        <v>190.7</v>
      </c>
      <c r="U31" s="206">
        <v>192.2</v>
      </c>
      <c r="V31" s="206">
        <v>191.64999999999998</v>
      </c>
      <c r="W31" s="203">
        <v>190</v>
      </c>
      <c r="Z31" s="23" t="str">
        <v>13/02/2024  03:37</v>
      </c>
      <c r="AA31">
        <v>191.5</v>
      </c>
      <c r="AB31">
        <v>190.3</v>
      </c>
      <c r="AC31">
        <v>192.3</v>
      </c>
    </row>
    <row r="32" spans="1:29" ht="15" customHeight="1" x14ac:dyDescent="0.25">
      <c r="A32" s="23" t="str">
        <v>13/02/2024  03:38</v>
      </c>
      <c r="B32">
        <v>191.13</v>
      </c>
      <c r="C32">
        <v>190.99</v>
      </c>
      <c r="D32">
        <v>190.67</v>
      </c>
      <c r="E32">
        <v>191.22</v>
      </c>
      <c r="F32">
        <v>191.36</v>
      </c>
      <c r="G32">
        <v>192.4</v>
      </c>
      <c r="H32">
        <v>190.45</v>
      </c>
      <c r="I32">
        <v>191.75</v>
      </c>
      <c r="J32">
        <v>191.15</v>
      </c>
      <c r="K32" s="205"/>
      <c r="M32" s="378"/>
      <c r="N32" s="206">
        <v>191.60999999999999</v>
      </c>
      <c r="O32" s="206">
        <v>191.28</v>
      </c>
      <c r="P32" s="206">
        <v>191.08999999999997</v>
      </c>
      <c r="Q32" s="206">
        <v>191.55999999999997</v>
      </c>
      <c r="R32" s="206">
        <v>191.69</v>
      </c>
      <c r="S32" s="206">
        <v>192.72</v>
      </c>
      <c r="T32" s="206">
        <v>190.7</v>
      </c>
      <c r="U32" s="206">
        <v>192.08999999999997</v>
      </c>
      <c r="V32" s="206">
        <v>191.57999999999998</v>
      </c>
      <c r="W32" s="203">
        <v>190</v>
      </c>
      <c r="Z32" s="23" t="str">
        <v>13/02/2024  03:38</v>
      </c>
      <c r="AA32">
        <v>191.4</v>
      </c>
      <c r="AB32">
        <v>190.2</v>
      </c>
      <c r="AC32">
        <v>192.3</v>
      </c>
    </row>
    <row r="33" spans="1:29" ht="15" customHeight="1" x14ac:dyDescent="0.25">
      <c r="A33" s="23" t="str">
        <v>13/02/2024  03:39</v>
      </c>
      <c r="B33">
        <v>191.12</v>
      </c>
      <c r="C33">
        <v>190.99</v>
      </c>
      <c r="D33">
        <v>190.69</v>
      </c>
      <c r="E33">
        <v>191.18</v>
      </c>
      <c r="F33">
        <v>191.25</v>
      </c>
      <c r="G33">
        <v>192.25</v>
      </c>
      <c r="H33">
        <v>190.5</v>
      </c>
      <c r="I33">
        <v>191.65</v>
      </c>
      <c r="J33">
        <v>191.08</v>
      </c>
      <c r="K33" s="205"/>
      <c r="M33" s="378"/>
      <c r="N33" s="206">
        <v>191.6</v>
      </c>
      <c r="O33" s="206">
        <v>191.28</v>
      </c>
      <c r="P33" s="206">
        <v>191.10999999999999</v>
      </c>
      <c r="Q33" s="206">
        <v>191.51999999999998</v>
      </c>
      <c r="R33" s="206">
        <v>191.57999999999998</v>
      </c>
      <c r="S33" s="206">
        <v>192.57</v>
      </c>
      <c r="T33" s="206">
        <v>190.75</v>
      </c>
      <c r="U33" s="206">
        <v>191.98999999999998</v>
      </c>
      <c r="V33" s="206">
        <v>191.51</v>
      </c>
      <c r="W33" s="203">
        <v>190</v>
      </c>
      <c r="Z33" s="23" t="str">
        <v>13/02/2024  03:39</v>
      </c>
      <c r="AA33">
        <v>191.3</v>
      </c>
      <c r="AB33">
        <v>190.2</v>
      </c>
      <c r="AC33">
        <v>192.2</v>
      </c>
    </row>
    <row r="34" spans="1:29" ht="15" customHeight="1" x14ac:dyDescent="0.25">
      <c r="A34" s="23" t="str">
        <v>13/02/2024  03:40</v>
      </c>
      <c r="B34">
        <v>191.2</v>
      </c>
      <c r="C34">
        <v>191.1</v>
      </c>
      <c r="D34">
        <v>190.85</v>
      </c>
      <c r="E34">
        <v>191.29</v>
      </c>
      <c r="F34">
        <v>191.38</v>
      </c>
      <c r="G34">
        <v>192.42</v>
      </c>
      <c r="H34">
        <v>190.57</v>
      </c>
      <c r="I34">
        <v>191.72</v>
      </c>
      <c r="J34">
        <v>191.2</v>
      </c>
      <c r="K34" s="205"/>
      <c r="M34" s="378"/>
      <c r="N34" s="206">
        <v>191.67999999999998</v>
      </c>
      <c r="O34" s="206">
        <v>191.39</v>
      </c>
      <c r="P34" s="206">
        <v>191.26999999999998</v>
      </c>
      <c r="Q34" s="206">
        <v>191.62999999999997</v>
      </c>
      <c r="R34" s="206">
        <v>191.70999999999998</v>
      </c>
      <c r="S34" s="206">
        <v>192.73999999999998</v>
      </c>
      <c r="T34" s="206">
        <v>190.82</v>
      </c>
      <c r="U34" s="206">
        <v>192.05999999999997</v>
      </c>
      <c r="V34" s="206">
        <v>191.62999999999997</v>
      </c>
      <c r="W34" s="203">
        <v>190</v>
      </c>
      <c r="Z34" s="23" t="str">
        <v>13/02/2024  03:40</v>
      </c>
      <c r="AA34">
        <v>191.2</v>
      </c>
      <c r="AB34">
        <v>190.2</v>
      </c>
      <c r="AC34">
        <v>192.2</v>
      </c>
    </row>
    <row r="35" spans="1:29" ht="15" customHeight="1" x14ac:dyDescent="0.25">
      <c r="A35" s="23" t="str">
        <v>13/02/2024  03:41</v>
      </c>
      <c r="B35">
        <v>191.2</v>
      </c>
      <c r="C35">
        <v>191.11</v>
      </c>
      <c r="D35">
        <v>190.84</v>
      </c>
      <c r="E35">
        <v>191.22</v>
      </c>
      <c r="F35">
        <v>191.42</v>
      </c>
      <c r="G35">
        <v>192.28</v>
      </c>
      <c r="H35">
        <v>190.55</v>
      </c>
      <c r="I35">
        <v>191.57</v>
      </c>
      <c r="J35">
        <v>191.08</v>
      </c>
      <c r="K35" s="205"/>
      <c r="M35" s="378"/>
      <c r="N35" s="206">
        <v>191.67999999999998</v>
      </c>
      <c r="O35" s="206">
        <v>191.4</v>
      </c>
      <c r="P35" s="206">
        <v>191.26</v>
      </c>
      <c r="Q35" s="206">
        <v>191.55999999999997</v>
      </c>
      <c r="R35" s="206">
        <v>191.74999999999997</v>
      </c>
      <c r="S35" s="206">
        <v>192.6</v>
      </c>
      <c r="T35" s="206">
        <v>190.8</v>
      </c>
      <c r="U35" s="206">
        <v>191.90999999999997</v>
      </c>
      <c r="V35" s="206">
        <v>191.51</v>
      </c>
      <c r="W35" s="203">
        <v>190</v>
      </c>
      <c r="Z35" s="23" t="str">
        <v>13/02/2024  03:41</v>
      </c>
      <c r="AA35">
        <v>191.2</v>
      </c>
      <c r="AB35">
        <v>190.2</v>
      </c>
      <c r="AC35">
        <v>192.2</v>
      </c>
    </row>
    <row r="36" spans="1:29" ht="15" customHeight="1" x14ac:dyDescent="0.25">
      <c r="A36" s="23" t="str">
        <v>13/02/2024  03:42</v>
      </c>
      <c r="B36">
        <v>191.32</v>
      </c>
      <c r="C36">
        <v>191.13</v>
      </c>
      <c r="D36">
        <v>190.89</v>
      </c>
      <c r="E36">
        <v>191.3</v>
      </c>
      <c r="F36">
        <v>191.39</v>
      </c>
      <c r="G36">
        <v>192.42</v>
      </c>
      <c r="H36">
        <v>190.78</v>
      </c>
      <c r="I36">
        <v>191.78</v>
      </c>
      <c r="J36">
        <v>191.23</v>
      </c>
      <c r="K36" s="205"/>
      <c r="M36" s="378"/>
      <c r="N36" s="206">
        <v>191.79999999999998</v>
      </c>
      <c r="O36" s="206">
        <v>191.42</v>
      </c>
      <c r="P36" s="206">
        <v>191.30999999999997</v>
      </c>
      <c r="Q36" s="206">
        <v>191.64</v>
      </c>
      <c r="R36" s="206">
        <v>191.71999999999997</v>
      </c>
      <c r="S36" s="206">
        <v>192.73999999999998</v>
      </c>
      <c r="T36" s="206">
        <v>191.03</v>
      </c>
      <c r="U36" s="206">
        <v>192.11999999999998</v>
      </c>
      <c r="V36" s="206">
        <v>191.65999999999997</v>
      </c>
      <c r="W36" s="203">
        <v>190</v>
      </c>
      <c r="Z36" s="23" t="str">
        <v>13/02/2024  03:42</v>
      </c>
      <c r="AA36">
        <v>191.1</v>
      </c>
      <c r="AB36">
        <v>190.1</v>
      </c>
      <c r="AC36">
        <v>192.2</v>
      </c>
    </row>
    <row r="37" spans="1:29" ht="15" customHeight="1" x14ac:dyDescent="0.25">
      <c r="A37" s="23" t="str">
        <v>13/02/2024  03:43</v>
      </c>
      <c r="B37">
        <v>191.21</v>
      </c>
      <c r="C37">
        <v>191.09</v>
      </c>
      <c r="D37">
        <v>190.87</v>
      </c>
      <c r="E37">
        <v>191.23</v>
      </c>
      <c r="F37">
        <v>191.27</v>
      </c>
      <c r="G37">
        <v>192.25</v>
      </c>
      <c r="H37">
        <v>190.65</v>
      </c>
      <c r="I37">
        <v>191.54</v>
      </c>
      <c r="J37">
        <v>191.09</v>
      </c>
      <c r="K37" s="205"/>
      <c r="M37" s="378"/>
      <c r="N37" s="206">
        <v>191.69</v>
      </c>
      <c r="O37" s="206">
        <v>191.38</v>
      </c>
      <c r="P37" s="206">
        <v>191.29</v>
      </c>
      <c r="Q37" s="206">
        <v>191.56999999999996</v>
      </c>
      <c r="R37" s="206">
        <v>191.6</v>
      </c>
      <c r="S37" s="206">
        <v>192.57</v>
      </c>
      <c r="T37" s="206">
        <v>190.9</v>
      </c>
      <c r="U37" s="206">
        <v>191.87999999999997</v>
      </c>
      <c r="V37" s="206">
        <v>191.51999999999998</v>
      </c>
      <c r="W37" s="203">
        <v>190</v>
      </c>
      <c r="Z37" s="23" t="str">
        <v>13/02/2024  03:43</v>
      </c>
      <c r="AA37">
        <v>191.1</v>
      </c>
      <c r="AB37">
        <v>190.2</v>
      </c>
      <c r="AC37">
        <v>192.2</v>
      </c>
    </row>
    <row r="38" spans="1:29" ht="15" customHeight="1" x14ac:dyDescent="0.25">
      <c r="A38" s="23" t="str">
        <v>13/02/2024  03:44</v>
      </c>
      <c r="B38">
        <v>191.22</v>
      </c>
      <c r="C38">
        <v>191.04</v>
      </c>
      <c r="D38">
        <v>190.85</v>
      </c>
      <c r="E38">
        <v>191.19</v>
      </c>
      <c r="F38">
        <v>191.35</v>
      </c>
      <c r="G38">
        <v>192.18</v>
      </c>
      <c r="H38">
        <v>190.66</v>
      </c>
      <c r="I38">
        <v>191.54</v>
      </c>
      <c r="J38">
        <v>191.05</v>
      </c>
      <c r="K38" s="205"/>
      <c r="M38" s="378"/>
      <c r="N38" s="206">
        <v>191.7</v>
      </c>
      <c r="O38" s="206">
        <v>191.32999999999998</v>
      </c>
      <c r="P38" s="206">
        <v>191.26999999999998</v>
      </c>
      <c r="Q38" s="206">
        <v>191.52999999999997</v>
      </c>
      <c r="R38" s="206">
        <v>191.67999999999998</v>
      </c>
      <c r="S38" s="206">
        <v>192.5</v>
      </c>
      <c r="T38" s="206">
        <v>190.91</v>
      </c>
      <c r="U38" s="206">
        <v>191.87999999999997</v>
      </c>
      <c r="V38" s="206">
        <v>191.48</v>
      </c>
      <c r="W38" s="203">
        <v>190</v>
      </c>
      <c r="Z38" s="23" t="str">
        <v>13/02/2024  03:44</v>
      </c>
      <c r="AA38">
        <v>191</v>
      </c>
      <c r="AB38">
        <v>190.1</v>
      </c>
      <c r="AC38">
        <v>192.1</v>
      </c>
    </row>
    <row r="39" spans="1:29" ht="15" customHeight="1" x14ac:dyDescent="0.25">
      <c r="A39" s="23" t="str">
        <v>13/02/2024  03:45</v>
      </c>
      <c r="B39">
        <v>191.16</v>
      </c>
      <c r="C39">
        <v>190.98</v>
      </c>
      <c r="D39">
        <v>190.83</v>
      </c>
      <c r="E39">
        <v>191.1</v>
      </c>
      <c r="F39">
        <v>191.17</v>
      </c>
      <c r="G39">
        <v>192.08</v>
      </c>
      <c r="H39">
        <v>190.65</v>
      </c>
      <c r="I39">
        <v>191.41</v>
      </c>
      <c r="J39">
        <v>191.04</v>
      </c>
      <c r="K39" s="205"/>
      <c r="M39" s="378"/>
      <c r="N39" s="206">
        <v>191.64</v>
      </c>
      <c r="O39" s="206">
        <v>191.26999999999998</v>
      </c>
      <c r="P39" s="206">
        <v>191.25</v>
      </c>
      <c r="Q39" s="206">
        <v>191.43999999999997</v>
      </c>
      <c r="R39" s="206">
        <v>191.49999999999997</v>
      </c>
      <c r="S39" s="206">
        <v>192.4</v>
      </c>
      <c r="T39" s="206">
        <v>190.9</v>
      </c>
      <c r="U39" s="206">
        <v>191.74999999999997</v>
      </c>
      <c r="V39" s="206">
        <v>191.46999999999997</v>
      </c>
      <c r="W39" s="203">
        <v>190</v>
      </c>
      <c r="Z39" s="23" t="str">
        <v>13/02/2024  03:45</v>
      </c>
      <c r="AA39">
        <v>191</v>
      </c>
      <c r="AB39">
        <v>190.2</v>
      </c>
      <c r="AC39">
        <v>192.1</v>
      </c>
    </row>
    <row r="40" spans="1:29" ht="15" customHeight="1" x14ac:dyDescent="0.25">
      <c r="A40" s="23" t="str">
        <v>13/02/2024  03:46</v>
      </c>
      <c r="B40">
        <v>191.28</v>
      </c>
      <c r="C40">
        <v>191.09</v>
      </c>
      <c r="D40">
        <v>190.91</v>
      </c>
      <c r="E40">
        <v>191.26</v>
      </c>
      <c r="F40">
        <v>191.34</v>
      </c>
      <c r="G40">
        <v>192.24</v>
      </c>
      <c r="H40">
        <v>190.71</v>
      </c>
      <c r="I40">
        <v>191.56</v>
      </c>
      <c r="J40">
        <v>191.13</v>
      </c>
      <c r="K40" s="205"/>
      <c r="M40" s="378"/>
      <c r="N40" s="206">
        <v>191.76</v>
      </c>
      <c r="O40" s="206">
        <v>191.38</v>
      </c>
      <c r="P40" s="206">
        <v>191.32999999999998</v>
      </c>
      <c r="Q40" s="206">
        <v>191.59999999999997</v>
      </c>
      <c r="R40" s="206">
        <v>191.67</v>
      </c>
      <c r="S40" s="206">
        <v>192.56</v>
      </c>
      <c r="T40" s="206">
        <v>190.96</v>
      </c>
      <c r="U40" s="206">
        <v>191.89999999999998</v>
      </c>
      <c r="V40" s="206">
        <v>191.55999999999997</v>
      </c>
      <c r="W40" s="203">
        <v>190</v>
      </c>
      <c r="Z40" s="23" t="str">
        <v>13/02/2024  03:46</v>
      </c>
      <c r="AA40">
        <v>190.9</v>
      </c>
      <c r="AB40">
        <v>190</v>
      </c>
      <c r="AC40">
        <v>192.1</v>
      </c>
    </row>
    <row r="41" spans="1:29" ht="15" customHeight="1" x14ac:dyDescent="0.25">
      <c r="A41" s="23" t="str">
        <v>13/02/2024  03:47</v>
      </c>
      <c r="B41">
        <v>191.44</v>
      </c>
      <c r="C41">
        <v>191.27</v>
      </c>
      <c r="D41">
        <v>191.1</v>
      </c>
      <c r="E41">
        <v>191.42</v>
      </c>
      <c r="F41">
        <v>191.49</v>
      </c>
      <c r="G41">
        <v>192.38</v>
      </c>
      <c r="H41">
        <v>190.86</v>
      </c>
      <c r="I41">
        <v>191.72</v>
      </c>
      <c r="J41">
        <v>191.28</v>
      </c>
      <c r="K41" s="205"/>
      <c r="M41" s="378"/>
      <c r="N41" s="206">
        <v>191.92</v>
      </c>
      <c r="O41" s="206">
        <v>191.56</v>
      </c>
      <c r="P41" s="206">
        <v>191.51999999999998</v>
      </c>
      <c r="Q41" s="206">
        <v>191.75999999999996</v>
      </c>
      <c r="R41" s="206">
        <v>191.82</v>
      </c>
      <c r="S41" s="206">
        <v>192.7</v>
      </c>
      <c r="T41" s="206">
        <v>191.11</v>
      </c>
      <c r="U41" s="206">
        <v>192.05999999999997</v>
      </c>
      <c r="V41" s="206">
        <v>191.70999999999998</v>
      </c>
      <c r="W41" s="203">
        <v>190</v>
      </c>
      <c r="Z41" s="23" t="str">
        <v>13/02/2024  03:47</v>
      </c>
      <c r="AA41">
        <v>191</v>
      </c>
      <c r="AB41">
        <v>190.1</v>
      </c>
      <c r="AC41">
        <v>192.2</v>
      </c>
    </row>
    <row r="42" spans="1:29" ht="15" customHeight="1" x14ac:dyDescent="0.25">
      <c r="A42" s="23" t="str">
        <v>13/02/2024  03:48</v>
      </c>
      <c r="B42">
        <v>191.21</v>
      </c>
      <c r="C42">
        <v>191.02</v>
      </c>
      <c r="D42">
        <v>190.92</v>
      </c>
      <c r="E42">
        <v>191.15</v>
      </c>
      <c r="F42">
        <v>191.33</v>
      </c>
      <c r="G42">
        <v>192.15</v>
      </c>
      <c r="H42">
        <v>190.71</v>
      </c>
      <c r="I42">
        <v>191.46</v>
      </c>
      <c r="J42">
        <v>191.11</v>
      </c>
      <c r="K42" s="205"/>
      <c r="M42" s="378"/>
      <c r="N42" s="206">
        <v>191.69</v>
      </c>
      <c r="O42" s="206">
        <v>191.31</v>
      </c>
      <c r="P42" s="206">
        <v>191.33999999999997</v>
      </c>
      <c r="Q42" s="206">
        <v>191.48999999999998</v>
      </c>
      <c r="R42" s="206">
        <v>191.66</v>
      </c>
      <c r="S42" s="206">
        <v>192.47</v>
      </c>
      <c r="T42" s="206">
        <v>190.96</v>
      </c>
      <c r="U42" s="206">
        <v>191.79999999999998</v>
      </c>
      <c r="V42" s="206">
        <v>191.54</v>
      </c>
      <c r="W42" s="203">
        <v>190</v>
      </c>
      <c r="Z42" s="23" t="str">
        <v>13/02/2024  03:48</v>
      </c>
      <c r="AA42">
        <v>191</v>
      </c>
      <c r="AB42">
        <v>190.1</v>
      </c>
      <c r="AC42">
        <v>192.2</v>
      </c>
    </row>
    <row r="43" spans="1:29" ht="15" customHeight="1" x14ac:dyDescent="0.25">
      <c r="A43" s="23" t="str">
        <v>13/02/2024  03:49</v>
      </c>
      <c r="B43">
        <v>191.19</v>
      </c>
      <c r="C43">
        <v>191.03</v>
      </c>
      <c r="D43">
        <v>190.92</v>
      </c>
      <c r="E43">
        <v>191.16</v>
      </c>
      <c r="F43">
        <v>191.21</v>
      </c>
      <c r="G43">
        <v>192.18</v>
      </c>
      <c r="H43">
        <v>190.7</v>
      </c>
      <c r="I43">
        <v>191.45</v>
      </c>
      <c r="J43">
        <v>191.07</v>
      </c>
      <c r="K43" s="205"/>
      <c r="M43" s="378"/>
      <c r="N43" s="206">
        <v>191.67</v>
      </c>
      <c r="O43" s="206">
        <v>191.32</v>
      </c>
      <c r="P43" s="206">
        <v>191.33999999999997</v>
      </c>
      <c r="Q43" s="206">
        <v>191.49999999999997</v>
      </c>
      <c r="R43" s="206">
        <v>191.54</v>
      </c>
      <c r="S43" s="206">
        <v>192.5</v>
      </c>
      <c r="T43" s="206">
        <v>190.95</v>
      </c>
      <c r="U43" s="206">
        <v>191.78999999999996</v>
      </c>
      <c r="V43" s="206">
        <v>191.49999999999997</v>
      </c>
      <c r="W43" s="203">
        <v>190</v>
      </c>
      <c r="Z43" s="23" t="str">
        <v>13/02/2024  03:49</v>
      </c>
      <c r="AA43">
        <v>190.9</v>
      </c>
      <c r="AB43">
        <v>190.1</v>
      </c>
      <c r="AC43">
        <v>192.1</v>
      </c>
    </row>
    <row r="44" spans="1:29" ht="15" customHeight="1" x14ac:dyDescent="0.25">
      <c r="A44" s="23" t="str">
        <v>13/02/2024  03:50</v>
      </c>
      <c r="B44">
        <v>191.35</v>
      </c>
      <c r="C44">
        <v>191.17</v>
      </c>
      <c r="D44">
        <v>191.02</v>
      </c>
      <c r="E44">
        <v>191.27</v>
      </c>
      <c r="F44">
        <v>191.4</v>
      </c>
      <c r="G44">
        <v>192.24</v>
      </c>
      <c r="H44">
        <v>190.76</v>
      </c>
      <c r="I44">
        <v>191.49</v>
      </c>
      <c r="J44">
        <v>191.17</v>
      </c>
      <c r="K44" s="205"/>
      <c r="M44" s="378"/>
      <c r="N44" s="206">
        <v>191.82999999999998</v>
      </c>
      <c r="O44" s="206">
        <v>191.45999999999998</v>
      </c>
      <c r="P44" s="206">
        <v>191.44</v>
      </c>
      <c r="Q44" s="206">
        <v>191.60999999999999</v>
      </c>
      <c r="R44" s="206">
        <v>191.73</v>
      </c>
      <c r="S44" s="206">
        <v>192.56</v>
      </c>
      <c r="T44" s="206">
        <v>191.01</v>
      </c>
      <c r="U44" s="206">
        <v>191.82999999999998</v>
      </c>
      <c r="V44" s="206">
        <v>191.59999999999997</v>
      </c>
      <c r="W44" s="203">
        <v>190</v>
      </c>
      <c r="Z44" s="23" t="str">
        <v>13/02/2024  03:50</v>
      </c>
      <c r="AA44">
        <v>190.9</v>
      </c>
      <c r="AB44">
        <v>190.1</v>
      </c>
      <c r="AC44">
        <v>192.1</v>
      </c>
    </row>
    <row r="45" spans="1:29" ht="15" customHeight="1" x14ac:dyDescent="0.25">
      <c r="A45" s="23" t="str">
        <v>13/02/2024  03:51</v>
      </c>
      <c r="B45">
        <v>191.35</v>
      </c>
      <c r="C45">
        <v>191.2</v>
      </c>
      <c r="D45">
        <v>191.05</v>
      </c>
      <c r="E45">
        <v>191.31</v>
      </c>
      <c r="F45">
        <v>191.52</v>
      </c>
      <c r="G45">
        <v>192.39</v>
      </c>
      <c r="H45">
        <v>190.83</v>
      </c>
      <c r="I45">
        <v>191.63</v>
      </c>
      <c r="J45">
        <v>191.2</v>
      </c>
      <c r="K45" s="205"/>
      <c r="M45" s="378"/>
      <c r="N45" s="206">
        <v>191.82999999999998</v>
      </c>
      <c r="O45" s="206">
        <v>191.48999999999998</v>
      </c>
      <c r="P45" s="206">
        <v>191.47</v>
      </c>
      <c r="Q45" s="206">
        <v>191.64999999999998</v>
      </c>
      <c r="R45" s="206">
        <v>191.85</v>
      </c>
      <c r="S45" s="206">
        <v>192.70999999999998</v>
      </c>
      <c r="T45" s="206">
        <v>191.08</v>
      </c>
      <c r="U45" s="206">
        <v>191.96999999999997</v>
      </c>
      <c r="V45" s="206">
        <v>191.62999999999997</v>
      </c>
      <c r="W45" s="203">
        <v>190.3</v>
      </c>
      <c r="Z45" s="23" t="str">
        <v>13/02/2024  03:51</v>
      </c>
      <c r="AA45">
        <v>190.9</v>
      </c>
      <c r="AB45">
        <v>190.1</v>
      </c>
      <c r="AC45">
        <v>192.1</v>
      </c>
    </row>
    <row r="46" spans="1:29" ht="15" customHeight="1" x14ac:dyDescent="0.25">
      <c r="A46" s="23" t="str">
        <v>13/02/2024  03:52</v>
      </c>
      <c r="B46">
        <v>192.39</v>
      </c>
      <c r="C46">
        <v>192.17</v>
      </c>
      <c r="D46">
        <v>191.96</v>
      </c>
      <c r="E46">
        <v>192.38</v>
      </c>
      <c r="F46">
        <v>192.43</v>
      </c>
      <c r="G46">
        <v>193.54</v>
      </c>
      <c r="H46">
        <v>191.44</v>
      </c>
      <c r="I46">
        <v>192.94</v>
      </c>
      <c r="J46">
        <v>192.2</v>
      </c>
      <c r="K46" s="205"/>
      <c r="M46" s="378"/>
      <c r="N46" s="206">
        <v>192.86999999999998</v>
      </c>
      <c r="O46" s="206">
        <v>192.45999999999998</v>
      </c>
      <c r="P46" s="206">
        <v>192.38</v>
      </c>
      <c r="Q46" s="206">
        <v>192.71999999999997</v>
      </c>
      <c r="R46" s="206">
        <v>192.76</v>
      </c>
      <c r="S46" s="206">
        <v>193.85999999999999</v>
      </c>
      <c r="T46" s="206">
        <v>191.69</v>
      </c>
      <c r="U46" s="206">
        <v>193.27999999999997</v>
      </c>
      <c r="V46" s="206">
        <v>192.62999999999997</v>
      </c>
      <c r="W46" s="203">
        <v>191.3</v>
      </c>
      <c r="Z46" s="23" t="str">
        <v>13/02/2024  03:52</v>
      </c>
      <c r="AA46">
        <v>191.2</v>
      </c>
      <c r="AB46">
        <v>190.3</v>
      </c>
      <c r="AC46">
        <v>192.4</v>
      </c>
    </row>
    <row r="47" spans="1:29" ht="15" customHeight="1" x14ac:dyDescent="0.25">
      <c r="A47" s="23" t="str">
        <v>13/02/2024  03:53</v>
      </c>
      <c r="B47">
        <v>193.88</v>
      </c>
      <c r="C47">
        <v>193.68</v>
      </c>
      <c r="D47">
        <v>193.31</v>
      </c>
      <c r="E47">
        <v>194.03</v>
      </c>
      <c r="F47">
        <v>193.98</v>
      </c>
      <c r="G47">
        <v>195.19</v>
      </c>
      <c r="H47">
        <v>192.32</v>
      </c>
      <c r="I47">
        <v>194.69</v>
      </c>
      <c r="J47">
        <v>193.78</v>
      </c>
      <c r="K47" s="205"/>
      <c r="M47" s="378"/>
      <c r="N47" s="206">
        <v>194.35999999999999</v>
      </c>
      <c r="O47" s="206">
        <v>193.97</v>
      </c>
      <c r="P47" s="206">
        <v>193.73</v>
      </c>
      <c r="Q47" s="206">
        <v>194.36999999999998</v>
      </c>
      <c r="R47" s="206">
        <v>194.30999999999997</v>
      </c>
      <c r="S47" s="206">
        <v>195.51</v>
      </c>
      <c r="T47" s="206">
        <v>192.57</v>
      </c>
      <c r="U47" s="206">
        <v>195.02999999999997</v>
      </c>
      <c r="V47" s="206">
        <v>194.20999999999998</v>
      </c>
      <c r="W47" s="203">
        <v>192.3</v>
      </c>
      <c r="Z47" s="23" t="str">
        <v>13/02/2024  03:53</v>
      </c>
      <c r="AA47">
        <v>192.1</v>
      </c>
      <c r="AB47">
        <v>190.9</v>
      </c>
      <c r="AC47">
        <v>193.2</v>
      </c>
    </row>
    <row r="48" spans="1:29" ht="15" customHeight="1" x14ac:dyDescent="0.25">
      <c r="A48" s="23" t="str">
        <v>13/02/2024  03:54</v>
      </c>
      <c r="B48">
        <v>195.32</v>
      </c>
      <c r="C48">
        <v>195.06</v>
      </c>
      <c r="D48">
        <v>194.62</v>
      </c>
      <c r="E48">
        <v>195.52</v>
      </c>
      <c r="F48">
        <v>195.5</v>
      </c>
      <c r="G48">
        <v>196.65</v>
      </c>
      <c r="H48">
        <v>193.38</v>
      </c>
      <c r="I48">
        <v>196.22</v>
      </c>
      <c r="J48">
        <v>195.14</v>
      </c>
      <c r="K48" s="205"/>
      <c r="M48" s="378"/>
      <c r="N48" s="206">
        <v>195.79999999999998</v>
      </c>
      <c r="O48" s="206">
        <v>195.35</v>
      </c>
      <c r="P48" s="206">
        <v>195.04</v>
      </c>
      <c r="Q48" s="206">
        <v>195.85999999999999</v>
      </c>
      <c r="R48" s="206">
        <v>195.82999999999998</v>
      </c>
      <c r="S48" s="206">
        <v>196.97</v>
      </c>
      <c r="T48" s="206">
        <v>193.63</v>
      </c>
      <c r="U48" s="206">
        <v>196.55999999999997</v>
      </c>
      <c r="V48" s="206">
        <v>195.56999999999996</v>
      </c>
      <c r="W48" s="203">
        <v>193.3</v>
      </c>
      <c r="Z48" s="23" t="str">
        <v>13/02/2024  03:54</v>
      </c>
      <c r="AA48">
        <v>193.6</v>
      </c>
      <c r="AB48">
        <v>191.8</v>
      </c>
      <c r="AC48">
        <v>194.5</v>
      </c>
    </row>
    <row r="49" spans="1:29" ht="15" customHeight="1" x14ac:dyDescent="0.25">
      <c r="A49" s="23" t="str">
        <v>13/02/2024  03:55</v>
      </c>
      <c r="B49">
        <v>196.38</v>
      </c>
      <c r="C49">
        <v>196.23</v>
      </c>
      <c r="D49">
        <v>195.68</v>
      </c>
      <c r="E49">
        <v>196.68</v>
      </c>
      <c r="F49">
        <v>196.61</v>
      </c>
      <c r="G49">
        <v>197.82</v>
      </c>
      <c r="H49">
        <v>194.13</v>
      </c>
      <c r="I49">
        <v>197.42</v>
      </c>
      <c r="J49">
        <v>196.29</v>
      </c>
      <c r="K49" s="205"/>
      <c r="M49" s="378"/>
      <c r="N49" s="206">
        <v>196.85999999999999</v>
      </c>
      <c r="O49" s="206">
        <v>196.51999999999998</v>
      </c>
      <c r="P49" s="206">
        <v>196.1</v>
      </c>
      <c r="Q49" s="206">
        <v>197.01999999999998</v>
      </c>
      <c r="R49" s="206">
        <v>196.94</v>
      </c>
      <c r="S49" s="206">
        <v>198.14</v>
      </c>
      <c r="T49" s="206">
        <v>194.38</v>
      </c>
      <c r="U49" s="206">
        <v>197.75999999999996</v>
      </c>
      <c r="V49" s="206">
        <v>196.71999999999997</v>
      </c>
      <c r="W49" s="203">
        <v>194.3</v>
      </c>
      <c r="Z49" s="23" t="str">
        <v>13/02/2024  03:55</v>
      </c>
      <c r="AA49">
        <v>195</v>
      </c>
      <c r="AB49">
        <v>192.9</v>
      </c>
      <c r="AC49">
        <v>195.8</v>
      </c>
    </row>
    <row r="50" spans="1:29" ht="15" customHeight="1" x14ac:dyDescent="0.25">
      <c r="A50" s="23" t="str">
        <v>13/02/2024  03:56</v>
      </c>
      <c r="B50">
        <v>197.61</v>
      </c>
      <c r="C50">
        <v>197.53</v>
      </c>
      <c r="D50">
        <v>196.8</v>
      </c>
      <c r="E50">
        <v>197.91</v>
      </c>
      <c r="F50">
        <v>197.85</v>
      </c>
      <c r="G50">
        <v>198.98</v>
      </c>
      <c r="H50">
        <v>195.2</v>
      </c>
      <c r="I50">
        <v>198.72</v>
      </c>
      <c r="J50">
        <v>197.51</v>
      </c>
      <c r="K50" s="205"/>
      <c r="M50" s="378"/>
      <c r="N50" s="206">
        <v>198.09</v>
      </c>
      <c r="O50" s="206">
        <v>197.82</v>
      </c>
      <c r="P50" s="206">
        <v>197.22</v>
      </c>
      <c r="Q50" s="206">
        <v>198.24999999999997</v>
      </c>
      <c r="R50" s="206">
        <v>198.17999999999998</v>
      </c>
      <c r="S50" s="206">
        <v>199.29999999999998</v>
      </c>
      <c r="T50" s="206">
        <v>195.45</v>
      </c>
      <c r="U50" s="206">
        <v>199.05999999999997</v>
      </c>
      <c r="V50" s="206">
        <v>197.93999999999997</v>
      </c>
      <c r="W50" s="203">
        <v>195.3</v>
      </c>
      <c r="Z50" s="23" t="str">
        <v>13/02/2024  03:56</v>
      </c>
      <c r="AA50">
        <v>196.3</v>
      </c>
      <c r="AB50">
        <v>194</v>
      </c>
      <c r="AC50">
        <v>197</v>
      </c>
    </row>
    <row r="51" spans="1:29" ht="15" customHeight="1" x14ac:dyDescent="0.25">
      <c r="A51" s="23" t="str">
        <v>13/02/2024  03:57</v>
      </c>
      <c r="B51">
        <v>198.69</v>
      </c>
      <c r="C51">
        <v>198.58</v>
      </c>
      <c r="D51">
        <v>197.87</v>
      </c>
      <c r="E51">
        <v>199.11</v>
      </c>
      <c r="F51">
        <v>199.02</v>
      </c>
      <c r="G51">
        <v>200.29</v>
      </c>
      <c r="H51">
        <v>196.14</v>
      </c>
      <c r="I51">
        <v>199.9</v>
      </c>
      <c r="J51">
        <v>198.75</v>
      </c>
      <c r="K51" s="205"/>
      <c r="M51" s="378"/>
      <c r="N51" s="206">
        <v>199.17</v>
      </c>
      <c r="O51" s="206">
        <v>198.87</v>
      </c>
      <c r="P51" s="206">
        <v>198.29</v>
      </c>
      <c r="Q51" s="206">
        <v>199.45</v>
      </c>
      <c r="R51" s="206">
        <v>199.35</v>
      </c>
      <c r="S51" s="206">
        <v>200.60999999999999</v>
      </c>
      <c r="T51" s="206">
        <v>196.39</v>
      </c>
      <c r="U51" s="206">
        <v>200.23999999999998</v>
      </c>
      <c r="V51" s="206">
        <v>199.17999999999998</v>
      </c>
      <c r="W51" s="203">
        <v>196.3</v>
      </c>
      <c r="Z51" s="23" t="str">
        <v>13/02/2024  03:57</v>
      </c>
      <c r="AA51">
        <v>197.6</v>
      </c>
      <c r="AB51">
        <v>195</v>
      </c>
      <c r="AC51">
        <v>198.1</v>
      </c>
    </row>
    <row r="52" spans="1:29" ht="15" customHeight="1" x14ac:dyDescent="0.25">
      <c r="A52" s="23" t="str">
        <v>13/02/2024  03:58</v>
      </c>
      <c r="B52">
        <v>199.86</v>
      </c>
      <c r="C52">
        <v>199.68</v>
      </c>
      <c r="D52">
        <v>198.97</v>
      </c>
      <c r="E52">
        <v>200.22</v>
      </c>
      <c r="F52">
        <v>200.09</v>
      </c>
      <c r="G52">
        <v>201.33</v>
      </c>
      <c r="H52">
        <v>197.12</v>
      </c>
      <c r="I52">
        <v>201.12</v>
      </c>
      <c r="J52">
        <v>199.78</v>
      </c>
      <c r="K52" s="205"/>
      <c r="M52" s="378"/>
      <c r="N52" s="206">
        <v>200.34</v>
      </c>
      <c r="O52" s="206">
        <v>199.97</v>
      </c>
      <c r="P52" s="206">
        <v>199.39</v>
      </c>
      <c r="Q52" s="206">
        <v>200.55999999999997</v>
      </c>
      <c r="R52" s="206">
        <v>200.42</v>
      </c>
      <c r="S52" s="206">
        <v>201.65</v>
      </c>
      <c r="T52" s="206">
        <v>197.37</v>
      </c>
      <c r="U52" s="206">
        <v>201.45999999999998</v>
      </c>
      <c r="V52" s="206">
        <v>200.20999999999998</v>
      </c>
      <c r="W52" s="203">
        <v>197.3</v>
      </c>
      <c r="Z52" s="23" t="str">
        <v>13/02/2024  03:58</v>
      </c>
      <c r="AA52">
        <v>198.9</v>
      </c>
      <c r="AB52">
        <v>196.1</v>
      </c>
      <c r="AC52">
        <v>199.2</v>
      </c>
    </row>
    <row r="53" spans="1:29" ht="15" customHeight="1" x14ac:dyDescent="0.25">
      <c r="A53" s="23" t="str">
        <v>13/02/2024  03:59</v>
      </c>
      <c r="B53">
        <v>200.76</v>
      </c>
      <c r="C53">
        <v>200.62</v>
      </c>
      <c r="D53">
        <v>199.97</v>
      </c>
      <c r="E53">
        <v>201.19</v>
      </c>
      <c r="F53">
        <v>201.03</v>
      </c>
      <c r="G53">
        <v>202.2</v>
      </c>
      <c r="H53">
        <v>197.91</v>
      </c>
      <c r="I53">
        <v>202.01</v>
      </c>
      <c r="J53">
        <v>200.73</v>
      </c>
      <c r="K53" s="205"/>
      <c r="M53" s="378"/>
      <c r="N53" s="206">
        <v>201.23999999999998</v>
      </c>
      <c r="O53" s="206">
        <v>200.91</v>
      </c>
      <c r="P53" s="206">
        <v>200.39</v>
      </c>
      <c r="Q53" s="206">
        <v>201.52999999999997</v>
      </c>
      <c r="R53" s="206">
        <v>201.35999999999999</v>
      </c>
      <c r="S53" s="206">
        <v>202.51999999999998</v>
      </c>
      <c r="T53" s="206">
        <v>198.16</v>
      </c>
      <c r="U53" s="206">
        <v>202.34999999999997</v>
      </c>
      <c r="V53" s="206">
        <v>201.15999999999997</v>
      </c>
      <c r="W53" s="203">
        <v>198.1</v>
      </c>
      <c r="Z53" s="23" t="str">
        <v>13/02/2024  03:59</v>
      </c>
      <c r="AA53">
        <v>200.1</v>
      </c>
      <c r="AB53">
        <v>197.2</v>
      </c>
      <c r="AC53">
        <v>200.3</v>
      </c>
    </row>
    <row r="54" spans="1:29" ht="15" customHeight="1" x14ac:dyDescent="0.25">
      <c r="A54" s="23" t="str">
        <v>13/02/2024  04:00</v>
      </c>
      <c r="B54">
        <v>201.18</v>
      </c>
      <c r="C54">
        <v>201.13</v>
      </c>
      <c r="D54">
        <v>200.45</v>
      </c>
      <c r="E54">
        <v>201.56</v>
      </c>
      <c r="F54">
        <v>201.44</v>
      </c>
      <c r="G54">
        <v>202.62</v>
      </c>
      <c r="H54">
        <v>198.6</v>
      </c>
      <c r="I54">
        <v>202.32</v>
      </c>
      <c r="J54">
        <v>201.16</v>
      </c>
      <c r="K54" s="205"/>
      <c r="M54" s="378"/>
      <c r="N54" s="206">
        <v>201.66</v>
      </c>
      <c r="O54" s="206">
        <v>201.42</v>
      </c>
      <c r="P54" s="206">
        <v>200.86999999999998</v>
      </c>
      <c r="Q54" s="206">
        <v>201.89999999999998</v>
      </c>
      <c r="R54" s="206">
        <v>201.76999999999998</v>
      </c>
      <c r="S54" s="206">
        <v>202.94</v>
      </c>
      <c r="T54" s="206">
        <v>198.85</v>
      </c>
      <c r="U54" s="206">
        <v>202.65999999999997</v>
      </c>
      <c r="V54" s="206">
        <v>201.58999999999997</v>
      </c>
      <c r="W54" s="203">
        <v>198.4</v>
      </c>
      <c r="Z54" s="23" t="str">
        <v>13/02/2024  04:00</v>
      </c>
      <c r="AA54">
        <v>201</v>
      </c>
      <c r="AB54">
        <v>198.1</v>
      </c>
      <c r="AC54">
        <v>201.1</v>
      </c>
    </row>
    <row r="55" spans="1:29" ht="15" customHeight="1" x14ac:dyDescent="0.25">
      <c r="A55" s="23" t="str">
        <v>13/02/2024  04:01</v>
      </c>
      <c r="B55">
        <v>201.25</v>
      </c>
      <c r="C55">
        <v>201.17</v>
      </c>
      <c r="D55">
        <v>200.62</v>
      </c>
      <c r="E55">
        <v>201.62</v>
      </c>
      <c r="F55">
        <v>201.56</v>
      </c>
      <c r="G55">
        <v>202.57</v>
      </c>
      <c r="H55">
        <v>199.2</v>
      </c>
      <c r="I55">
        <v>202.24</v>
      </c>
      <c r="J55">
        <v>201.29</v>
      </c>
      <c r="K55" s="205"/>
      <c r="M55" s="378"/>
      <c r="N55" s="206">
        <v>201.73</v>
      </c>
      <c r="O55" s="206">
        <v>201.45999999999998</v>
      </c>
      <c r="P55" s="206">
        <v>201.04</v>
      </c>
      <c r="Q55" s="206">
        <v>201.95999999999998</v>
      </c>
      <c r="R55" s="206">
        <v>201.89</v>
      </c>
      <c r="S55" s="206">
        <v>202.89</v>
      </c>
      <c r="T55" s="206">
        <v>199.45</v>
      </c>
      <c r="U55" s="206">
        <v>202.57999999999998</v>
      </c>
      <c r="V55" s="206">
        <v>201.71999999999997</v>
      </c>
      <c r="W55" s="203">
        <v>198.8</v>
      </c>
      <c r="Z55" s="23" t="str">
        <v>13/02/2024  04:01</v>
      </c>
      <c r="AA55">
        <v>201.5</v>
      </c>
      <c r="AB55">
        <v>198.7</v>
      </c>
      <c r="AC55">
        <v>201.7</v>
      </c>
    </row>
    <row r="56" spans="1:29" ht="15" customHeight="1" x14ac:dyDescent="0.25">
      <c r="A56" s="23" t="str">
        <v>13/02/2024  04:02</v>
      </c>
      <c r="B56">
        <v>201.33</v>
      </c>
      <c r="C56">
        <v>201.29</v>
      </c>
      <c r="D56">
        <v>200.77</v>
      </c>
      <c r="E56">
        <v>201.64</v>
      </c>
      <c r="F56">
        <v>201.62</v>
      </c>
      <c r="G56">
        <v>202.62</v>
      </c>
      <c r="H56">
        <v>199.42</v>
      </c>
      <c r="I56">
        <v>202.24</v>
      </c>
      <c r="J56">
        <v>201.34</v>
      </c>
      <c r="K56" s="205"/>
      <c r="M56" s="378"/>
      <c r="N56" s="206">
        <v>201.81</v>
      </c>
      <c r="O56" s="206">
        <v>201.57999999999998</v>
      </c>
      <c r="P56" s="206">
        <v>201.19</v>
      </c>
      <c r="Q56" s="206">
        <v>201.97999999999996</v>
      </c>
      <c r="R56" s="206">
        <v>201.95</v>
      </c>
      <c r="S56" s="206">
        <v>202.94</v>
      </c>
      <c r="T56" s="206">
        <v>199.67</v>
      </c>
      <c r="U56" s="206">
        <v>202.57999999999998</v>
      </c>
      <c r="V56" s="206">
        <v>201.76999999999998</v>
      </c>
      <c r="W56" s="203">
        <v>199.1</v>
      </c>
      <c r="Z56" s="23" t="str">
        <v>13/02/2024  04:02</v>
      </c>
      <c r="AA56">
        <v>201.7</v>
      </c>
      <c r="AB56">
        <v>199.2</v>
      </c>
      <c r="AC56">
        <v>201.9</v>
      </c>
    </row>
    <row r="57" spans="1:29" ht="15" customHeight="1" x14ac:dyDescent="0.25">
      <c r="A57" s="23" t="str">
        <v>13/02/2024  04:03</v>
      </c>
      <c r="B57">
        <v>201.62</v>
      </c>
      <c r="C57">
        <v>201.52</v>
      </c>
      <c r="D57">
        <v>201.01</v>
      </c>
      <c r="E57">
        <v>201.85</v>
      </c>
      <c r="F57">
        <v>201.75</v>
      </c>
      <c r="G57">
        <v>202.77</v>
      </c>
      <c r="H57">
        <v>199.84</v>
      </c>
      <c r="I57">
        <v>202.42</v>
      </c>
      <c r="J57">
        <v>201.55</v>
      </c>
      <c r="K57" s="205"/>
      <c r="M57" s="378"/>
      <c r="N57" s="206">
        <v>202.1</v>
      </c>
      <c r="O57" s="206">
        <v>201.81</v>
      </c>
      <c r="P57" s="206">
        <v>201.42999999999998</v>
      </c>
      <c r="Q57" s="206">
        <v>202.18999999999997</v>
      </c>
      <c r="R57" s="206">
        <v>202.07999999999998</v>
      </c>
      <c r="S57" s="206">
        <v>203.09</v>
      </c>
      <c r="T57" s="206">
        <v>200.09</v>
      </c>
      <c r="U57" s="206">
        <v>202.75999999999996</v>
      </c>
      <c r="V57" s="206">
        <v>201.98</v>
      </c>
      <c r="W57" s="203">
        <v>199.4</v>
      </c>
      <c r="Z57" s="23" t="str">
        <v>13/02/2024  04:03</v>
      </c>
      <c r="AA57">
        <v>201.7</v>
      </c>
      <c r="AB57">
        <v>199.5</v>
      </c>
      <c r="AC57">
        <v>202.1</v>
      </c>
    </row>
    <row r="58" spans="1:29" ht="15" customHeight="1" x14ac:dyDescent="0.25">
      <c r="A58" s="23" t="str">
        <v>13/02/2024  04:04</v>
      </c>
      <c r="B58">
        <v>201.86</v>
      </c>
      <c r="C58">
        <v>201.77</v>
      </c>
      <c r="D58">
        <v>201.28</v>
      </c>
      <c r="E58">
        <v>202.12</v>
      </c>
      <c r="F58">
        <v>202.06</v>
      </c>
      <c r="G58">
        <v>203.12</v>
      </c>
      <c r="H58">
        <v>200.28</v>
      </c>
      <c r="I58">
        <v>202.67</v>
      </c>
      <c r="J58">
        <v>201.83</v>
      </c>
      <c r="K58" s="205"/>
      <c r="M58" s="378"/>
      <c r="N58" s="206">
        <v>202.34</v>
      </c>
      <c r="O58" s="206">
        <v>202.06</v>
      </c>
      <c r="P58" s="206">
        <v>201.7</v>
      </c>
      <c r="Q58" s="206">
        <v>202.45999999999998</v>
      </c>
      <c r="R58" s="206">
        <v>202.39</v>
      </c>
      <c r="S58" s="206">
        <v>203.44</v>
      </c>
      <c r="T58" s="206">
        <v>200.53</v>
      </c>
      <c r="U58" s="206">
        <v>203.00999999999996</v>
      </c>
      <c r="V58" s="206">
        <v>202.26</v>
      </c>
      <c r="W58" s="203">
        <v>199.8</v>
      </c>
      <c r="Z58" s="23" t="str">
        <v>13/02/2024  04:04</v>
      </c>
      <c r="AA58">
        <v>201.9</v>
      </c>
      <c r="AB58">
        <v>199.7</v>
      </c>
      <c r="AC58">
        <v>202.3</v>
      </c>
    </row>
    <row r="59" spans="1:29" ht="15" customHeight="1" x14ac:dyDescent="0.25">
      <c r="A59" s="23" t="str">
        <v>13/02/2024  04:05</v>
      </c>
      <c r="B59">
        <v>202.06</v>
      </c>
      <c r="C59">
        <v>201.99</v>
      </c>
      <c r="D59">
        <v>201.57</v>
      </c>
      <c r="E59">
        <v>202.3</v>
      </c>
      <c r="F59">
        <v>202.26</v>
      </c>
      <c r="G59">
        <v>203.3</v>
      </c>
      <c r="H59">
        <v>200.47</v>
      </c>
      <c r="I59">
        <v>202.86</v>
      </c>
      <c r="J59">
        <v>202.08</v>
      </c>
      <c r="K59" s="205"/>
      <c r="M59" s="378"/>
      <c r="N59" s="206">
        <v>202.54</v>
      </c>
      <c r="O59" s="206">
        <v>202.28</v>
      </c>
      <c r="P59" s="206">
        <v>201.98999999999998</v>
      </c>
      <c r="Q59" s="206">
        <v>202.64</v>
      </c>
      <c r="R59" s="206">
        <v>202.58999999999997</v>
      </c>
      <c r="S59" s="206">
        <v>203.62</v>
      </c>
      <c r="T59" s="206">
        <v>200.72</v>
      </c>
      <c r="U59" s="206">
        <v>203.2</v>
      </c>
      <c r="V59" s="206">
        <v>202.51</v>
      </c>
      <c r="W59" s="203">
        <v>200</v>
      </c>
      <c r="Z59" s="23" t="str">
        <v>13/02/2024  04:05</v>
      </c>
      <c r="AA59">
        <v>202.1</v>
      </c>
      <c r="AB59">
        <v>200.1</v>
      </c>
      <c r="AC59">
        <v>202.6</v>
      </c>
    </row>
    <row r="60" spans="1:29" ht="15" customHeight="1" x14ac:dyDescent="0.25">
      <c r="A60" s="23" t="str">
        <v>13/02/2024  04:06</v>
      </c>
      <c r="B60">
        <v>202.16</v>
      </c>
      <c r="C60">
        <v>202.04</v>
      </c>
      <c r="D60">
        <v>201.66</v>
      </c>
      <c r="E60">
        <v>202.31</v>
      </c>
      <c r="F60">
        <v>202.36</v>
      </c>
      <c r="G60">
        <v>203.27</v>
      </c>
      <c r="H60">
        <v>200.71</v>
      </c>
      <c r="I60">
        <v>202.78</v>
      </c>
      <c r="J60">
        <v>202.15</v>
      </c>
      <c r="K60" s="205"/>
      <c r="M60" s="378"/>
      <c r="N60" s="206">
        <v>202.64</v>
      </c>
      <c r="O60" s="206">
        <v>202.32999999999998</v>
      </c>
      <c r="P60" s="206">
        <v>202.07999999999998</v>
      </c>
      <c r="Q60" s="206">
        <v>202.64999999999998</v>
      </c>
      <c r="R60" s="206">
        <v>202.69</v>
      </c>
      <c r="S60" s="206">
        <v>203.59</v>
      </c>
      <c r="T60" s="206">
        <v>200.96</v>
      </c>
      <c r="U60" s="206">
        <v>203.11999999999998</v>
      </c>
      <c r="V60" s="206">
        <v>202.57999999999998</v>
      </c>
      <c r="W60" s="203">
        <v>200</v>
      </c>
      <c r="Z60" s="23" t="str">
        <v>13/02/2024  04:06</v>
      </c>
      <c r="AA60">
        <v>202.3</v>
      </c>
      <c r="AB60">
        <v>200.3</v>
      </c>
      <c r="AC60">
        <v>202.8</v>
      </c>
    </row>
    <row r="61" spans="1:29" ht="15" customHeight="1" x14ac:dyDescent="0.25">
      <c r="A61" s="23" t="str">
        <v>13/02/2024  04:07</v>
      </c>
      <c r="B61">
        <v>201.94</v>
      </c>
      <c r="C61">
        <v>201.84</v>
      </c>
      <c r="D61">
        <v>201.54</v>
      </c>
      <c r="E61">
        <v>201.99</v>
      </c>
      <c r="F61">
        <v>202.1</v>
      </c>
      <c r="G61">
        <v>202.98</v>
      </c>
      <c r="H61">
        <v>200.77</v>
      </c>
      <c r="I61">
        <v>202.41</v>
      </c>
      <c r="J61">
        <v>201.89</v>
      </c>
      <c r="K61" s="205"/>
      <c r="M61" s="378"/>
      <c r="N61" s="206">
        <v>202.42</v>
      </c>
      <c r="O61" s="206">
        <v>202.13</v>
      </c>
      <c r="P61" s="206">
        <v>201.95999999999998</v>
      </c>
      <c r="Q61" s="206">
        <v>202.32999999999998</v>
      </c>
      <c r="R61" s="206">
        <v>202.42999999999998</v>
      </c>
      <c r="S61" s="206">
        <v>203.29999999999998</v>
      </c>
      <c r="T61" s="206">
        <v>201.02</v>
      </c>
      <c r="U61" s="206">
        <v>202.74999999999997</v>
      </c>
      <c r="V61" s="206">
        <v>202.31999999999996</v>
      </c>
      <c r="W61" s="203">
        <v>200</v>
      </c>
      <c r="Z61" s="23" t="str">
        <v>13/02/2024  04:07</v>
      </c>
      <c r="AA61">
        <v>202.2</v>
      </c>
      <c r="AB61">
        <v>200.5</v>
      </c>
      <c r="AC61">
        <v>202.8</v>
      </c>
    </row>
    <row r="62" spans="1:29" ht="15" customHeight="1" x14ac:dyDescent="0.25">
      <c r="A62" s="23" t="str">
        <v>13/02/2024  04:08</v>
      </c>
      <c r="B62">
        <v>201.71</v>
      </c>
      <c r="C62">
        <v>201.55</v>
      </c>
      <c r="D62">
        <v>201.37</v>
      </c>
      <c r="E62">
        <v>201.76</v>
      </c>
      <c r="F62">
        <v>201.8</v>
      </c>
      <c r="G62">
        <v>202.7</v>
      </c>
      <c r="H62">
        <v>200.77</v>
      </c>
      <c r="I62">
        <v>202.08</v>
      </c>
      <c r="J62">
        <v>201.62</v>
      </c>
      <c r="K62" s="205"/>
      <c r="M62" s="378"/>
      <c r="N62" s="206">
        <v>202.19</v>
      </c>
      <c r="O62" s="206">
        <v>201.84</v>
      </c>
      <c r="P62" s="206">
        <v>201.79</v>
      </c>
      <c r="Q62" s="206">
        <v>202.09999999999997</v>
      </c>
      <c r="R62" s="206">
        <v>202.13</v>
      </c>
      <c r="S62" s="206">
        <v>203.01999999999998</v>
      </c>
      <c r="T62" s="206">
        <v>201.02</v>
      </c>
      <c r="U62" s="206">
        <v>202.42</v>
      </c>
      <c r="V62" s="206">
        <v>202.04999999999998</v>
      </c>
      <c r="W62" s="203">
        <v>200</v>
      </c>
      <c r="Z62" s="23" t="str">
        <v>13/02/2024  04:08</v>
      </c>
      <c r="AA62">
        <v>201.9</v>
      </c>
      <c r="AB62">
        <v>200.4</v>
      </c>
      <c r="AC62">
        <v>202.6</v>
      </c>
    </row>
    <row r="63" spans="1:29" ht="15" customHeight="1" x14ac:dyDescent="0.25">
      <c r="A63" s="23" t="str">
        <v>13/02/2024  04:09</v>
      </c>
      <c r="B63">
        <v>201.6</v>
      </c>
      <c r="C63">
        <v>201.47</v>
      </c>
      <c r="D63">
        <v>201.27</v>
      </c>
      <c r="E63">
        <v>201.62</v>
      </c>
      <c r="F63">
        <v>201.69</v>
      </c>
      <c r="G63">
        <v>202.57</v>
      </c>
      <c r="H63">
        <v>200.82</v>
      </c>
      <c r="I63">
        <v>201.96</v>
      </c>
      <c r="J63">
        <v>201.52</v>
      </c>
      <c r="K63" s="205"/>
      <c r="M63" s="378"/>
      <c r="N63" s="206">
        <v>202.07999999999998</v>
      </c>
      <c r="O63" s="206">
        <v>201.76</v>
      </c>
      <c r="P63" s="206">
        <v>201.69</v>
      </c>
      <c r="Q63" s="206">
        <v>201.95999999999998</v>
      </c>
      <c r="R63" s="206">
        <v>202.01999999999998</v>
      </c>
      <c r="S63" s="206">
        <v>202.89</v>
      </c>
      <c r="T63" s="206">
        <v>201.07</v>
      </c>
      <c r="U63" s="206">
        <v>202.29999999999998</v>
      </c>
      <c r="V63" s="206">
        <v>201.95</v>
      </c>
      <c r="W63" s="203">
        <v>200</v>
      </c>
      <c r="Z63" s="23" t="str">
        <v>13/02/2024  04:09</v>
      </c>
      <c r="AA63">
        <v>201.6</v>
      </c>
      <c r="AB63">
        <v>200.4</v>
      </c>
      <c r="AC63">
        <v>202.5</v>
      </c>
    </row>
    <row r="64" spans="1:29" ht="15" customHeight="1" x14ac:dyDescent="0.25">
      <c r="A64" s="23" t="str">
        <v>13/02/2024  04:10</v>
      </c>
      <c r="B64">
        <v>201.51</v>
      </c>
      <c r="C64">
        <v>201.35</v>
      </c>
      <c r="D64">
        <v>201.15</v>
      </c>
      <c r="E64">
        <v>201.47</v>
      </c>
      <c r="F64">
        <v>201.52</v>
      </c>
      <c r="G64">
        <v>202.41</v>
      </c>
      <c r="H64">
        <v>200.72</v>
      </c>
      <c r="I64">
        <v>201.8</v>
      </c>
      <c r="J64">
        <v>201.36</v>
      </c>
      <c r="K64" s="205"/>
      <c r="M64" s="378"/>
      <c r="N64" s="206">
        <v>201.98999999999998</v>
      </c>
      <c r="O64" s="206">
        <v>201.64</v>
      </c>
      <c r="P64" s="206">
        <v>201.57</v>
      </c>
      <c r="Q64" s="206">
        <v>201.80999999999997</v>
      </c>
      <c r="R64" s="206">
        <v>201.85</v>
      </c>
      <c r="S64" s="206">
        <v>202.73</v>
      </c>
      <c r="T64" s="206">
        <v>200.97</v>
      </c>
      <c r="U64" s="206">
        <v>202.14</v>
      </c>
      <c r="V64" s="206">
        <v>201.79</v>
      </c>
      <c r="W64" s="203">
        <v>200</v>
      </c>
      <c r="Z64" s="23" t="str">
        <v>13/02/2024  04:10</v>
      </c>
      <c r="AA64">
        <v>201.4</v>
      </c>
      <c r="AB64">
        <v>200.3</v>
      </c>
      <c r="AC64">
        <v>202.3</v>
      </c>
    </row>
    <row r="65" spans="1:29" ht="15" customHeight="1" x14ac:dyDescent="0.25">
      <c r="A65" s="23" t="str">
        <v>13/02/2024  04:11</v>
      </c>
      <c r="B65">
        <v>201.45</v>
      </c>
      <c r="C65">
        <v>201.26</v>
      </c>
      <c r="D65">
        <v>201.14</v>
      </c>
      <c r="E65">
        <v>201.42</v>
      </c>
      <c r="F65">
        <v>201.57</v>
      </c>
      <c r="G65">
        <v>202.36</v>
      </c>
      <c r="H65">
        <v>200.79</v>
      </c>
      <c r="I65">
        <v>201.77</v>
      </c>
      <c r="J65">
        <v>201.29</v>
      </c>
      <c r="K65" s="205"/>
      <c r="M65" s="378"/>
      <c r="N65" s="206">
        <v>201.92999999999998</v>
      </c>
      <c r="O65" s="206">
        <v>201.54999999999998</v>
      </c>
      <c r="P65" s="206">
        <v>201.55999999999997</v>
      </c>
      <c r="Q65" s="206">
        <v>201.75999999999996</v>
      </c>
      <c r="R65" s="206">
        <v>201.89999999999998</v>
      </c>
      <c r="S65" s="206">
        <v>202.68</v>
      </c>
      <c r="T65" s="206">
        <v>201.04</v>
      </c>
      <c r="U65" s="206">
        <v>202.10999999999999</v>
      </c>
      <c r="V65" s="206">
        <v>201.71999999999997</v>
      </c>
      <c r="W65" s="203">
        <v>200</v>
      </c>
      <c r="Z65" s="23" t="str">
        <v>13/02/2024  04:11</v>
      </c>
      <c r="AA65">
        <v>201.3</v>
      </c>
      <c r="AB65">
        <v>200.3</v>
      </c>
      <c r="AC65">
        <v>202.2</v>
      </c>
    </row>
    <row r="66" spans="1:29" ht="15" customHeight="1" x14ac:dyDescent="0.25">
      <c r="A66" s="23" t="str">
        <v>13/02/2024  04:12</v>
      </c>
      <c r="B66">
        <v>201.51</v>
      </c>
      <c r="C66">
        <v>201.31</v>
      </c>
      <c r="D66">
        <v>201.18</v>
      </c>
      <c r="E66">
        <v>201.47</v>
      </c>
      <c r="F66">
        <v>201.54</v>
      </c>
      <c r="G66">
        <v>202.42</v>
      </c>
      <c r="H66">
        <v>200.84</v>
      </c>
      <c r="I66">
        <v>201.74</v>
      </c>
      <c r="J66">
        <v>201.36</v>
      </c>
      <c r="K66" s="205"/>
      <c r="M66" s="378"/>
      <c r="N66" s="206">
        <v>201.98999999999998</v>
      </c>
      <c r="O66" s="206">
        <v>201.6</v>
      </c>
      <c r="P66" s="206">
        <v>201.6</v>
      </c>
      <c r="Q66" s="206">
        <v>201.80999999999997</v>
      </c>
      <c r="R66" s="206">
        <v>201.86999999999998</v>
      </c>
      <c r="S66" s="206">
        <v>202.73999999999998</v>
      </c>
      <c r="T66" s="206">
        <v>201.09</v>
      </c>
      <c r="U66" s="206">
        <v>202.07999999999998</v>
      </c>
      <c r="V66" s="206">
        <v>201.79</v>
      </c>
      <c r="W66" s="203">
        <v>200</v>
      </c>
      <c r="Z66" s="23" t="str">
        <v>13/02/2024  04:12</v>
      </c>
      <c r="AA66">
        <v>201.1</v>
      </c>
      <c r="AB66">
        <v>200.2</v>
      </c>
      <c r="AC66">
        <v>202.2</v>
      </c>
    </row>
    <row r="67" spans="1:29" ht="15" customHeight="1" x14ac:dyDescent="0.25">
      <c r="A67" s="23" t="str">
        <v>13/02/2024  04:13</v>
      </c>
      <c r="B67">
        <v>201.46</v>
      </c>
      <c r="C67">
        <v>201.29</v>
      </c>
      <c r="D67">
        <v>201.19</v>
      </c>
      <c r="E67">
        <v>201.38</v>
      </c>
      <c r="F67">
        <v>201.47</v>
      </c>
      <c r="G67">
        <v>202.3</v>
      </c>
      <c r="H67">
        <v>200.83</v>
      </c>
      <c r="I67">
        <v>201.67</v>
      </c>
      <c r="J67">
        <v>201.28</v>
      </c>
      <c r="K67" s="205"/>
      <c r="M67" s="378"/>
      <c r="N67" s="206">
        <v>201.94</v>
      </c>
      <c r="O67" s="206">
        <v>201.57999999999998</v>
      </c>
      <c r="P67" s="206">
        <v>201.60999999999999</v>
      </c>
      <c r="Q67" s="206">
        <v>201.71999999999997</v>
      </c>
      <c r="R67" s="206">
        <v>201.79999999999998</v>
      </c>
      <c r="S67" s="206">
        <v>202.62</v>
      </c>
      <c r="T67" s="206">
        <v>201.08</v>
      </c>
      <c r="U67" s="206">
        <v>202.00999999999996</v>
      </c>
      <c r="V67" s="206">
        <v>201.70999999999998</v>
      </c>
      <c r="W67" s="203">
        <v>200</v>
      </c>
      <c r="Z67" s="23" t="str">
        <v>13/02/2024  04:13</v>
      </c>
      <c r="AA67">
        <v>201.1</v>
      </c>
      <c r="AB67">
        <v>200.1</v>
      </c>
      <c r="AC67">
        <v>202.1</v>
      </c>
    </row>
    <row r="68" spans="1:29" ht="15" customHeight="1" x14ac:dyDescent="0.25">
      <c r="A68" s="23" t="str">
        <v>13/02/2024  04:14</v>
      </c>
      <c r="B68">
        <v>201.5</v>
      </c>
      <c r="C68">
        <v>201.3</v>
      </c>
      <c r="D68">
        <v>201.21</v>
      </c>
      <c r="E68">
        <v>201.41</v>
      </c>
      <c r="F68">
        <v>201.43</v>
      </c>
      <c r="G68">
        <v>202.39</v>
      </c>
      <c r="H68">
        <v>200.9</v>
      </c>
      <c r="I68">
        <v>201.65</v>
      </c>
      <c r="J68">
        <v>201.33</v>
      </c>
      <c r="K68" s="205"/>
      <c r="M68" s="378"/>
      <c r="N68" s="206">
        <v>201.98</v>
      </c>
      <c r="O68" s="206">
        <v>201.59</v>
      </c>
      <c r="P68" s="206">
        <v>201.63</v>
      </c>
      <c r="Q68" s="206">
        <v>201.74999999999997</v>
      </c>
      <c r="R68" s="206">
        <v>201.76</v>
      </c>
      <c r="S68" s="206">
        <v>202.70999999999998</v>
      </c>
      <c r="T68" s="206">
        <v>201.15</v>
      </c>
      <c r="U68" s="206">
        <v>201.98999999999998</v>
      </c>
      <c r="V68" s="206">
        <v>201.76</v>
      </c>
      <c r="W68" s="203">
        <v>200</v>
      </c>
      <c r="Z68" s="23" t="str">
        <v>13/02/2024  04:14</v>
      </c>
      <c r="AA68">
        <v>201</v>
      </c>
      <c r="AB68">
        <v>200.1</v>
      </c>
      <c r="AC68">
        <v>202.1</v>
      </c>
    </row>
    <row r="69" spans="1:29" ht="15" customHeight="1" x14ac:dyDescent="0.25">
      <c r="A69" s="23" t="str">
        <v>13/02/2024  04:15</v>
      </c>
      <c r="B69">
        <v>201.42</v>
      </c>
      <c r="C69">
        <v>201.22</v>
      </c>
      <c r="D69">
        <v>201.12</v>
      </c>
      <c r="E69">
        <v>201.32</v>
      </c>
      <c r="F69">
        <v>201.45</v>
      </c>
      <c r="G69">
        <v>202.26</v>
      </c>
      <c r="H69">
        <v>200.87</v>
      </c>
      <c r="I69">
        <v>201.51</v>
      </c>
      <c r="J69">
        <v>201.25</v>
      </c>
      <c r="K69" s="205"/>
      <c r="M69" s="378"/>
      <c r="N69" s="206">
        <v>201.89999999999998</v>
      </c>
      <c r="O69" s="206">
        <v>201.51</v>
      </c>
      <c r="P69" s="206">
        <v>201.54</v>
      </c>
      <c r="Q69" s="206">
        <v>201.65999999999997</v>
      </c>
      <c r="R69" s="206">
        <v>201.77999999999997</v>
      </c>
      <c r="S69" s="206">
        <v>202.57999999999998</v>
      </c>
      <c r="T69" s="206">
        <v>201.12</v>
      </c>
      <c r="U69" s="206">
        <v>201.84999999999997</v>
      </c>
      <c r="V69" s="206">
        <v>201.67999999999998</v>
      </c>
      <c r="W69" s="203">
        <v>200</v>
      </c>
      <c r="Z69" s="23" t="str">
        <v>13/02/2024  04:15</v>
      </c>
      <c r="AA69">
        <v>201</v>
      </c>
      <c r="AB69">
        <v>200.2</v>
      </c>
      <c r="AC69">
        <v>202.1</v>
      </c>
    </row>
    <row r="70" spans="1:29" ht="15" customHeight="1" x14ac:dyDescent="0.25">
      <c r="A70" s="23" t="str">
        <v>13/02/2024  04:16</v>
      </c>
      <c r="B70">
        <v>201.39</v>
      </c>
      <c r="C70">
        <v>201.19</v>
      </c>
      <c r="D70">
        <v>201.09</v>
      </c>
      <c r="E70">
        <v>201.27</v>
      </c>
      <c r="F70">
        <v>201.28</v>
      </c>
      <c r="G70">
        <v>202.16</v>
      </c>
      <c r="H70">
        <v>200.84</v>
      </c>
      <c r="I70">
        <v>201.45</v>
      </c>
      <c r="J70">
        <v>201.18</v>
      </c>
      <c r="K70" s="205"/>
      <c r="M70" s="378"/>
      <c r="N70" s="206">
        <v>201.86999999999998</v>
      </c>
      <c r="O70" s="206">
        <v>201.48</v>
      </c>
      <c r="P70" s="206">
        <v>201.51</v>
      </c>
      <c r="Q70" s="206">
        <v>201.60999999999999</v>
      </c>
      <c r="R70" s="206">
        <v>201.60999999999999</v>
      </c>
      <c r="S70" s="206">
        <v>202.48</v>
      </c>
      <c r="T70" s="206">
        <v>201.09</v>
      </c>
      <c r="U70" s="206">
        <v>201.78999999999996</v>
      </c>
      <c r="V70" s="206">
        <v>201.60999999999999</v>
      </c>
      <c r="W70" s="203">
        <v>200</v>
      </c>
      <c r="Z70" s="23" t="str">
        <v>13/02/2024  04:16</v>
      </c>
      <c r="AA70">
        <v>200.9</v>
      </c>
      <c r="AB70">
        <v>200.1</v>
      </c>
      <c r="AC70">
        <v>202</v>
      </c>
    </row>
    <row r="71" spans="1:29" ht="15" customHeight="1" x14ac:dyDescent="0.25">
      <c r="A71" s="23" t="str">
        <v>13/02/2024  04:17</v>
      </c>
      <c r="B71">
        <v>201.36</v>
      </c>
      <c r="C71">
        <v>201.19</v>
      </c>
      <c r="D71">
        <v>201.08</v>
      </c>
      <c r="E71">
        <v>201.24</v>
      </c>
      <c r="F71">
        <v>201.37</v>
      </c>
      <c r="G71">
        <v>202.15</v>
      </c>
      <c r="H71">
        <v>200.79</v>
      </c>
      <c r="I71">
        <v>201.48</v>
      </c>
      <c r="J71">
        <v>201.15</v>
      </c>
      <c r="K71" s="205"/>
      <c r="M71" s="378"/>
      <c r="N71" s="206">
        <v>201.84</v>
      </c>
      <c r="O71" s="206">
        <v>201.48</v>
      </c>
      <c r="P71" s="206">
        <v>201.5</v>
      </c>
      <c r="Q71" s="206">
        <v>201.57999999999998</v>
      </c>
      <c r="R71" s="206">
        <v>201.7</v>
      </c>
      <c r="S71" s="206">
        <v>202.47</v>
      </c>
      <c r="T71" s="206">
        <v>201.04</v>
      </c>
      <c r="U71" s="206">
        <v>201.81999999999996</v>
      </c>
      <c r="V71" s="206">
        <v>201.57999999999998</v>
      </c>
      <c r="W71" s="203">
        <v>200</v>
      </c>
      <c r="Z71" s="23" t="str">
        <v>13/02/2024  04:17</v>
      </c>
      <c r="AA71">
        <v>200.8</v>
      </c>
      <c r="AB71">
        <v>200.1</v>
      </c>
      <c r="AC71">
        <v>202</v>
      </c>
    </row>
    <row r="72" spans="1:29" ht="15" customHeight="1" x14ac:dyDescent="0.25">
      <c r="A72" s="23" t="str">
        <v>13/02/2024  04:18</v>
      </c>
      <c r="B72">
        <v>201.49</v>
      </c>
      <c r="C72">
        <v>201.31</v>
      </c>
      <c r="D72">
        <v>201.22</v>
      </c>
      <c r="E72">
        <v>201.39</v>
      </c>
      <c r="F72">
        <v>201.52</v>
      </c>
      <c r="G72">
        <v>202.32</v>
      </c>
      <c r="H72">
        <v>200.9</v>
      </c>
      <c r="I72">
        <v>201.63</v>
      </c>
      <c r="J72">
        <v>201.28</v>
      </c>
      <c r="K72" s="205"/>
      <c r="M72" s="378"/>
      <c r="N72" s="206">
        <v>201.97</v>
      </c>
      <c r="O72" s="206">
        <v>201.6</v>
      </c>
      <c r="P72" s="206">
        <v>201.64</v>
      </c>
      <c r="Q72" s="206">
        <v>201.72999999999996</v>
      </c>
      <c r="R72" s="206">
        <v>201.85</v>
      </c>
      <c r="S72" s="206">
        <v>202.64</v>
      </c>
      <c r="T72" s="206">
        <v>201.15</v>
      </c>
      <c r="U72" s="206">
        <v>201.96999999999997</v>
      </c>
      <c r="V72" s="206">
        <v>201.70999999999998</v>
      </c>
      <c r="W72" s="203">
        <v>200</v>
      </c>
      <c r="Z72" s="23" t="str">
        <v>13/02/2024  04:18</v>
      </c>
      <c r="AA72">
        <v>200.8</v>
      </c>
      <c r="AB72">
        <v>200</v>
      </c>
      <c r="AC72">
        <v>202</v>
      </c>
    </row>
    <row r="73" spans="1:29" ht="15" customHeight="1" x14ac:dyDescent="0.25">
      <c r="A73" s="23" t="str">
        <v>13/02/2024  04:19</v>
      </c>
      <c r="B73">
        <v>201.46</v>
      </c>
      <c r="C73">
        <v>201.26</v>
      </c>
      <c r="D73">
        <v>201.21</v>
      </c>
      <c r="E73">
        <v>201.35</v>
      </c>
      <c r="F73">
        <v>201.34</v>
      </c>
      <c r="G73">
        <v>202.23</v>
      </c>
      <c r="H73">
        <v>200.92</v>
      </c>
      <c r="I73">
        <v>201.54</v>
      </c>
      <c r="J73">
        <v>201.28</v>
      </c>
      <c r="K73" s="205"/>
      <c r="M73" s="378"/>
      <c r="N73" s="206">
        <v>201.94</v>
      </c>
      <c r="O73" s="206">
        <v>201.54999999999998</v>
      </c>
      <c r="P73" s="206">
        <v>201.63</v>
      </c>
      <c r="Q73" s="206">
        <v>201.68999999999997</v>
      </c>
      <c r="R73" s="206">
        <v>201.67</v>
      </c>
      <c r="S73" s="206">
        <v>202.54999999999998</v>
      </c>
      <c r="T73" s="206">
        <v>201.17</v>
      </c>
      <c r="U73" s="206">
        <v>201.87999999999997</v>
      </c>
      <c r="V73" s="206">
        <v>201.70999999999998</v>
      </c>
      <c r="W73" s="203">
        <v>200</v>
      </c>
      <c r="Z73" s="23" t="str">
        <v>13/02/2024  04:19</v>
      </c>
      <c r="AA73">
        <v>200.9</v>
      </c>
      <c r="AB73">
        <v>200.1</v>
      </c>
      <c r="AC73">
        <v>202</v>
      </c>
    </row>
    <row r="74" spans="1:29" ht="15" customHeight="1" x14ac:dyDescent="0.25">
      <c r="A74" s="23" t="str">
        <v>13/02/2024  04:20</v>
      </c>
      <c r="B74">
        <v>201.36</v>
      </c>
      <c r="C74">
        <v>201.19</v>
      </c>
      <c r="D74">
        <v>201.18</v>
      </c>
      <c r="E74">
        <v>201.25</v>
      </c>
      <c r="F74">
        <v>201.45</v>
      </c>
      <c r="G74">
        <v>202.14</v>
      </c>
      <c r="H74">
        <v>200.92</v>
      </c>
      <c r="I74">
        <v>201.42</v>
      </c>
      <c r="J74">
        <v>201.22</v>
      </c>
      <c r="K74" s="205"/>
      <c r="M74" s="377" t="s">
        <v>341</v>
      </c>
      <c r="N74" s="204">
        <v>201.84</v>
      </c>
      <c r="O74" s="204">
        <v>201.48</v>
      </c>
      <c r="P74" s="204">
        <v>201.6</v>
      </c>
      <c r="Q74" s="204">
        <v>201.58999999999997</v>
      </c>
      <c r="R74" s="204">
        <v>201.77999999999997</v>
      </c>
      <c r="S74" s="204">
        <v>202.45999999999998</v>
      </c>
      <c r="T74" s="204">
        <v>201.17</v>
      </c>
      <c r="U74" s="204">
        <v>201.75999999999996</v>
      </c>
      <c r="V74" s="204">
        <v>201.64999999999998</v>
      </c>
      <c r="W74" s="203">
        <v>200</v>
      </c>
      <c r="Z74" s="23" t="str">
        <v>13/02/2024  04:20</v>
      </c>
      <c r="AA74">
        <v>200.9</v>
      </c>
      <c r="AB74">
        <v>200.1</v>
      </c>
      <c r="AC74">
        <v>202.1</v>
      </c>
    </row>
    <row r="75" spans="1:29" ht="15" customHeight="1" x14ac:dyDescent="0.25">
      <c r="A75" s="23" t="str">
        <v>13/02/2024  04:21</v>
      </c>
      <c r="B75">
        <v>201.33</v>
      </c>
      <c r="C75">
        <v>201.18</v>
      </c>
      <c r="D75">
        <v>201.12</v>
      </c>
      <c r="E75">
        <v>201.27</v>
      </c>
      <c r="F75">
        <v>201.33</v>
      </c>
      <c r="G75">
        <v>202.09</v>
      </c>
      <c r="H75">
        <v>200.87</v>
      </c>
      <c r="I75">
        <v>201.43</v>
      </c>
      <c r="J75">
        <v>201.17</v>
      </c>
      <c r="K75" s="205"/>
      <c r="M75" s="377"/>
      <c r="N75" s="204">
        <v>201.81</v>
      </c>
      <c r="O75" s="204">
        <v>201.47</v>
      </c>
      <c r="P75" s="204">
        <v>201.54</v>
      </c>
      <c r="Q75" s="204">
        <v>201.60999999999999</v>
      </c>
      <c r="R75" s="204">
        <v>201.66</v>
      </c>
      <c r="S75" s="204">
        <v>202.41</v>
      </c>
      <c r="T75" s="204">
        <v>201.12</v>
      </c>
      <c r="U75" s="204">
        <v>201.76999999999998</v>
      </c>
      <c r="V75" s="204">
        <v>201.59999999999997</v>
      </c>
      <c r="W75" s="203">
        <v>200</v>
      </c>
      <c r="Z75" s="23" t="str">
        <v>13/02/2024  04:21</v>
      </c>
      <c r="AA75">
        <v>200.8</v>
      </c>
      <c r="AB75">
        <v>200</v>
      </c>
      <c r="AC75">
        <v>202</v>
      </c>
    </row>
    <row r="76" spans="1:29" ht="15" customHeight="1" x14ac:dyDescent="0.25">
      <c r="A76" s="23" t="str">
        <v>13/02/2024  04:22</v>
      </c>
      <c r="B76">
        <v>201.4</v>
      </c>
      <c r="C76">
        <v>201.18</v>
      </c>
      <c r="D76">
        <v>201.14</v>
      </c>
      <c r="E76">
        <v>201.23</v>
      </c>
      <c r="F76">
        <v>201.17</v>
      </c>
      <c r="G76">
        <v>202.09</v>
      </c>
      <c r="H76">
        <v>200.87</v>
      </c>
      <c r="I76">
        <v>201.42</v>
      </c>
      <c r="J76">
        <v>201.11</v>
      </c>
      <c r="K76" s="205"/>
      <c r="M76" s="377"/>
      <c r="N76" s="204">
        <v>201.88</v>
      </c>
      <c r="O76" s="204">
        <v>201.47</v>
      </c>
      <c r="P76" s="204">
        <v>201.55999999999997</v>
      </c>
      <c r="Q76" s="204">
        <v>201.56999999999996</v>
      </c>
      <c r="R76" s="204">
        <v>201.49999999999997</v>
      </c>
      <c r="S76" s="204">
        <v>202.41</v>
      </c>
      <c r="T76" s="204">
        <v>201.12</v>
      </c>
      <c r="U76" s="204">
        <v>201.75999999999996</v>
      </c>
      <c r="V76" s="204">
        <v>201.54</v>
      </c>
      <c r="W76" s="203">
        <v>200</v>
      </c>
      <c r="Z76" s="23" t="str">
        <v>13/02/2024  04:22</v>
      </c>
      <c r="AA76">
        <v>200.7</v>
      </c>
      <c r="AB76">
        <v>200</v>
      </c>
      <c r="AC76">
        <v>201.9</v>
      </c>
    </row>
    <row r="77" spans="1:29" ht="15" customHeight="1" x14ac:dyDescent="0.25">
      <c r="A77" s="23" t="str">
        <v>13/02/2024  04:23</v>
      </c>
      <c r="B77">
        <v>201.47</v>
      </c>
      <c r="C77">
        <v>201.26</v>
      </c>
      <c r="D77">
        <v>201.19</v>
      </c>
      <c r="E77">
        <v>201.32</v>
      </c>
      <c r="F77">
        <v>201.36</v>
      </c>
      <c r="G77">
        <v>202.21</v>
      </c>
      <c r="H77">
        <v>200.9</v>
      </c>
      <c r="I77">
        <v>201.48</v>
      </c>
      <c r="J77">
        <v>201.23</v>
      </c>
      <c r="K77" s="205"/>
      <c r="M77" s="377"/>
      <c r="N77" s="204">
        <v>201.95</v>
      </c>
      <c r="O77" s="204">
        <v>201.54999999999998</v>
      </c>
      <c r="P77" s="204">
        <v>201.60999999999999</v>
      </c>
      <c r="Q77" s="204">
        <v>201.65999999999997</v>
      </c>
      <c r="R77" s="204">
        <v>201.69</v>
      </c>
      <c r="S77" s="204">
        <v>202.53</v>
      </c>
      <c r="T77" s="204">
        <v>201.15</v>
      </c>
      <c r="U77" s="204">
        <v>201.81999999999996</v>
      </c>
      <c r="V77" s="204">
        <v>201.65999999999997</v>
      </c>
      <c r="W77" s="203">
        <v>200</v>
      </c>
      <c r="Z77" s="23" t="str">
        <v>13/02/2024  04:23</v>
      </c>
      <c r="AA77">
        <v>200.7</v>
      </c>
      <c r="AB77">
        <v>200</v>
      </c>
      <c r="AC77">
        <v>202</v>
      </c>
    </row>
    <row r="78" spans="1:29" ht="15" customHeight="1" x14ac:dyDescent="0.25">
      <c r="A78" s="23" t="str">
        <v>13/02/2024  04:24</v>
      </c>
      <c r="B78">
        <v>201.43</v>
      </c>
      <c r="C78">
        <v>201.27</v>
      </c>
      <c r="D78">
        <v>201.21</v>
      </c>
      <c r="E78">
        <v>201.33</v>
      </c>
      <c r="F78">
        <v>201.33</v>
      </c>
      <c r="G78">
        <v>202.18</v>
      </c>
      <c r="H78">
        <v>200.91</v>
      </c>
      <c r="I78">
        <v>201.47</v>
      </c>
      <c r="J78">
        <v>201.22</v>
      </c>
      <c r="K78" s="205"/>
      <c r="M78" s="377"/>
      <c r="N78" s="204">
        <v>201.91</v>
      </c>
      <c r="O78" s="204">
        <v>201.56</v>
      </c>
      <c r="P78" s="204">
        <v>201.63</v>
      </c>
      <c r="Q78" s="204">
        <v>201.67</v>
      </c>
      <c r="R78" s="204">
        <v>201.66</v>
      </c>
      <c r="S78" s="204">
        <v>202.5</v>
      </c>
      <c r="T78" s="204">
        <v>201.16</v>
      </c>
      <c r="U78" s="204">
        <v>201.80999999999997</v>
      </c>
      <c r="V78" s="204">
        <v>201.64999999999998</v>
      </c>
      <c r="W78" s="203">
        <v>200</v>
      </c>
      <c r="Z78" s="23" t="str">
        <v>13/02/2024  04:24</v>
      </c>
      <c r="AA78">
        <v>200.8</v>
      </c>
      <c r="AB78">
        <v>200</v>
      </c>
      <c r="AC78">
        <v>202</v>
      </c>
    </row>
    <row r="79" spans="1:29" ht="15" customHeight="1" x14ac:dyDescent="0.25">
      <c r="A79" s="23" t="str">
        <v>13/02/2024  04:25</v>
      </c>
      <c r="B79">
        <v>201.41</v>
      </c>
      <c r="C79">
        <v>201.24</v>
      </c>
      <c r="D79">
        <v>201.19</v>
      </c>
      <c r="E79">
        <v>201.28</v>
      </c>
      <c r="F79">
        <v>201.36</v>
      </c>
      <c r="G79">
        <v>202.15</v>
      </c>
      <c r="H79">
        <v>200.91</v>
      </c>
      <c r="I79">
        <v>201.5</v>
      </c>
      <c r="J79">
        <v>201.2</v>
      </c>
      <c r="K79" s="205"/>
      <c r="M79" s="377"/>
      <c r="N79" s="204">
        <v>201.89</v>
      </c>
      <c r="O79" s="204">
        <v>201.53</v>
      </c>
      <c r="P79" s="204">
        <v>201.60999999999999</v>
      </c>
      <c r="Q79" s="204">
        <v>201.61999999999998</v>
      </c>
      <c r="R79" s="204">
        <v>201.69</v>
      </c>
      <c r="S79" s="204">
        <v>202.47</v>
      </c>
      <c r="T79" s="204">
        <v>201.16</v>
      </c>
      <c r="U79" s="204">
        <v>201.83999999999997</v>
      </c>
      <c r="V79" s="204">
        <v>201.62999999999997</v>
      </c>
      <c r="W79" s="203">
        <v>200</v>
      </c>
      <c r="Z79" s="23" t="str">
        <v>13/02/2024  04:25</v>
      </c>
      <c r="AA79">
        <v>200.7</v>
      </c>
      <c r="AB79">
        <v>200</v>
      </c>
      <c r="AC79">
        <v>202</v>
      </c>
    </row>
    <row r="80" spans="1:29" ht="15" customHeight="1" x14ac:dyDescent="0.25">
      <c r="A80" s="23" t="str">
        <v>13/02/2024  04:26</v>
      </c>
      <c r="B80">
        <v>201.44</v>
      </c>
      <c r="C80">
        <v>201.24</v>
      </c>
      <c r="D80">
        <v>201.2</v>
      </c>
      <c r="E80">
        <v>201.27</v>
      </c>
      <c r="F80">
        <v>201.42</v>
      </c>
      <c r="G80">
        <v>202.14</v>
      </c>
      <c r="H80">
        <v>200.92</v>
      </c>
      <c r="I80">
        <v>201.46</v>
      </c>
      <c r="J80">
        <v>201.21</v>
      </c>
      <c r="K80" s="205"/>
      <c r="M80" s="377"/>
      <c r="N80" s="204">
        <v>201.92</v>
      </c>
      <c r="O80" s="204">
        <v>201.53</v>
      </c>
      <c r="P80" s="204">
        <v>201.61999999999998</v>
      </c>
      <c r="Q80" s="204">
        <v>201.60999999999999</v>
      </c>
      <c r="R80" s="204">
        <v>201.74999999999997</v>
      </c>
      <c r="S80" s="204">
        <v>202.45999999999998</v>
      </c>
      <c r="T80" s="204">
        <v>201.17</v>
      </c>
      <c r="U80" s="204">
        <v>201.79999999999998</v>
      </c>
      <c r="V80" s="204">
        <v>201.64</v>
      </c>
      <c r="W80" s="203">
        <v>200</v>
      </c>
      <c r="Z80" s="23" t="str">
        <v>13/02/2024  04:26</v>
      </c>
      <c r="AA80">
        <v>200.8</v>
      </c>
      <c r="AB80">
        <v>200.1</v>
      </c>
      <c r="AC80">
        <v>202</v>
      </c>
    </row>
    <row r="81" spans="1:29" ht="15" customHeight="1" x14ac:dyDescent="0.25">
      <c r="A81" s="23" t="str">
        <v>13/02/2024  04:27</v>
      </c>
      <c r="B81">
        <v>201.39</v>
      </c>
      <c r="C81">
        <v>201.16</v>
      </c>
      <c r="D81">
        <v>201.16</v>
      </c>
      <c r="E81">
        <v>201.23</v>
      </c>
      <c r="F81">
        <v>201.3</v>
      </c>
      <c r="G81">
        <v>202.11</v>
      </c>
      <c r="H81">
        <v>200.88</v>
      </c>
      <c r="I81">
        <v>201.4</v>
      </c>
      <c r="J81">
        <v>201.16</v>
      </c>
      <c r="K81" s="205"/>
      <c r="M81" s="377"/>
      <c r="N81" s="204">
        <v>201.86999999999998</v>
      </c>
      <c r="O81" s="204">
        <v>201.45</v>
      </c>
      <c r="P81" s="204">
        <v>201.57999999999998</v>
      </c>
      <c r="Q81" s="204">
        <v>201.56999999999996</v>
      </c>
      <c r="R81" s="204">
        <v>201.63</v>
      </c>
      <c r="S81" s="204">
        <v>202.43</v>
      </c>
      <c r="T81" s="204">
        <v>201.13</v>
      </c>
      <c r="U81" s="204">
        <v>201.73999999999998</v>
      </c>
      <c r="V81" s="204">
        <v>201.58999999999997</v>
      </c>
      <c r="W81" s="203">
        <v>200</v>
      </c>
      <c r="Z81" s="23" t="str">
        <v>13/02/2024  04:27</v>
      </c>
      <c r="AA81">
        <v>200.7</v>
      </c>
      <c r="AB81">
        <v>200</v>
      </c>
      <c r="AC81">
        <v>201.9</v>
      </c>
    </row>
    <row r="82" spans="1:29" ht="15" customHeight="1" x14ac:dyDescent="0.25">
      <c r="A82" s="23" t="str">
        <v>13/02/2024  04:28</v>
      </c>
      <c r="B82">
        <v>201.44</v>
      </c>
      <c r="C82">
        <v>201.3</v>
      </c>
      <c r="D82">
        <v>201.22</v>
      </c>
      <c r="E82">
        <v>201.34</v>
      </c>
      <c r="F82">
        <v>201.33</v>
      </c>
      <c r="G82">
        <v>202.18</v>
      </c>
      <c r="H82">
        <v>200.94</v>
      </c>
      <c r="I82">
        <v>201.44</v>
      </c>
      <c r="J82">
        <v>201.22</v>
      </c>
      <c r="K82" s="205"/>
      <c r="M82" s="377"/>
      <c r="N82" s="204">
        <v>201.92</v>
      </c>
      <c r="O82" s="204">
        <v>201.59</v>
      </c>
      <c r="P82" s="204">
        <v>201.64</v>
      </c>
      <c r="Q82" s="204">
        <v>201.67999999999998</v>
      </c>
      <c r="R82" s="204">
        <v>201.66</v>
      </c>
      <c r="S82" s="204">
        <v>202.5</v>
      </c>
      <c r="T82" s="204">
        <v>201.19</v>
      </c>
      <c r="U82" s="204">
        <v>201.77999999999997</v>
      </c>
      <c r="V82" s="204">
        <v>201.64999999999998</v>
      </c>
      <c r="W82" s="203">
        <v>200</v>
      </c>
      <c r="Z82" s="23" t="str">
        <v>13/02/2024  04:28</v>
      </c>
      <c r="AA82">
        <v>200.7</v>
      </c>
      <c r="AB82">
        <v>200</v>
      </c>
      <c r="AC82">
        <v>201.9</v>
      </c>
    </row>
    <row r="83" spans="1:29" ht="15" customHeight="1" x14ac:dyDescent="0.25">
      <c r="A83" s="23" t="str">
        <v>13/02/2024  04:29</v>
      </c>
      <c r="B83">
        <v>201.39</v>
      </c>
      <c r="C83">
        <v>201.23</v>
      </c>
      <c r="D83">
        <v>201.18</v>
      </c>
      <c r="E83">
        <v>201.29</v>
      </c>
      <c r="F83">
        <v>201.29</v>
      </c>
      <c r="G83">
        <v>202.1</v>
      </c>
      <c r="H83">
        <v>200.94</v>
      </c>
      <c r="I83">
        <v>201.46</v>
      </c>
      <c r="J83">
        <v>201.15</v>
      </c>
      <c r="K83" s="205"/>
      <c r="M83" s="377"/>
      <c r="N83" s="204">
        <v>201.86999999999998</v>
      </c>
      <c r="O83" s="204">
        <v>201.51999999999998</v>
      </c>
      <c r="P83" s="204">
        <v>201.6</v>
      </c>
      <c r="Q83" s="204">
        <v>201.62999999999997</v>
      </c>
      <c r="R83" s="204">
        <v>201.61999999999998</v>
      </c>
      <c r="S83" s="204">
        <v>202.42</v>
      </c>
      <c r="T83" s="204">
        <v>201.19</v>
      </c>
      <c r="U83" s="204">
        <v>201.79999999999998</v>
      </c>
      <c r="V83" s="204">
        <v>201.57999999999998</v>
      </c>
      <c r="W83" s="203">
        <v>200</v>
      </c>
      <c r="Z83" s="23" t="str">
        <v>13/02/2024  04:29</v>
      </c>
      <c r="AA83">
        <v>200.7</v>
      </c>
      <c r="AB83">
        <v>200.1</v>
      </c>
      <c r="AC83">
        <v>202</v>
      </c>
    </row>
    <row r="84" spans="1:29" ht="15" customHeight="1" x14ac:dyDescent="0.25">
      <c r="A84" s="23" t="str">
        <v>13/02/2024  04:30</v>
      </c>
      <c r="B84">
        <v>201.46</v>
      </c>
      <c r="C84">
        <v>201.32</v>
      </c>
      <c r="D84">
        <v>201.21</v>
      </c>
      <c r="E84">
        <v>201.37</v>
      </c>
      <c r="F84">
        <v>201.4</v>
      </c>
      <c r="G84">
        <v>202.19</v>
      </c>
      <c r="H84">
        <v>201</v>
      </c>
      <c r="I84">
        <v>201.57</v>
      </c>
      <c r="J84">
        <v>201.25</v>
      </c>
      <c r="K84" s="205"/>
      <c r="M84" s="377"/>
      <c r="N84" s="204">
        <v>201.94</v>
      </c>
      <c r="O84" s="204">
        <v>201.60999999999999</v>
      </c>
      <c r="P84" s="204">
        <v>201.63</v>
      </c>
      <c r="Q84" s="204">
        <v>201.70999999999998</v>
      </c>
      <c r="R84" s="204">
        <v>201.73</v>
      </c>
      <c r="S84" s="204">
        <v>202.51</v>
      </c>
      <c r="T84" s="204">
        <v>201.25</v>
      </c>
      <c r="U84" s="204">
        <v>201.90999999999997</v>
      </c>
      <c r="V84" s="204">
        <v>201.67999999999998</v>
      </c>
      <c r="W84" s="203">
        <v>200</v>
      </c>
      <c r="Z84" s="23" t="str">
        <v>13/02/2024  04:30</v>
      </c>
      <c r="AA84">
        <v>200.7</v>
      </c>
      <c r="AB84">
        <v>200</v>
      </c>
      <c r="AC84">
        <v>202</v>
      </c>
    </row>
    <row r="85" spans="1:29" ht="15" customHeight="1" x14ac:dyDescent="0.25">
      <c r="A85" s="23" t="str">
        <v>13/02/2024  04:31</v>
      </c>
      <c r="B85">
        <v>201.48</v>
      </c>
      <c r="C85">
        <v>201.32</v>
      </c>
      <c r="D85">
        <v>201.27</v>
      </c>
      <c r="E85">
        <v>201.39</v>
      </c>
      <c r="F85">
        <v>201.42</v>
      </c>
      <c r="G85">
        <v>202.23</v>
      </c>
      <c r="H85">
        <v>200.99</v>
      </c>
      <c r="I85">
        <v>201.53</v>
      </c>
      <c r="J85">
        <v>201.28</v>
      </c>
      <c r="K85" s="205"/>
      <c r="M85" s="377"/>
      <c r="N85" s="204">
        <v>201.95999999999998</v>
      </c>
      <c r="O85" s="204">
        <v>201.60999999999999</v>
      </c>
      <c r="P85" s="204">
        <v>201.69</v>
      </c>
      <c r="Q85" s="204">
        <v>201.72999999999996</v>
      </c>
      <c r="R85" s="204">
        <v>201.74999999999997</v>
      </c>
      <c r="S85" s="204">
        <v>202.54999999999998</v>
      </c>
      <c r="T85" s="204">
        <v>201.24</v>
      </c>
      <c r="U85" s="204">
        <v>201.86999999999998</v>
      </c>
      <c r="V85" s="204">
        <v>201.70999999999998</v>
      </c>
      <c r="W85" s="203">
        <v>200</v>
      </c>
      <c r="Z85" s="23" t="str">
        <v>13/02/2024  04:31</v>
      </c>
      <c r="AA85">
        <v>200.8</v>
      </c>
      <c r="AB85">
        <v>200</v>
      </c>
      <c r="AC85">
        <v>202</v>
      </c>
    </row>
    <row r="86" spans="1:29" ht="15" customHeight="1" x14ac:dyDescent="0.25">
      <c r="A86" s="23" t="str">
        <v>13/02/2024  04:32</v>
      </c>
      <c r="B86">
        <v>201.45</v>
      </c>
      <c r="C86">
        <v>201.27</v>
      </c>
      <c r="D86">
        <v>201.2</v>
      </c>
      <c r="E86">
        <v>201.29</v>
      </c>
      <c r="F86">
        <v>201.33</v>
      </c>
      <c r="G86">
        <v>202.14</v>
      </c>
      <c r="H86">
        <v>200.96</v>
      </c>
      <c r="I86">
        <v>201.48</v>
      </c>
      <c r="J86">
        <v>201.22</v>
      </c>
      <c r="K86" s="205"/>
      <c r="M86" s="377"/>
      <c r="N86" s="204">
        <v>201.92999999999998</v>
      </c>
      <c r="O86" s="204">
        <v>201.56</v>
      </c>
      <c r="P86" s="204">
        <v>201.61999999999998</v>
      </c>
      <c r="Q86" s="204">
        <v>201.62999999999997</v>
      </c>
      <c r="R86" s="204">
        <v>201.66</v>
      </c>
      <c r="S86" s="204">
        <v>202.45999999999998</v>
      </c>
      <c r="T86" s="204">
        <v>201.21</v>
      </c>
      <c r="U86" s="204">
        <v>201.81999999999996</v>
      </c>
      <c r="V86" s="204">
        <v>201.64999999999998</v>
      </c>
      <c r="W86" s="203">
        <v>200</v>
      </c>
      <c r="Z86" s="23" t="str">
        <v>13/02/2024  04:32</v>
      </c>
      <c r="AA86">
        <v>200.7</v>
      </c>
      <c r="AB86">
        <v>200</v>
      </c>
      <c r="AC86">
        <v>202</v>
      </c>
    </row>
    <row r="87" spans="1:29" ht="15" customHeight="1" x14ac:dyDescent="0.25">
      <c r="A87" s="23" t="str">
        <v>13/02/2024  04:33</v>
      </c>
      <c r="B87">
        <v>201.47</v>
      </c>
      <c r="C87">
        <v>201.27</v>
      </c>
      <c r="D87">
        <v>201.23</v>
      </c>
      <c r="E87">
        <v>201.31</v>
      </c>
      <c r="F87">
        <v>201.33</v>
      </c>
      <c r="G87">
        <v>202.15</v>
      </c>
      <c r="H87">
        <v>200.95</v>
      </c>
      <c r="I87">
        <v>201.45</v>
      </c>
      <c r="J87">
        <v>201.18</v>
      </c>
      <c r="K87" s="205"/>
      <c r="M87" s="377"/>
      <c r="N87" s="204">
        <v>201.95</v>
      </c>
      <c r="O87" s="204">
        <v>201.56</v>
      </c>
      <c r="P87" s="204">
        <v>201.64999999999998</v>
      </c>
      <c r="Q87" s="204">
        <v>201.64999999999998</v>
      </c>
      <c r="R87" s="204">
        <v>201.66</v>
      </c>
      <c r="S87" s="204">
        <v>202.47</v>
      </c>
      <c r="T87" s="204">
        <v>201.2</v>
      </c>
      <c r="U87" s="204">
        <v>201.78999999999996</v>
      </c>
      <c r="V87" s="204">
        <v>201.60999999999999</v>
      </c>
      <c r="W87" s="203">
        <v>200</v>
      </c>
      <c r="Z87" s="23" t="str">
        <v>13/02/2024  04:33</v>
      </c>
      <c r="AA87">
        <v>200.8</v>
      </c>
      <c r="AB87">
        <v>200</v>
      </c>
      <c r="AC87">
        <v>202</v>
      </c>
    </row>
    <row r="88" spans="1:29" ht="15" customHeight="1" x14ac:dyDescent="0.25">
      <c r="A88" s="23" t="str">
        <v>13/02/2024  04:34</v>
      </c>
      <c r="B88">
        <v>201.5</v>
      </c>
      <c r="C88">
        <v>201.36</v>
      </c>
      <c r="D88">
        <v>201.29</v>
      </c>
      <c r="E88">
        <v>201.4</v>
      </c>
      <c r="F88">
        <v>201.43</v>
      </c>
      <c r="G88">
        <v>202.29</v>
      </c>
      <c r="H88">
        <v>200.98</v>
      </c>
      <c r="I88">
        <v>201.53</v>
      </c>
      <c r="J88">
        <v>201.32</v>
      </c>
      <c r="K88" s="205"/>
      <c r="M88" s="377"/>
      <c r="N88" s="204">
        <v>201.98</v>
      </c>
      <c r="O88" s="204">
        <v>201.65</v>
      </c>
      <c r="P88" s="204">
        <v>201.70999999999998</v>
      </c>
      <c r="Q88" s="204">
        <v>201.73999999999998</v>
      </c>
      <c r="R88" s="204">
        <v>201.76</v>
      </c>
      <c r="S88" s="204">
        <v>202.60999999999999</v>
      </c>
      <c r="T88" s="204">
        <v>201.23</v>
      </c>
      <c r="U88" s="204">
        <v>201.86999999999998</v>
      </c>
      <c r="V88" s="204">
        <v>201.74999999999997</v>
      </c>
      <c r="W88" s="203">
        <v>200</v>
      </c>
      <c r="Z88" s="23" t="str">
        <v>13/02/2024  04:34</v>
      </c>
      <c r="AA88">
        <v>200.7</v>
      </c>
      <c r="AB88">
        <v>200</v>
      </c>
      <c r="AC88">
        <v>202</v>
      </c>
    </row>
    <row r="89" spans="1:29" ht="15" customHeight="1" x14ac:dyDescent="0.25">
      <c r="A89" s="23" t="str">
        <v>13/02/2024  04:35</v>
      </c>
      <c r="B89">
        <v>201.43</v>
      </c>
      <c r="C89">
        <v>201.25</v>
      </c>
      <c r="D89">
        <v>201.2</v>
      </c>
      <c r="E89">
        <v>201.27</v>
      </c>
      <c r="F89">
        <v>201.36</v>
      </c>
      <c r="G89">
        <v>202.1</v>
      </c>
      <c r="H89">
        <v>200.97</v>
      </c>
      <c r="I89">
        <v>201.42</v>
      </c>
      <c r="J89">
        <v>201.16</v>
      </c>
      <c r="K89" s="205"/>
      <c r="M89" s="377"/>
      <c r="N89" s="204">
        <v>201.91</v>
      </c>
      <c r="O89" s="204">
        <v>201.54</v>
      </c>
      <c r="P89" s="204">
        <v>201.61999999999998</v>
      </c>
      <c r="Q89" s="204">
        <v>201.60999999999999</v>
      </c>
      <c r="R89" s="204">
        <v>201.69</v>
      </c>
      <c r="S89" s="204">
        <v>202.42</v>
      </c>
      <c r="T89" s="204">
        <v>201.22</v>
      </c>
      <c r="U89" s="204">
        <v>201.75999999999996</v>
      </c>
      <c r="V89" s="204">
        <v>201.58999999999997</v>
      </c>
      <c r="W89" s="203">
        <v>200</v>
      </c>
      <c r="Z89" s="23" t="str">
        <v>13/02/2024  04:35</v>
      </c>
      <c r="AA89">
        <v>200.8</v>
      </c>
      <c r="AB89">
        <v>200.1</v>
      </c>
      <c r="AC89">
        <v>202</v>
      </c>
    </row>
    <row r="90" spans="1:29" ht="15" customHeight="1" x14ac:dyDescent="0.25">
      <c r="A90" s="23" t="str">
        <v>13/02/2024  04:36</v>
      </c>
      <c r="B90">
        <v>201.36</v>
      </c>
      <c r="C90">
        <v>201.18</v>
      </c>
      <c r="D90">
        <v>201.18</v>
      </c>
      <c r="E90">
        <v>201.22</v>
      </c>
      <c r="F90">
        <v>201.3</v>
      </c>
      <c r="G90">
        <v>202.07</v>
      </c>
      <c r="H90">
        <v>200.92</v>
      </c>
      <c r="I90">
        <v>201.37</v>
      </c>
      <c r="J90">
        <v>201.16</v>
      </c>
      <c r="K90" s="205"/>
      <c r="M90" s="377"/>
      <c r="N90" s="204">
        <v>201.84</v>
      </c>
      <c r="O90" s="204">
        <v>201.47</v>
      </c>
      <c r="P90" s="204">
        <v>201.6</v>
      </c>
      <c r="Q90" s="204">
        <v>201.55999999999997</v>
      </c>
      <c r="R90" s="204">
        <v>201.63</v>
      </c>
      <c r="S90" s="204">
        <v>202.39</v>
      </c>
      <c r="T90" s="204">
        <v>201.17</v>
      </c>
      <c r="U90" s="204">
        <v>201.70999999999998</v>
      </c>
      <c r="V90" s="204">
        <v>201.58999999999997</v>
      </c>
      <c r="W90" s="203">
        <v>200</v>
      </c>
      <c r="Z90" s="23" t="str">
        <v>13/02/2024  04:36</v>
      </c>
      <c r="AA90">
        <v>200.7</v>
      </c>
      <c r="AB90">
        <v>200.1</v>
      </c>
      <c r="AC90">
        <v>202</v>
      </c>
    </row>
    <row r="91" spans="1:29" ht="15" customHeight="1" x14ac:dyDescent="0.25">
      <c r="A91" s="23" t="str">
        <v>13/02/2024  04:37</v>
      </c>
      <c r="B91">
        <v>201.38</v>
      </c>
      <c r="C91">
        <v>201.14</v>
      </c>
      <c r="D91">
        <v>201.13</v>
      </c>
      <c r="E91">
        <v>201.22</v>
      </c>
      <c r="F91">
        <v>201.24</v>
      </c>
      <c r="G91">
        <v>202.01</v>
      </c>
      <c r="H91">
        <v>200.9</v>
      </c>
      <c r="I91">
        <v>201.33</v>
      </c>
      <c r="J91">
        <v>201.12</v>
      </c>
      <c r="K91" s="205"/>
      <c r="M91" s="377"/>
      <c r="N91" s="204">
        <v>201.85999999999999</v>
      </c>
      <c r="O91" s="204">
        <v>201.42999999999998</v>
      </c>
      <c r="P91" s="204">
        <v>201.54999999999998</v>
      </c>
      <c r="Q91" s="204">
        <v>201.55999999999997</v>
      </c>
      <c r="R91" s="204">
        <v>201.57</v>
      </c>
      <c r="S91" s="204">
        <v>202.32999999999998</v>
      </c>
      <c r="T91" s="204">
        <v>201.15</v>
      </c>
      <c r="U91" s="204">
        <v>201.67</v>
      </c>
      <c r="V91" s="204">
        <v>201.54999999999998</v>
      </c>
      <c r="W91" s="203">
        <v>200</v>
      </c>
      <c r="Z91" s="23" t="str">
        <v>13/02/2024  04:37</v>
      </c>
      <c r="AA91">
        <v>200.7</v>
      </c>
      <c r="AB91">
        <v>200</v>
      </c>
      <c r="AC91">
        <v>201.9</v>
      </c>
    </row>
    <row r="92" spans="1:29" ht="15" customHeight="1" x14ac:dyDescent="0.25">
      <c r="A92" s="23" t="str">
        <v>13/02/2024  04:38</v>
      </c>
      <c r="B92">
        <v>201.46</v>
      </c>
      <c r="C92">
        <v>201.3</v>
      </c>
      <c r="D92">
        <v>201.25</v>
      </c>
      <c r="E92">
        <v>201.31</v>
      </c>
      <c r="F92">
        <v>201.44</v>
      </c>
      <c r="G92">
        <v>202.15</v>
      </c>
      <c r="H92">
        <v>200.99</v>
      </c>
      <c r="I92">
        <v>201.5</v>
      </c>
      <c r="J92">
        <v>201.2</v>
      </c>
      <c r="K92" s="205"/>
      <c r="M92" s="377"/>
      <c r="N92" s="204">
        <v>201.94</v>
      </c>
      <c r="O92" s="204">
        <v>201.59</v>
      </c>
      <c r="P92" s="204">
        <v>201.67</v>
      </c>
      <c r="Q92" s="204">
        <v>201.64999999999998</v>
      </c>
      <c r="R92" s="204">
        <v>201.76999999999998</v>
      </c>
      <c r="S92" s="204">
        <v>202.47</v>
      </c>
      <c r="T92" s="204">
        <v>201.24</v>
      </c>
      <c r="U92" s="204">
        <v>201.83999999999997</v>
      </c>
      <c r="V92" s="204">
        <v>201.62999999999997</v>
      </c>
      <c r="W92" s="203">
        <v>200</v>
      </c>
      <c r="Z92" s="23" t="str">
        <v>13/02/2024  04:38</v>
      </c>
      <c r="AA92">
        <v>200.6</v>
      </c>
      <c r="AB92">
        <v>200</v>
      </c>
      <c r="AC92">
        <v>201.9</v>
      </c>
    </row>
    <row r="93" spans="1:29" ht="15" customHeight="1" x14ac:dyDescent="0.25">
      <c r="A93" s="23" t="str">
        <v>13/02/2024  04:39</v>
      </c>
      <c r="B93">
        <v>201.47</v>
      </c>
      <c r="C93">
        <v>201.29</v>
      </c>
      <c r="D93">
        <v>201.26</v>
      </c>
      <c r="E93">
        <v>201.31</v>
      </c>
      <c r="F93">
        <v>201.07</v>
      </c>
      <c r="G93">
        <v>202.11</v>
      </c>
      <c r="H93">
        <v>201.01</v>
      </c>
      <c r="I93">
        <v>201.38</v>
      </c>
      <c r="J93">
        <v>201.17</v>
      </c>
      <c r="K93" s="205"/>
      <c r="M93" s="377"/>
      <c r="N93" s="204">
        <v>201.95</v>
      </c>
      <c r="O93" s="204">
        <v>201.57999999999998</v>
      </c>
      <c r="P93" s="204">
        <v>201.67999999999998</v>
      </c>
      <c r="Q93" s="204">
        <v>201.64999999999998</v>
      </c>
      <c r="R93" s="204">
        <v>201.39999999999998</v>
      </c>
      <c r="S93" s="204">
        <v>202.43</v>
      </c>
      <c r="T93" s="204">
        <v>201.26</v>
      </c>
      <c r="U93" s="204">
        <v>201.71999999999997</v>
      </c>
      <c r="V93" s="204">
        <v>201.59999999999997</v>
      </c>
      <c r="W93" s="203">
        <v>200</v>
      </c>
      <c r="Z93" s="23" t="str">
        <v>13/02/2024  04:39</v>
      </c>
      <c r="AA93">
        <v>200.7</v>
      </c>
      <c r="AB93">
        <v>200</v>
      </c>
      <c r="AC93">
        <v>202</v>
      </c>
    </row>
    <row r="94" spans="1:29" ht="15" customHeight="1" x14ac:dyDescent="0.25">
      <c r="A94" s="23" t="str">
        <v>13/02/2024  04:40</v>
      </c>
      <c r="B94">
        <v>201.48</v>
      </c>
      <c r="C94">
        <v>201.26</v>
      </c>
      <c r="D94">
        <v>201.23</v>
      </c>
      <c r="E94">
        <v>201.29</v>
      </c>
      <c r="F94">
        <v>201.34</v>
      </c>
      <c r="G94">
        <v>202.17</v>
      </c>
      <c r="H94">
        <v>200.99</v>
      </c>
      <c r="I94">
        <v>201.43</v>
      </c>
      <c r="J94">
        <v>201.21</v>
      </c>
      <c r="K94" s="205"/>
      <c r="M94" s="377"/>
      <c r="N94" s="204">
        <v>201.95999999999998</v>
      </c>
      <c r="O94" s="204">
        <v>201.54999999999998</v>
      </c>
      <c r="P94" s="204">
        <v>201.64999999999998</v>
      </c>
      <c r="Q94" s="204">
        <v>201.62999999999997</v>
      </c>
      <c r="R94" s="204">
        <v>201.67</v>
      </c>
      <c r="S94" s="204">
        <v>202.48999999999998</v>
      </c>
      <c r="T94" s="204">
        <v>201.24</v>
      </c>
      <c r="U94" s="204">
        <v>201.76999999999998</v>
      </c>
      <c r="V94" s="204">
        <v>201.64</v>
      </c>
      <c r="W94" s="203">
        <v>200</v>
      </c>
      <c r="Z94" s="23" t="str">
        <v>13/02/2024  04:40</v>
      </c>
      <c r="AA94">
        <v>200.7</v>
      </c>
      <c r="AB94">
        <v>200</v>
      </c>
      <c r="AC94">
        <v>202</v>
      </c>
    </row>
    <row r="95" spans="1:29" ht="15" customHeight="1" x14ac:dyDescent="0.25">
      <c r="A95" s="23" t="str">
        <v>13/02/2024  04:41</v>
      </c>
      <c r="B95">
        <v>201.41</v>
      </c>
      <c r="C95">
        <v>201.22</v>
      </c>
      <c r="D95">
        <v>201.21</v>
      </c>
      <c r="E95">
        <v>201.3</v>
      </c>
      <c r="F95">
        <v>201.26</v>
      </c>
      <c r="G95">
        <v>202.12</v>
      </c>
      <c r="H95">
        <v>201</v>
      </c>
      <c r="I95">
        <v>201.41</v>
      </c>
      <c r="J95">
        <v>201.21</v>
      </c>
      <c r="K95" s="205"/>
      <c r="M95" s="377"/>
      <c r="N95" s="204">
        <v>201.89</v>
      </c>
      <c r="O95" s="204">
        <v>201.51</v>
      </c>
      <c r="P95" s="204">
        <v>201.63</v>
      </c>
      <c r="Q95" s="204">
        <v>201.64</v>
      </c>
      <c r="R95" s="204">
        <v>201.58999999999997</v>
      </c>
      <c r="S95" s="204">
        <v>202.44</v>
      </c>
      <c r="T95" s="204">
        <v>201.25</v>
      </c>
      <c r="U95" s="204">
        <v>201.74999999999997</v>
      </c>
      <c r="V95" s="204">
        <v>201.64</v>
      </c>
      <c r="W95" s="203">
        <v>200</v>
      </c>
      <c r="Z95" s="23" t="str">
        <v>13/02/2024  04:41</v>
      </c>
      <c r="AA95">
        <v>200.7</v>
      </c>
      <c r="AB95">
        <v>200</v>
      </c>
      <c r="AC95">
        <v>201.9</v>
      </c>
    </row>
    <row r="96" spans="1:29" ht="15" customHeight="1" x14ac:dyDescent="0.25">
      <c r="A96" s="23" t="str">
        <v>13/02/2024  04:42</v>
      </c>
      <c r="B96">
        <v>201.51</v>
      </c>
      <c r="C96">
        <v>201.31</v>
      </c>
      <c r="D96">
        <v>201.27</v>
      </c>
      <c r="E96">
        <v>201.35</v>
      </c>
      <c r="F96">
        <v>201.34</v>
      </c>
      <c r="G96">
        <v>202.11</v>
      </c>
      <c r="H96">
        <v>200.97</v>
      </c>
      <c r="I96">
        <v>201.4</v>
      </c>
      <c r="J96">
        <v>201.18</v>
      </c>
      <c r="K96" s="205"/>
      <c r="M96" s="377"/>
      <c r="N96" s="204">
        <v>201.98999999999998</v>
      </c>
      <c r="O96" s="204">
        <v>201.6</v>
      </c>
      <c r="P96" s="204">
        <v>201.69</v>
      </c>
      <c r="Q96" s="204">
        <v>201.68999999999997</v>
      </c>
      <c r="R96" s="204">
        <v>201.67</v>
      </c>
      <c r="S96" s="204">
        <v>202.43</v>
      </c>
      <c r="T96" s="204">
        <v>201.22</v>
      </c>
      <c r="U96" s="204">
        <v>201.73999999999998</v>
      </c>
      <c r="V96" s="204">
        <v>201.60999999999999</v>
      </c>
      <c r="W96" s="203">
        <v>200</v>
      </c>
      <c r="Z96" s="23" t="str">
        <v>13/02/2024  04:42</v>
      </c>
      <c r="AA96">
        <v>200.7</v>
      </c>
      <c r="AB96">
        <v>200</v>
      </c>
      <c r="AC96">
        <v>202</v>
      </c>
    </row>
    <row r="97" spans="1:29" ht="15" customHeight="1" x14ac:dyDescent="0.25">
      <c r="A97" s="23" t="str">
        <v>13/02/2024  04:43</v>
      </c>
      <c r="B97">
        <v>201.46</v>
      </c>
      <c r="C97">
        <v>201.27</v>
      </c>
      <c r="D97">
        <v>201.25</v>
      </c>
      <c r="E97">
        <v>201.31</v>
      </c>
      <c r="F97">
        <v>201.41</v>
      </c>
      <c r="G97">
        <v>202.1</v>
      </c>
      <c r="H97">
        <v>201</v>
      </c>
      <c r="I97">
        <v>201.43</v>
      </c>
      <c r="J97">
        <v>201.21</v>
      </c>
      <c r="K97" s="205"/>
      <c r="M97" s="377"/>
      <c r="N97" s="204">
        <v>201.94</v>
      </c>
      <c r="O97" s="204">
        <v>201.56</v>
      </c>
      <c r="P97" s="204">
        <v>201.67</v>
      </c>
      <c r="Q97" s="204">
        <v>201.64999999999998</v>
      </c>
      <c r="R97" s="204">
        <v>201.73999999999998</v>
      </c>
      <c r="S97" s="204">
        <v>202.42</v>
      </c>
      <c r="T97" s="204">
        <v>201.25</v>
      </c>
      <c r="U97" s="204">
        <v>201.76999999999998</v>
      </c>
      <c r="V97" s="204">
        <v>201.64</v>
      </c>
      <c r="W97" s="203">
        <v>200</v>
      </c>
      <c r="Z97" s="23" t="str">
        <v>13/02/2024  04:43</v>
      </c>
      <c r="AA97">
        <v>200.7</v>
      </c>
      <c r="AB97">
        <v>200</v>
      </c>
      <c r="AC97">
        <v>202</v>
      </c>
    </row>
    <row r="98" spans="1:29" ht="15" customHeight="1" x14ac:dyDescent="0.25">
      <c r="A98" s="23" t="str">
        <v>13/02/2024  04:44</v>
      </c>
      <c r="B98">
        <v>201.52</v>
      </c>
      <c r="C98">
        <v>201.33</v>
      </c>
      <c r="D98">
        <v>201.29</v>
      </c>
      <c r="E98">
        <v>201.37</v>
      </c>
      <c r="F98">
        <v>201.34</v>
      </c>
      <c r="G98">
        <v>202.14</v>
      </c>
      <c r="H98">
        <v>201.01</v>
      </c>
      <c r="I98">
        <v>201.51</v>
      </c>
      <c r="J98">
        <v>201.29</v>
      </c>
      <c r="K98" s="205"/>
      <c r="M98" s="377"/>
      <c r="N98" s="204">
        <v>202</v>
      </c>
      <c r="O98" s="204">
        <v>201.62</v>
      </c>
      <c r="P98" s="204">
        <v>201.70999999999998</v>
      </c>
      <c r="Q98" s="204">
        <v>201.70999999999998</v>
      </c>
      <c r="R98" s="204">
        <v>201.67</v>
      </c>
      <c r="S98" s="204">
        <v>202.45999999999998</v>
      </c>
      <c r="T98" s="204">
        <v>201.26</v>
      </c>
      <c r="U98" s="204">
        <v>201.84999999999997</v>
      </c>
      <c r="V98" s="204">
        <v>201.71999999999997</v>
      </c>
      <c r="W98" s="203">
        <v>200</v>
      </c>
      <c r="Z98" s="23" t="str">
        <v>13/02/2024  04:44</v>
      </c>
      <c r="AA98">
        <v>200.7</v>
      </c>
      <c r="AB98">
        <v>200</v>
      </c>
      <c r="AC98">
        <v>202</v>
      </c>
    </row>
    <row r="99" spans="1:29" ht="15" customHeight="1" x14ac:dyDescent="0.25">
      <c r="A99" s="23" t="str">
        <v>13/02/2024  04:45</v>
      </c>
      <c r="B99">
        <v>201.4</v>
      </c>
      <c r="C99">
        <v>201.21</v>
      </c>
      <c r="D99">
        <v>201.22</v>
      </c>
      <c r="E99">
        <v>201.27</v>
      </c>
      <c r="F99">
        <v>201.32</v>
      </c>
      <c r="G99">
        <v>202.07</v>
      </c>
      <c r="H99">
        <v>200.95</v>
      </c>
      <c r="I99">
        <v>201.4</v>
      </c>
      <c r="J99">
        <v>201.17</v>
      </c>
      <c r="K99" s="205"/>
      <c r="M99" s="377"/>
      <c r="N99" s="204">
        <v>201.88</v>
      </c>
      <c r="O99" s="204">
        <v>201.5</v>
      </c>
      <c r="P99" s="204">
        <v>201.64</v>
      </c>
      <c r="Q99" s="204">
        <v>201.60999999999999</v>
      </c>
      <c r="R99" s="204">
        <v>201.64999999999998</v>
      </c>
      <c r="S99" s="204">
        <v>202.39</v>
      </c>
      <c r="T99" s="204">
        <v>201.2</v>
      </c>
      <c r="U99" s="204">
        <v>201.73999999999998</v>
      </c>
      <c r="V99" s="204">
        <v>201.59999999999997</v>
      </c>
      <c r="W99" s="203">
        <v>200</v>
      </c>
      <c r="Z99" s="23" t="str">
        <v>13/02/2024  04:45</v>
      </c>
      <c r="AA99">
        <v>200.7</v>
      </c>
      <c r="AB99">
        <v>200</v>
      </c>
      <c r="AC99">
        <v>202</v>
      </c>
    </row>
    <row r="100" spans="1:29" ht="15" customHeight="1" x14ac:dyDescent="0.25">
      <c r="A100" s="23" t="str">
        <v>13/02/2024  04:46</v>
      </c>
      <c r="B100">
        <v>201.52</v>
      </c>
      <c r="C100">
        <v>201.31</v>
      </c>
      <c r="D100">
        <v>201.27</v>
      </c>
      <c r="E100">
        <v>201.34</v>
      </c>
      <c r="F100">
        <v>201.37</v>
      </c>
      <c r="G100">
        <v>202.12</v>
      </c>
      <c r="H100">
        <v>201.05</v>
      </c>
      <c r="I100">
        <v>201.49</v>
      </c>
      <c r="J100">
        <v>201.23</v>
      </c>
      <c r="K100" s="205"/>
      <c r="M100" s="377"/>
      <c r="N100" s="204">
        <v>202</v>
      </c>
      <c r="O100" s="204">
        <v>201.6</v>
      </c>
      <c r="P100" s="204">
        <v>201.69</v>
      </c>
      <c r="Q100" s="204">
        <v>201.67999999999998</v>
      </c>
      <c r="R100" s="204">
        <v>201.7</v>
      </c>
      <c r="S100" s="204">
        <v>202.44</v>
      </c>
      <c r="T100" s="204">
        <v>201.3</v>
      </c>
      <c r="U100" s="204">
        <v>201.82999999999998</v>
      </c>
      <c r="V100" s="204">
        <v>201.65999999999997</v>
      </c>
      <c r="W100" s="203">
        <v>200</v>
      </c>
      <c r="Z100" s="23" t="str">
        <v>13/02/2024  04:46</v>
      </c>
      <c r="AA100">
        <v>200.7</v>
      </c>
      <c r="AB100">
        <v>200</v>
      </c>
      <c r="AC100">
        <v>201.9</v>
      </c>
    </row>
    <row r="101" spans="1:29" ht="15" customHeight="1" x14ac:dyDescent="0.25">
      <c r="A101" s="23" t="str">
        <v>13/02/2024  04:47</v>
      </c>
      <c r="B101">
        <v>201.38</v>
      </c>
      <c r="C101">
        <v>201.21</v>
      </c>
      <c r="D101">
        <v>201.18</v>
      </c>
      <c r="E101">
        <v>201.23</v>
      </c>
      <c r="F101">
        <v>201.36</v>
      </c>
      <c r="G101">
        <v>202.02</v>
      </c>
      <c r="H101">
        <v>201</v>
      </c>
      <c r="I101">
        <v>201.36</v>
      </c>
      <c r="J101">
        <v>201.14</v>
      </c>
      <c r="K101" s="205"/>
      <c r="M101" s="377"/>
      <c r="N101" s="204">
        <v>201.85999999999999</v>
      </c>
      <c r="O101" s="204">
        <v>201.5</v>
      </c>
      <c r="P101" s="204">
        <v>201.6</v>
      </c>
      <c r="Q101" s="204">
        <v>201.56999999999996</v>
      </c>
      <c r="R101" s="204">
        <v>201.69</v>
      </c>
      <c r="S101" s="204">
        <v>202.34</v>
      </c>
      <c r="T101" s="204">
        <v>201.25</v>
      </c>
      <c r="U101" s="204">
        <v>201.7</v>
      </c>
      <c r="V101" s="204">
        <v>201.56999999999996</v>
      </c>
      <c r="W101" s="203">
        <v>200</v>
      </c>
      <c r="Z101" s="23" t="str">
        <v>13/02/2024  04:47</v>
      </c>
      <c r="AA101">
        <v>200.7</v>
      </c>
      <c r="AB101">
        <v>200.1</v>
      </c>
      <c r="AC101">
        <v>202</v>
      </c>
    </row>
    <row r="102" spans="1:29" ht="15" customHeight="1" x14ac:dyDescent="0.25">
      <c r="A102" s="23" t="str">
        <v>13/02/2024  04:48</v>
      </c>
      <c r="B102">
        <v>201.42</v>
      </c>
      <c r="C102">
        <v>201.21</v>
      </c>
      <c r="D102">
        <v>201.21</v>
      </c>
      <c r="E102">
        <v>201.26</v>
      </c>
      <c r="F102">
        <v>201.31</v>
      </c>
      <c r="G102">
        <v>202.04</v>
      </c>
      <c r="H102">
        <v>200.95</v>
      </c>
      <c r="I102">
        <v>201.35</v>
      </c>
      <c r="J102">
        <v>201.18</v>
      </c>
      <c r="K102" s="205"/>
      <c r="M102" s="377"/>
      <c r="N102" s="204">
        <v>201.89999999999998</v>
      </c>
      <c r="O102" s="204">
        <v>201.5</v>
      </c>
      <c r="P102" s="204">
        <v>201.63</v>
      </c>
      <c r="Q102" s="204">
        <v>201.59999999999997</v>
      </c>
      <c r="R102" s="204">
        <v>201.64</v>
      </c>
      <c r="S102" s="204">
        <v>202.35999999999999</v>
      </c>
      <c r="T102" s="204">
        <v>201.2</v>
      </c>
      <c r="U102" s="204">
        <v>201.68999999999997</v>
      </c>
      <c r="V102" s="204">
        <v>201.60999999999999</v>
      </c>
      <c r="W102" s="203">
        <v>200</v>
      </c>
      <c r="Z102" s="23" t="str">
        <v>13/02/2024  04:48</v>
      </c>
      <c r="AA102">
        <v>200.6</v>
      </c>
      <c r="AB102">
        <v>200</v>
      </c>
      <c r="AC102">
        <v>201.9</v>
      </c>
    </row>
    <row r="103" spans="1:29" ht="15" customHeight="1" x14ac:dyDescent="0.25">
      <c r="A103" s="23" t="str">
        <v>13/02/2024  04:49</v>
      </c>
      <c r="B103">
        <v>201.38</v>
      </c>
      <c r="C103">
        <v>201.22</v>
      </c>
      <c r="D103">
        <v>201.21</v>
      </c>
      <c r="E103">
        <v>201.23</v>
      </c>
      <c r="F103">
        <v>201.33</v>
      </c>
      <c r="G103">
        <v>201.98</v>
      </c>
      <c r="H103">
        <v>200.96</v>
      </c>
      <c r="I103">
        <v>201.35</v>
      </c>
      <c r="J103">
        <v>201.15</v>
      </c>
      <c r="K103" s="205"/>
      <c r="M103" s="377"/>
      <c r="N103" s="204">
        <v>201.85999999999999</v>
      </c>
      <c r="O103" s="204">
        <v>201.51</v>
      </c>
      <c r="P103" s="204">
        <v>201.63</v>
      </c>
      <c r="Q103" s="204">
        <v>201.56999999999996</v>
      </c>
      <c r="R103" s="204">
        <v>201.66</v>
      </c>
      <c r="S103" s="204">
        <v>202.29999999999998</v>
      </c>
      <c r="T103" s="204">
        <v>201.21</v>
      </c>
      <c r="U103" s="204">
        <v>201.68999999999997</v>
      </c>
      <c r="V103" s="204">
        <v>201.57999999999998</v>
      </c>
      <c r="W103" s="203">
        <v>200</v>
      </c>
      <c r="Z103" s="23" t="str">
        <v>13/02/2024  04:49</v>
      </c>
      <c r="AA103">
        <v>200.6</v>
      </c>
      <c r="AB103">
        <v>200.1</v>
      </c>
      <c r="AC103">
        <v>201.9</v>
      </c>
    </row>
    <row r="104" spans="1:29" ht="15" customHeight="1" x14ac:dyDescent="0.25">
      <c r="A104" s="379"/>
      <c r="B104" s="379"/>
      <c r="C104" s="379"/>
      <c r="D104" s="379"/>
      <c r="E104" s="379"/>
      <c r="F104" s="379"/>
      <c r="G104" s="379"/>
      <c r="H104" s="379"/>
      <c r="I104" s="379"/>
      <c r="J104" s="379"/>
      <c r="K104" s="379"/>
      <c r="L104" s="379"/>
      <c r="M104" s="379"/>
      <c r="N104" s="379"/>
      <c r="O104" s="379"/>
      <c r="P104" s="379"/>
      <c r="Q104" s="379"/>
      <c r="R104" s="379"/>
      <c r="S104" s="379"/>
      <c r="T104" s="379"/>
      <c r="U104" s="379"/>
      <c r="V104" s="379"/>
      <c r="W104" s="379"/>
      <c r="Z104" s="23"/>
    </row>
    <row r="105" spans="1:29" ht="15" customHeight="1" x14ac:dyDescent="0.25">
      <c r="A105" s="23"/>
      <c r="B105"/>
      <c r="C105"/>
      <c r="D105"/>
      <c r="E105"/>
      <c r="F105"/>
      <c r="G105"/>
      <c r="H105"/>
      <c r="I105"/>
      <c r="J105"/>
      <c r="K105" s="205"/>
      <c r="Z105" s="23"/>
    </row>
    <row r="106" spans="1:29" ht="15" customHeight="1" x14ac:dyDescent="0.25">
      <c r="A106" s="23"/>
      <c r="B106"/>
      <c r="C106"/>
      <c r="D106"/>
      <c r="E106"/>
      <c r="F106"/>
      <c r="G106"/>
      <c r="H106"/>
      <c r="I106"/>
      <c r="J106"/>
      <c r="K106" s="205"/>
      <c r="M106" s="92" t="s">
        <v>90</v>
      </c>
      <c r="N106" s="43">
        <f>MAX(tab_transfert200[Connecteur 1])+N$2+N$3</f>
        <v>202.64</v>
      </c>
      <c r="O106" s="43">
        <f>MAX(tab_transfert200[Connecteur 2])+O$2+O$3</f>
        <v>202.32999999999998</v>
      </c>
      <c r="P106" s="43">
        <f>MAX(tab_transfert200[Connecteur 3])+P$2+P$3</f>
        <v>202.07999999999998</v>
      </c>
      <c r="Q106" s="43">
        <f>MAX(tab_transfert200[Connecteur 4])+Q$2+Q$3</f>
        <v>202.64999999999998</v>
      </c>
      <c r="R106" s="43">
        <f>MAX(tab_transfert200[Connecteur 5])+R$2+R$3</f>
        <v>202.69</v>
      </c>
      <c r="S106" s="43">
        <f>MAX(tab_transfert200[Connecteur 6])+S$2+S$3</f>
        <v>203.62</v>
      </c>
      <c r="T106" s="43">
        <f>MAX(tab_transfert200[Connecteur 7])+T$2+T$3</f>
        <v>201.3</v>
      </c>
      <c r="U106" s="43">
        <f>MAX(tab_transfert200[Connecteur 8])+U$2+U$3</f>
        <v>203.2</v>
      </c>
      <c r="V106" s="43">
        <f>MAX(tab_transfert200[Connecteur 9])+V$2+V$3</f>
        <v>202.57999999999998</v>
      </c>
      <c r="W106" s="201">
        <f>MAX(N106:V106)</f>
        <v>203.62</v>
      </c>
      <c r="Z106" s="23"/>
    </row>
    <row r="107" spans="1:29" ht="15" customHeight="1" x14ac:dyDescent="0.25">
      <c r="A107" s="23"/>
      <c r="B107"/>
      <c r="C107"/>
      <c r="D107"/>
      <c r="E107"/>
      <c r="F107"/>
      <c r="G107"/>
      <c r="H107"/>
      <c r="I107"/>
      <c r="J107"/>
      <c r="K107" s="205"/>
      <c r="M107" s="200" t="s">
        <v>91</v>
      </c>
      <c r="N107" s="199">
        <f ca="1">MAX(OFFSET(INDEX(tab_transfert200[Connecteur 1],1),COUNT(tab_transfert200[Connecteur 1])-30,0,30))+N$2+N$3</f>
        <v>202</v>
      </c>
      <c r="O107" s="199">
        <f ca="1">MAX(OFFSET(INDEX(tab_transfert200[Connecteur 2],1),COUNT(tab_transfert200[Connecteur 2])-30,0,30))+O$2+O$3</f>
        <v>201.65</v>
      </c>
      <c r="P107" s="199">
        <f ca="1">MAX(OFFSET(INDEX(tab_transfert200[Connecteur 3],1),COUNT(tab_transfert200[Connecteur 3])-30,0,30))+P$2+P$3</f>
        <v>201.70999999999998</v>
      </c>
      <c r="Q107" s="199">
        <f ca="1">MAX(OFFSET(INDEX(tab_transfert200[Connecteur 4],1),COUNT(tab_transfert200[Connecteur 4])-30,0,30))+Q$2+Q$3</f>
        <v>201.73999999999998</v>
      </c>
      <c r="R107" s="199">
        <f ca="1">MAX(OFFSET(INDEX(tab_transfert200[Connecteur 5],1),COUNT(tab_transfert200[Connecteur 5])-30,0,30))+R$2+R$3</f>
        <v>201.77999999999997</v>
      </c>
      <c r="S107" s="199">
        <f ca="1">MAX(OFFSET(INDEX(tab_transfert200[Connecteur 6],1),COUNT(tab_transfert200[Connecteur 6])-30,0,30))+S$2+S$3</f>
        <v>202.60999999999999</v>
      </c>
      <c r="T107" s="199">
        <f ca="1">MAX(OFFSET(INDEX(tab_transfert200[Connecteur 7],1),COUNT(tab_transfert200[Connecteur 7])-30,0,30))+T$2+T$3</f>
        <v>201.3</v>
      </c>
      <c r="U107" s="199">
        <f ca="1">MAX(OFFSET(INDEX(tab_transfert200[Connecteur 8],1),COUNT(tab_transfert200[Connecteur 8])-30,0,30))+U$2+U$3</f>
        <v>201.90999999999997</v>
      </c>
      <c r="V107" s="199">
        <f ca="1">MAX(OFFSET(INDEX(tab_transfert200[Connecteur 9],1),COUNT(tab_transfert200[Connecteur 9])-30,0,30))+V$2+V$3</f>
        <v>201.74999999999997</v>
      </c>
      <c r="W107" s="201">
        <f ca="1">MAX(N107:V107)</f>
        <v>202.60999999999999</v>
      </c>
      <c r="Z107" s="23"/>
    </row>
    <row r="108" spans="1:29" ht="15" customHeight="1" x14ac:dyDescent="0.25">
      <c r="A108" s="23"/>
      <c r="B108"/>
      <c r="C108"/>
      <c r="D108"/>
      <c r="E108"/>
      <c r="F108"/>
      <c r="G108"/>
      <c r="H108"/>
      <c r="I108"/>
      <c r="J108"/>
      <c r="K108" s="205"/>
      <c r="M108" s="200" t="s">
        <v>93</v>
      </c>
      <c r="N108" s="199">
        <f ca="1">MIN(OFFSET(INDEX(tab_transfert200[Connecteur 1],1),COUNT(tab_transfert200[Connecteur 1])-30,0,30))+N$2+N$3</f>
        <v>201.81</v>
      </c>
      <c r="O108" s="199">
        <f ca="1">MIN(OFFSET(INDEX(tab_transfert200[Connecteur 2],1),COUNT(tab_transfert200[Connecteur 2])-30,0,30))+O$2+O$3</f>
        <v>201.42999999999998</v>
      </c>
      <c r="P108" s="199">
        <f ca="1">MIN(OFFSET(INDEX(tab_transfert200[Connecteur 3],1),COUNT(tab_transfert200[Connecteur 3])-30,0,30))+P$2+P$3</f>
        <v>201.54</v>
      </c>
      <c r="Q108" s="199">
        <f ca="1">MIN(OFFSET(INDEX(tab_transfert200[Connecteur 4],1),COUNT(tab_transfert200[Connecteur 4])-30,0,30))+Q$2+Q$3</f>
        <v>201.55999999999997</v>
      </c>
      <c r="R108" s="199">
        <f ca="1">MIN(OFFSET(INDEX(tab_transfert200[Connecteur 5],1),COUNT(tab_transfert200[Connecteur 5])-30,0,30))+R$2+R$3</f>
        <v>201.39999999999998</v>
      </c>
      <c r="S108" s="199">
        <f ca="1">MIN(OFFSET(INDEX(tab_transfert200[Connecteur 6],1),COUNT(tab_transfert200[Connecteur 6])-30,0,30))+S$2+S$3</f>
        <v>202.29999999999998</v>
      </c>
      <c r="T108" s="199">
        <f ca="1">MIN(OFFSET(INDEX(tab_transfert200[Connecteur 7],1),COUNT(tab_transfert200[Connecteur 7])-30,0,30))+T$2+T$3</f>
        <v>201.12</v>
      </c>
      <c r="U108" s="199">
        <f ca="1">MIN(OFFSET(INDEX(tab_transfert200[Connecteur 8],1),COUNT(tab_transfert200[Connecteur 8])-30,0,30))+U$2+U$3</f>
        <v>201.67</v>
      </c>
      <c r="V108" s="199">
        <f ca="1">MIN(OFFSET(INDEX(tab_transfert200[Connecteur 9],1),COUNT(tab_transfert200[Connecteur 9])-30,0,30))+V$2+V$3</f>
        <v>201.54</v>
      </c>
      <c r="W108" s="201">
        <f ca="1">MIN(N108:V108)</f>
        <v>201.12</v>
      </c>
      <c r="Z108" s="23"/>
    </row>
    <row r="109" spans="1:29" ht="15" customHeight="1" x14ac:dyDescent="0.25">
      <c r="A109" s="23"/>
      <c r="B109"/>
      <c r="C109"/>
      <c r="D109"/>
      <c r="E109"/>
      <c r="F109"/>
      <c r="G109"/>
      <c r="H109"/>
      <c r="I109"/>
      <c r="J109"/>
      <c r="K109" s="205"/>
      <c r="M109" s="200" t="s">
        <v>95</v>
      </c>
      <c r="N109" s="199">
        <f ca="1">AVERAGE(OFFSET(INDEX(tab_transfert200[Connecteur 1],1),COUNT(tab_transfert200[Connecteur 1])-30,0,30))+N$2+N$3</f>
        <v>201.91333333333333</v>
      </c>
      <c r="O109" s="199">
        <f ca="1">AVERAGE(OFFSET(INDEX(tab_transfert200[Connecteur 2],1),COUNT(tab_transfert200[Connecteur 2])-30,0,30))+O$2+O$3</f>
        <v>201.54000000000005</v>
      </c>
      <c r="P109" s="199">
        <f ca="1">AVERAGE(OFFSET(INDEX(tab_transfert200[Connecteur 3],1),COUNT(tab_transfert200[Connecteur 3])-30,0,30))+P$2+P$3</f>
        <v>201.63166666666669</v>
      </c>
      <c r="Q109" s="199">
        <f ca="1">AVERAGE(OFFSET(INDEX(tab_transfert200[Connecteur 4],1),COUNT(tab_transfert200[Connecteur 4])-30,0,30))+Q$2+Q$3</f>
        <v>201.63499999999999</v>
      </c>
      <c r="R109" s="199">
        <f ca="1">AVERAGE(OFFSET(INDEX(tab_transfert200[Connecteur 5],1),COUNT(tab_transfert200[Connecteur 5])-30,0,30))+R$2+R$3</f>
        <v>201.66466666666665</v>
      </c>
      <c r="S109" s="199">
        <f ca="1">AVERAGE(OFFSET(INDEX(tab_transfert200[Connecteur 6],1),COUNT(tab_transfert200[Connecteur 6])-30,0,30))+S$2+S$3</f>
        <v>202.44333333333333</v>
      </c>
      <c r="T109" s="199">
        <f ca="1">AVERAGE(OFFSET(INDEX(tab_transfert200[Connecteur 7],1),COUNT(tab_transfert200[Connecteur 7])-30,0,30))+T$2+T$3</f>
        <v>201.20366666666669</v>
      </c>
      <c r="U109" s="199">
        <f ca="1">AVERAGE(OFFSET(INDEX(tab_transfert200[Connecteur 8],1),COUNT(tab_transfert200[Connecteur 8])-30,0,30))+U$2+U$3</f>
        <v>201.77899999999997</v>
      </c>
      <c r="V109" s="199">
        <f ca="1">AVERAGE(OFFSET(INDEX(tab_transfert200[Connecteur 9],1),COUNT(tab_transfert200[Connecteur 9])-30,0,30))+V$2+V$3</f>
        <v>201.62733333333333</v>
      </c>
      <c r="W109" s="27"/>
      <c r="Z109" s="23"/>
    </row>
    <row r="110" spans="1:29" ht="15" customHeight="1" x14ac:dyDescent="0.25">
      <c r="A110" s="23"/>
      <c r="B110"/>
      <c r="C110"/>
      <c r="D110"/>
      <c r="E110"/>
      <c r="F110"/>
      <c r="G110"/>
      <c r="H110"/>
      <c r="I110"/>
      <c r="J110"/>
      <c r="K110" s="205"/>
      <c r="M110" s="92" t="s">
        <v>96</v>
      </c>
      <c r="N110" s="43">
        <f ca="1">N107-N108</f>
        <v>0.18999999999999773</v>
      </c>
      <c r="O110" s="43">
        <f t="shared" ref="O110:V110" ca="1" si="0">O107-O108</f>
        <v>0.22000000000002728</v>
      </c>
      <c r="P110" s="43">
        <f t="shared" ca="1" si="0"/>
        <v>0.16999999999998749</v>
      </c>
      <c r="Q110" s="43">
        <f t="shared" ca="1" si="0"/>
        <v>0.18000000000000682</v>
      </c>
      <c r="R110" s="43">
        <f t="shared" ca="1" si="0"/>
        <v>0.37999999999999545</v>
      </c>
      <c r="S110" s="43">
        <f t="shared" ca="1" si="0"/>
        <v>0.31000000000000227</v>
      </c>
      <c r="T110" s="43">
        <f t="shared" ca="1" si="0"/>
        <v>0.18000000000000682</v>
      </c>
      <c r="U110" s="43">
        <f t="shared" ca="1" si="0"/>
        <v>0.23999999999998067</v>
      </c>
      <c r="V110" s="43">
        <f t="shared" ca="1" si="0"/>
        <v>0.20999999999997954</v>
      </c>
      <c r="W110" s="27"/>
      <c r="Z110" s="23"/>
    </row>
    <row r="111" spans="1:29" ht="15" customHeight="1" x14ac:dyDescent="0.25">
      <c r="A111" s="23"/>
      <c r="B111"/>
      <c r="C111"/>
      <c r="D111"/>
      <c r="E111"/>
      <c r="F111"/>
      <c r="G111"/>
      <c r="H111"/>
      <c r="I111"/>
      <c r="J111"/>
      <c r="K111" s="205"/>
      <c r="M111" s="92" t="s">
        <v>97</v>
      </c>
      <c r="N111" s="376">
        <f ca="1">ABS(MAX(N107:V107) - MIN(N108:V108))</f>
        <v>1.4899999999999807</v>
      </c>
      <c r="O111" s="376"/>
      <c r="P111" s="376"/>
      <c r="Q111" s="376"/>
      <c r="R111" s="376"/>
      <c r="S111" s="376"/>
      <c r="T111" s="376"/>
      <c r="U111" s="376"/>
      <c r="V111" s="376"/>
      <c r="W111" s="44">
        <f ca="1">N111</f>
        <v>1.4899999999999807</v>
      </c>
      <c r="Z111" s="23"/>
    </row>
    <row r="112" spans="1:29" ht="15" customHeight="1" x14ac:dyDescent="0.25">
      <c r="A112" s="23"/>
      <c r="B112"/>
      <c r="C112"/>
      <c r="D112"/>
      <c r="E112"/>
      <c r="F112"/>
      <c r="G112"/>
      <c r="H112"/>
      <c r="I112"/>
      <c r="J112"/>
      <c r="K112" s="205"/>
      <c r="M112" s="92" t="s">
        <v>98</v>
      </c>
      <c r="N112" s="376">
        <f ca="1">AVERAGE(N109:V109)</f>
        <v>201.71533333333335</v>
      </c>
      <c r="O112" s="376"/>
      <c r="P112" s="376"/>
      <c r="Q112" s="376"/>
      <c r="R112" s="376"/>
      <c r="S112" s="376"/>
      <c r="T112" s="376"/>
      <c r="U112" s="376"/>
      <c r="V112" s="376"/>
      <c r="W112" s="44">
        <f ca="1">N112</f>
        <v>201.71533333333335</v>
      </c>
      <c r="Z112" s="23"/>
    </row>
    <row r="113" spans="1:26" ht="15" customHeight="1" x14ac:dyDescent="0.25">
      <c r="A113" s="23"/>
      <c r="B113"/>
      <c r="C113"/>
      <c r="D113"/>
      <c r="E113"/>
      <c r="F113"/>
      <c r="G113"/>
      <c r="H113"/>
      <c r="I113"/>
      <c r="J113"/>
      <c r="K113" s="205"/>
      <c r="M113" s="197" t="s">
        <v>340</v>
      </c>
      <c r="N113" s="35" t="str" cm="1">
        <f t="array" ref="N113:V113">tab_transfert200[[#Headers],[Connecteur 1]:[Connecteur 9]]</f>
        <v>Connecteur 1</v>
      </c>
      <c r="O113" s="35" t="str">
        <v>Connecteur 2</v>
      </c>
      <c r="P113" s="35" t="str">
        <v>Connecteur 3</v>
      </c>
      <c r="Q113" s="35" t="str">
        <v>Connecteur 4</v>
      </c>
      <c r="R113" s="35" t="str">
        <v>Connecteur 5</v>
      </c>
      <c r="S113" s="35" t="str">
        <v>Connecteur 6</v>
      </c>
      <c r="T113" s="35" t="str">
        <v>Connecteur 7</v>
      </c>
      <c r="U113" s="35" t="str">
        <v>Connecteur 8</v>
      </c>
      <c r="V113" s="35" t="str">
        <v>Connecteur 9</v>
      </c>
      <c r="W113" s="27"/>
      <c r="Z113" s="23"/>
    </row>
    <row r="114" spans="1:26" ht="15" customHeight="1" x14ac:dyDescent="0.25">
      <c r="A114" s="23"/>
      <c r="B114"/>
      <c r="C114"/>
      <c r="D114"/>
      <c r="E114"/>
      <c r="F114"/>
      <c r="G114"/>
      <c r="H114"/>
      <c r="I114"/>
      <c r="J114"/>
      <c r="K114" s="205"/>
      <c r="M114" s="194" t="s">
        <v>339</v>
      </c>
      <c r="N114" s="196">
        <f ca="1">_xlfn.STDEV.S(OFFSET(INDEX(tab_transfert200[Connecteur 1],1),COUNT(tab_transfert200[Connecteur 1])-30,0,30))</f>
        <v>5.0332229568470929E-2</v>
      </c>
      <c r="O114" s="196">
        <f ca="1">_xlfn.STDEV.S(OFFSET(INDEX(tab_transfert200[Connecteur 2],1),COUNT(tab_transfert200[Connecteur 2])-30,0,30))</f>
        <v>5.5584666702373914E-2</v>
      </c>
      <c r="P114" s="196">
        <f ca="1">_xlfn.STDEV.S(OFFSET(INDEX(tab_transfert200[Connecteur 3],1),COUNT(tab_transfert200[Connecteur 3])-30,0,30))</f>
        <v>4.426279930482116E-2</v>
      </c>
      <c r="Q114" s="196">
        <f ca="1">_xlfn.STDEV.S(OFFSET(INDEX(tab_transfert200[Connecteur 4],1),COUNT(tab_transfert200[Connecteur 4])-30,0,30))</f>
        <v>5.0973285768813742E-2</v>
      </c>
      <c r="R114" s="196">
        <f ca="1">_xlfn.STDEV.S(OFFSET(INDEX(tab_transfert200[Connecteur 5],1),COUNT(tab_transfert200[Connecteur 5])-30,0,30))</f>
        <v>7.8553005751809346E-2</v>
      </c>
      <c r="S114" s="196">
        <f ca="1">_xlfn.STDEV.S(OFFSET(INDEX(tab_transfert200[Connecteur 6],1),COUNT(tab_transfert200[Connecteur 6])-30,0,30))</f>
        <v>6.5407651842427805E-2</v>
      </c>
      <c r="T114" s="196">
        <f ca="1">_xlfn.STDEV.S(OFFSET(INDEX(tab_transfert200[Connecteur 7],1),COUNT(tab_transfert200[Connecteur 7])-30,0,30))</f>
        <v>4.6348256920194286E-2</v>
      </c>
      <c r="U114" s="196">
        <f ca="1">_xlfn.STDEV.S(OFFSET(INDEX(tab_transfert200[Connecteur 8],1),COUNT(tab_transfert200[Connecteur 8])-30,0,30))</f>
        <v>5.9616591071901058E-2</v>
      </c>
      <c r="V114" s="196">
        <f ca="1">_xlfn.STDEV.S(OFFSET(INDEX(tab_transfert200[Connecteur 9],1),COUNT(tab_transfert200[Connecteur 9])-30,0,30))</f>
        <v>4.7989462444863643E-2</v>
      </c>
      <c r="W114" s="195">
        <f ca="1">MAX(N114:V114)</f>
        <v>7.8553005751809346E-2</v>
      </c>
      <c r="Z114" s="23"/>
    </row>
    <row r="115" spans="1:26" ht="15" customHeight="1" x14ac:dyDescent="0.25">
      <c r="A115" s="23"/>
      <c r="B115"/>
      <c r="C115"/>
      <c r="D115"/>
      <c r="E115"/>
      <c r="F115"/>
      <c r="G115"/>
      <c r="H115"/>
      <c r="I115"/>
      <c r="J115"/>
      <c r="K115" s="205"/>
      <c r="N115" s="27"/>
      <c r="O115" s="27"/>
      <c r="P115" s="27"/>
      <c r="Q115" s="27"/>
      <c r="R115" s="27"/>
      <c r="S115" s="27"/>
      <c r="T115" s="27"/>
      <c r="U115" s="27"/>
      <c r="V115" s="27"/>
      <c r="W115" s="27"/>
      <c r="Z115" s="23"/>
    </row>
    <row r="116" spans="1:26" ht="15" customHeight="1" x14ac:dyDescent="0.25">
      <c r="A116" s="23"/>
      <c r="B116"/>
      <c r="C116"/>
      <c r="D116"/>
      <c r="E116"/>
      <c r="F116"/>
      <c r="G116"/>
      <c r="H116"/>
      <c r="I116"/>
      <c r="J116"/>
      <c r="K116" s="205"/>
      <c r="M116" s="194" t="s">
        <v>338</v>
      </c>
      <c r="N116" s="193">
        <f ca="1">W107-(OFFSET(INDEX(tab_four200[Consigne T°],1),COUNT(tab_four200[Consigne T°])-30,0,1))</f>
        <v>2.6099999999999852</v>
      </c>
      <c r="O116" s="27"/>
      <c r="P116" s="27"/>
      <c r="Q116" s="27"/>
      <c r="R116" s="27"/>
      <c r="S116" s="27"/>
      <c r="T116" s="27"/>
      <c r="U116" s="27"/>
      <c r="V116" s="27"/>
      <c r="W116" s="27"/>
      <c r="Z116" s="23"/>
    </row>
    <row r="117" spans="1:26" ht="15" customHeight="1" x14ac:dyDescent="0.25">
      <c r="A117" s="23"/>
      <c r="B117"/>
      <c r="C117"/>
      <c r="D117"/>
      <c r="E117"/>
      <c r="F117"/>
      <c r="G117"/>
      <c r="H117"/>
      <c r="I117"/>
      <c r="J117"/>
      <c r="K117" s="205"/>
      <c r="M117" s="194" t="s">
        <v>337</v>
      </c>
      <c r="N117" s="193">
        <f ca="1">W108-(OFFSET(INDEX(tab_four200[Consigne T°],1),COUNT(tab_four200[Consigne T°])-30,0,1))</f>
        <v>1.1200000000000045</v>
      </c>
      <c r="O117" s="27"/>
      <c r="P117" s="27"/>
      <c r="Q117" s="27"/>
      <c r="R117" s="27"/>
      <c r="S117" s="27"/>
      <c r="T117" s="27"/>
      <c r="U117" s="27"/>
      <c r="V117" s="27"/>
      <c r="W117" s="27"/>
      <c r="Z117" s="23"/>
    </row>
    <row r="118" spans="1:26" ht="15" customHeight="1" x14ac:dyDescent="0.25">
      <c r="A118" s="23"/>
      <c r="B118"/>
      <c r="C118"/>
      <c r="D118"/>
      <c r="E118"/>
      <c r="F118"/>
      <c r="G118"/>
      <c r="H118"/>
      <c r="I118"/>
      <c r="J118"/>
      <c r="K118" s="205"/>
      <c r="N118" s="27"/>
      <c r="O118" s="27"/>
      <c r="P118" s="27"/>
      <c r="Q118" s="27"/>
      <c r="R118" s="27"/>
      <c r="S118" s="27"/>
      <c r="T118" s="27"/>
      <c r="U118" s="27"/>
      <c r="V118" s="27"/>
      <c r="W118" s="27"/>
      <c r="Z118" s="23"/>
    </row>
    <row r="119" spans="1:26" ht="15" customHeight="1" x14ac:dyDescent="0.25">
      <c r="A119" s="23"/>
      <c r="B119"/>
      <c r="C119"/>
      <c r="D119"/>
      <c r="E119"/>
      <c r="F119"/>
      <c r="G119"/>
      <c r="H119"/>
      <c r="I119"/>
      <c r="J119"/>
      <c r="K119" s="205"/>
      <c r="Z119" s="23"/>
    </row>
    <row r="120" spans="1:26" ht="15" customHeight="1" x14ac:dyDescent="0.25">
      <c r="A120" s="23"/>
      <c r="B120"/>
      <c r="C120"/>
      <c r="D120"/>
      <c r="E120"/>
      <c r="F120"/>
      <c r="G120"/>
      <c r="H120"/>
      <c r="I120"/>
      <c r="J120"/>
      <c r="K120" s="205"/>
      <c r="Z120" s="23"/>
    </row>
    <row r="121" spans="1:26" ht="15" customHeight="1" x14ac:dyDescent="0.25">
      <c r="A121" s="23"/>
      <c r="B121"/>
      <c r="C121"/>
      <c r="D121"/>
      <c r="E121"/>
      <c r="F121"/>
      <c r="G121"/>
      <c r="H121"/>
      <c r="I121"/>
      <c r="J121"/>
      <c r="K121" s="205"/>
      <c r="Z121" s="23"/>
    </row>
    <row r="122" spans="1:26" ht="15" customHeight="1" x14ac:dyDescent="0.25">
      <c r="A122" s="23"/>
      <c r="B122"/>
      <c r="C122"/>
      <c r="D122"/>
      <c r="E122"/>
      <c r="F122"/>
      <c r="G122"/>
      <c r="H122"/>
      <c r="I122"/>
      <c r="J122"/>
      <c r="K122" s="205"/>
      <c r="Z122" s="23"/>
    </row>
    <row r="123" spans="1:26" ht="15" customHeight="1" x14ac:dyDescent="0.25">
      <c r="A123" s="23"/>
      <c r="B123"/>
      <c r="C123"/>
      <c r="D123"/>
      <c r="E123"/>
      <c r="F123"/>
      <c r="G123"/>
      <c r="H123"/>
      <c r="I123"/>
      <c r="J123"/>
      <c r="K123" s="205"/>
      <c r="Z123" s="23"/>
    </row>
    <row r="124" spans="1:26" ht="15" customHeight="1" x14ac:dyDescent="0.25">
      <c r="A124" s="23"/>
      <c r="B124"/>
      <c r="C124"/>
      <c r="D124"/>
      <c r="E124"/>
      <c r="F124"/>
      <c r="G124"/>
      <c r="H124"/>
      <c r="I124"/>
      <c r="J124"/>
      <c r="K124" s="205"/>
      <c r="Z124" s="23"/>
    </row>
    <row r="125" spans="1:26" ht="15" customHeight="1" x14ac:dyDescent="0.25">
      <c r="A125" s="23"/>
      <c r="B125"/>
      <c r="C125"/>
      <c r="D125"/>
      <c r="E125"/>
      <c r="F125"/>
      <c r="G125"/>
      <c r="H125"/>
      <c r="I125"/>
      <c r="J125"/>
      <c r="K125" s="205"/>
      <c r="Z125" s="23"/>
    </row>
    <row r="126" spans="1:26" ht="15" customHeight="1" x14ac:dyDescent="0.25">
      <c r="A126" s="23"/>
      <c r="B126"/>
      <c r="C126"/>
      <c r="D126"/>
      <c r="E126"/>
      <c r="F126"/>
      <c r="G126"/>
      <c r="H126"/>
      <c r="I126"/>
      <c r="J126"/>
      <c r="K126" s="205"/>
      <c r="Z126" s="23"/>
    </row>
    <row r="127" spans="1:26" ht="15" customHeight="1" x14ac:dyDescent="0.25">
      <c r="A127" s="23"/>
      <c r="B127"/>
      <c r="C127"/>
      <c r="D127"/>
      <c r="E127"/>
      <c r="F127"/>
      <c r="G127"/>
      <c r="H127"/>
      <c r="I127"/>
      <c r="J127"/>
      <c r="K127" s="205"/>
      <c r="Z127" s="23"/>
    </row>
    <row r="128" spans="1:26" ht="15" customHeight="1" x14ac:dyDescent="0.25">
      <c r="A128" s="23"/>
      <c r="B128"/>
      <c r="C128"/>
      <c r="D128"/>
      <c r="E128"/>
      <c r="F128"/>
      <c r="G128"/>
      <c r="H128"/>
      <c r="I128"/>
      <c r="J128"/>
      <c r="K128" s="205"/>
      <c r="Z128" s="23"/>
    </row>
    <row r="129" spans="1:26" ht="15" customHeight="1" x14ac:dyDescent="0.25">
      <c r="A129" s="23"/>
      <c r="B129"/>
      <c r="C129"/>
      <c r="D129"/>
      <c r="E129"/>
      <c r="F129"/>
      <c r="G129"/>
      <c r="H129"/>
      <c r="I129"/>
      <c r="J129"/>
      <c r="K129" s="205"/>
      <c r="Z129" s="23"/>
    </row>
    <row r="130" spans="1:26" ht="15" customHeight="1" x14ac:dyDescent="0.25">
      <c r="A130" s="23"/>
      <c r="B130"/>
      <c r="C130"/>
      <c r="D130"/>
      <c r="E130"/>
      <c r="F130"/>
      <c r="G130"/>
      <c r="H130"/>
      <c r="I130"/>
      <c r="J130"/>
      <c r="K130" s="205"/>
      <c r="Z130" s="23"/>
    </row>
    <row r="131" spans="1:26" ht="15" customHeight="1" x14ac:dyDescent="0.25">
      <c r="A131" s="23"/>
      <c r="B131"/>
      <c r="C131"/>
      <c r="D131"/>
      <c r="E131"/>
      <c r="F131"/>
      <c r="G131"/>
      <c r="H131"/>
      <c r="I131"/>
      <c r="J131"/>
      <c r="K131" s="205"/>
      <c r="Z131" s="23"/>
    </row>
    <row r="132" spans="1:26" ht="15" customHeight="1" x14ac:dyDescent="0.25">
      <c r="A132" s="23"/>
      <c r="B132"/>
      <c r="C132"/>
      <c r="D132"/>
      <c r="E132"/>
      <c r="F132"/>
      <c r="G132"/>
      <c r="H132"/>
      <c r="I132"/>
      <c r="J132"/>
      <c r="K132" s="205"/>
      <c r="Z132" s="23"/>
    </row>
    <row r="133" spans="1:26" ht="15" customHeight="1" x14ac:dyDescent="0.25">
      <c r="A133" s="23"/>
      <c r="B133"/>
      <c r="C133"/>
      <c r="D133"/>
      <c r="E133"/>
      <c r="F133"/>
      <c r="G133"/>
      <c r="H133"/>
      <c r="I133"/>
      <c r="J133"/>
      <c r="K133" s="205"/>
      <c r="Z133" s="23"/>
    </row>
    <row r="134" spans="1:26" ht="15" customHeight="1" x14ac:dyDescent="0.25">
      <c r="A134" s="23"/>
      <c r="B134"/>
      <c r="C134"/>
      <c r="D134"/>
      <c r="E134"/>
      <c r="F134"/>
      <c r="G134"/>
      <c r="H134"/>
      <c r="I134"/>
      <c r="J134"/>
      <c r="K134" s="205"/>
      <c r="Z134" s="23"/>
    </row>
    <row r="135" spans="1:26" ht="15" customHeight="1" x14ac:dyDescent="0.25">
      <c r="A135" s="23"/>
      <c r="B135"/>
      <c r="C135"/>
      <c r="D135"/>
      <c r="E135"/>
      <c r="F135"/>
      <c r="G135"/>
      <c r="H135"/>
      <c r="I135"/>
      <c r="J135"/>
      <c r="K135" s="205"/>
      <c r="Z135" s="23"/>
    </row>
    <row r="136" spans="1:26" ht="15" customHeight="1" x14ac:dyDescent="0.25">
      <c r="A136" s="23"/>
      <c r="B136"/>
      <c r="C136"/>
      <c r="D136"/>
      <c r="E136"/>
      <c r="F136"/>
      <c r="G136"/>
      <c r="H136"/>
      <c r="I136"/>
      <c r="J136"/>
      <c r="K136" s="205"/>
      <c r="Z136" s="23"/>
    </row>
    <row r="137" spans="1:26" ht="15" customHeight="1" x14ac:dyDescent="0.25">
      <c r="A137" s="23"/>
      <c r="B137"/>
      <c r="C137"/>
      <c r="D137"/>
      <c r="E137"/>
      <c r="F137"/>
      <c r="G137"/>
      <c r="H137"/>
      <c r="I137"/>
      <c r="J137"/>
      <c r="K137" s="205"/>
      <c r="Z137" s="23"/>
    </row>
    <row r="138" spans="1:26" ht="15" customHeight="1" x14ac:dyDescent="0.25">
      <c r="A138" s="23"/>
      <c r="B138"/>
      <c r="C138"/>
      <c r="D138"/>
      <c r="E138"/>
      <c r="F138"/>
      <c r="G138"/>
      <c r="H138"/>
      <c r="I138"/>
      <c r="J138"/>
      <c r="K138" s="205"/>
      <c r="Z138" s="23"/>
    </row>
    <row r="139" spans="1:26" ht="15" customHeight="1" x14ac:dyDescent="0.25">
      <c r="A139" s="23"/>
      <c r="B139"/>
      <c r="C139"/>
      <c r="D139"/>
      <c r="E139"/>
      <c r="F139"/>
      <c r="G139"/>
      <c r="H139"/>
      <c r="I139"/>
      <c r="J139"/>
      <c r="K139" s="205"/>
      <c r="Z139" s="23"/>
    </row>
    <row r="140" spans="1:26" ht="15" customHeight="1" x14ac:dyDescent="0.25">
      <c r="A140" s="23"/>
      <c r="B140"/>
      <c r="C140"/>
      <c r="D140"/>
      <c r="E140"/>
      <c r="F140"/>
      <c r="G140"/>
      <c r="H140"/>
      <c r="I140"/>
      <c r="J140"/>
      <c r="K140" s="205"/>
      <c r="Z140" s="23"/>
    </row>
    <row r="141" spans="1:26" ht="15" customHeight="1" x14ac:dyDescent="0.25">
      <c r="A141" s="23"/>
      <c r="B141"/>
      <c r="C141"/>
      <c r="D141"/>
      <c r="E141"/>
      <c r="F141"/>
      <c r="G141"/>
      <c r="H141"/>
      <c r="I141"/>
      <c r="J141"/>
      <c r="K141" s="205"/>
      <c r="Z141" s="23"/>
    </row>
    <row r="142" spans="1:26" ht="15" customHeight="1" x14ac:dyDescent="0.25">
      <c r="A142" s="23"/>
      <c r="B142"/>
      <c r="C142"/>
      <c r="D142"/>
      <c r="E142"/>
      <c r="F142"/>
      <c r="G142"/>
      <c r="H142"/>
      <c r="I142"/>
      <c r="J142"/>
      <c r="K142" s="205"/>
      <c r="Z142" s="23"/>
    </row>
    <row r="143" spans="1:26" ht="15" customHeight="1" x14ac:dyDescent="0.25">
      <c r="A143" s="23"/>
      <c r="B143"/>
      <c r="C143"/>
      <c r="D143"/>
      <c r="E143"/>
      <c r="F143"/>
      <c r="G143"/>
      <c r="H143"/>
      <c r="I143"/>
      <c r="J143"/>
      <c r="K143" s="205"/>
      <c r="Z143" s="23"/>
    </row>
    <row r="144" spans="1:26" ht="15" customHeight="1" x14ac:dyDescent="0.25">
      <c r="A144" s="23"/>
      <c r="B144"/>
      <c r="C144"/>
      <c r="D144"/>
      <c r="E144"/>
      <c r="F144"/>
      <c r="G144"/>
      <c r="H144"/>
      <c r="I144"/>
      <c r="J144"/>
      <c r="K144" s="205"/>
      <c r="Z144" s="23"/>
    </row>
    <row r="145" spans="1:26" ht="15" customHeight="1" x14ac:dyDescent="0.25">
      <c r="A145" s="23"/>
      <c r="B145"/>
      <c r="C145"/>
      <c r="D145"/>
      <c r="E145"/>
      <c r="F145"/>
      <c r="G145"/>
      <c r="H145"/>
      <c r="I145"/>
      <c r="J145"/>
      <c r="K145" s="205"/>
      <c r="Z145" s="23"/>
    </row>
    <row r="146" spans="1:26" ht="15" customHeight="1" x14ac:dyDescent="0.25">
      <c r="A146" s="23"/>
      <c r="B146"/>
      <c r="C146"/>
      <c r="D146"/>
      <c r="E146"/>
      <c r="F146"/>
      <c r="G146"/>
      <c r="H146"/>
      <c r="I146"/>
      <c r="J146"/>
      <c r="K146" s="205"/>
      <c r="Z146" s="23"/>
    </row>
    <row r="147" spans="1:26" ht="15" customHeight="1" x14ac:dyDescent="0.25">
      <c r="A147" s="23"/>
      <c r="B147"/>
      <c r="C147"/>
      <c r="D147"/>
      <c r="E147"/>
      <c r="F147"/>
      <c r="G147"/>
      <c r="H147"/>
      <c r="I147"/>
      <c r="J147"/>
      <c r="K147" s="205"/>
      <c r="Z147" s="23"/>
    </row>
    <row r="148" spans="1:26" ht="15" customHeight="1" x14ac:dyDescent="0.25">
      <c r="A148" s="23"/>
      <c r="B148"/>
      <c r="C148"/>
      <c r="D148"/>
      <c r="E148"/>
      <c r="F148"/>
      <c r="G148"/>
      <c r="H148"/>
      <c r="I148"/>
      <c r="J148"/>
      <c r="K148" s="205"/>
      <c r="Z148" s="23"/>
    </row>
    <row r="149" spans="1:26" ht="15" customHeight="1" x14ac:dyDescent="0.25">
      <c r="A149" s="23"/>
      <c r="B149"/>
      <c r="C149"/>
      <c r="D149"/>
      <c r="E149"/>
      <c r="F149"/>
      <c r="G149"/>
      <c r="H149"/>
      <c r="I149"/>
      <c r="J149"/>
      <c r="K149" s="205"/>
      <c r="Z149" s="23"/>
    </row>
    <row r="150" spans="1:26" ht="15" customHeight="1" x14ac:dyDescent="0.25">
      <c r="A150" s="23"/>
      <c r="B150"/>
      <c r="C150"/>
      <c r="D150"/>
      <c r="E150"/>
      <c r="F150"/>
      <c r="G150"/>
      <c r="H150"/>
      <c r="I150"/>
      <c r="J150"/>
      <c r="K150" s="205"/>
      <c r="Z150" s="23"/>
    </row>
    <row r="151" spans="1:26" ht="15" customHeight="1" x14ac:dyDescent="0.25">
      <c r="A151" s="23"/>
      <c r="B151"/>
      <c r="C151"/>
      <c r="D151"/>
      <c r="E151"/>
      <c r="F151"/>
      <c r="G151"/>
      <c r="H151"/>
      <c r="I151"/>
      <c r="J151"/>
      <c r="K151" s="205"/>
      <c r="Z151" s="23"/>
    </row>
    <row r="152" spans="1:26" ht="15" customHeight="1" x14ac:dyDescent="0.25">
      <c r="A152" s="23"/>
      <c r="B152"/>
      <c r="C152"/>
      <c r="D152"/>
      <c r="E152"/>
      <c r="F152"/>
      <c r="G152"/>
      <c r="H152"/>
      <c r="I152"/>
      <c r="J152"/>
      <c r="K152" s="205"/>
      <c r="Z152" s="23"/>
    </row>
    <row r="153" spans="1:26" ht="15" customHeight="1" x14ac:dyDescent="0.25">
      <c r="A153" s="23"/>
      <c r="B153"/>
      <c r="C153"/>
      <c r="D153"/>
      <c r="E153"/>
      <c r="F153"/>
      <c r="G153"/>
      <c r="H153"/>
      <c r="I153"/>
      <c r="J153"/>
      <c r="K153" s="205"/>
      <c r="Z153" s="23"/>
    </row>
    <row r="154" spans="1:26" ht="15" customHeight="1" x14ac:dyDescent="0.25">
      <c r="A154" s="23"/>
      <c r="B154"/>
      <c r="C154"/>
      <c r="D154"/>
      <c r="E154"/>
      <c r="F154"/>
      <c r="G154"/>
      <c r="H154"/>
      <c r="I154"/>
      <c r="J154"/>
      <c r="K154" s="205"/>
      <c r="Z154" s="23"/>
    </row>
    <row r="155" spans="1:26" ht="15" customHeight="1" x14ac:dyDescent="0.25">
      <c r="A155" s="23"/>
      <c r="B155"/>
      <c r="C155"/>
      <c r="D155"/>
      <c r="E155"/>
      <c r="F155"/>
      <c r="G155"/>
      <c r="H155"/>
      <c r="I155"/>
      <c r="J155"/>
      <c r="K155" s="205"/>
      <c r="Z155" s="23"/>
    </row>
    <row r="156" spans="1:26" ht="15" customHeight="1" x14ac:dyDescent="0.25">
      <c r="A156" s="23"/>
      <c r="B156"/>
      <c r="C156"/>
      <c r="D156"/>
      <c r="E156"/>
      <c r="F156"/>
      <c r="G156"/>
      <c r="H156"/>
      <c r="I156"/>
      <c r="J156"/>
      <c r="K156" s="205"/>
      <c r="Z156" s="23"/>
    </row>
    <row r="157" spans="1:26" ht="15" customHeight="1" x14ac:dyDescent="0.25">
      <c r="A157" s="23"/>
      <c r="B157"/>
      <c r="C157"/>
      <c r="D157"/>
      <c r="E157"/>
      <c r="F157"/>
      <c r="G157"/>
      <c r="H157"/>
      <c r="I157"/>
      <c r="J157"/>
      <c r="K157" s="205"/>
      <c r="Z157" s="23"/>
    </row>
    <row r="158" spans="1:26" ht="15" customHeight="1" x14ac:dyDescent="0.25">
      <c r="A158" s="23"/>
      <c r="B158"/>
      <c r="C158"/>
      <c r="D158"/>
      <c r="E158"/>
      <c r="F158"/>
      <c r="G158"/>
      <c r="H158"/>
      <c r="I158"/>
      <c r="J158"/>
      <c r="K158" s="205"/>
      <c r="Z158" s="23"/>
    </row>
    <row r="159" spans="1:26" ht="15" customHeight="1" x14ac:dyDescent="0.25">
      <c r="A159" s="23"/>
      <c r="B159"/>
      <c r="C159"/>
      <c r="D159"/>
      <c r="E159"/>
      <c r="F159"/>
      <c r="G159"/>
      <c r="H159"/>
      <c r="I159"/>
      <c r="J159"/>
      <c r="K159" s="205"/>
      <c r="Z159" s="23"/>
    </row>
    <row r="160" spans="1:26" ht="15" customHeight="1" x14ac:dyDescent="0.25">
      <c r="A160" s="23"/>
      <c r="B160"/>
      <c r="C160"/>
      <c r="D160"/>
      <c r="E160"/>
      <c r="F160"/>
      <c r="G160"/>
      <c r="H160"/>
      <c r="I160"/>
      <c r="J160"/>
      <c r="K160" s="205"/>
      <c r="Z160" s="23"/>
    </row>
    <row r="161" spans="1:26" ht="15" customHeight="1" x14ac:dyDescent="0.25">
      <c r="A161" s="23"/>
      <c r="B161"/>
      <c r="C161"/>
      <c r="D161"/>
      <c r="E161"/>
      <c r="F161"/>
      <c r="G161"/>
      <c r="H161"/>
      <c r="I161"/>
      <c r="J161"/>
      <c r="K161" s="205"/>
      <c r="Z161" s="23"/>
    </row>
    <row r="162" spans="1:26" ht="15" customHeight="1" x14ac:dyDescent="0.25">
      <c r="A162" s="23"/>
      <c r="B162"/>
      <c r="C162"/>
      <c r="D162"/>
      <c r="E162"/>
      <c r="F162"/>
      <c r="G162"/>
      <c r="H162"/>
      <c r="I162"/>
      <c r="J162"/>
      <c r="K162" s="205"/>
      <c r="Z162" s="23"/>
    </row>
    <row r="163" spans="1:26" ht="15" customHeight="1" x14ac:dyDescent="0.25">
      <c r="A163" s="23"/>
      <c r="B163"/>
      <c r="C163"/>
      <c r="D163"/>
      <c r="E163"/>
      <c r="F163"/>
      <c r="G163"/>
      <c r="H163"/>
      <c r="I163"/>
      <c r="J163"/>
      <c r="K163" s="205"/>
      <c r="Z163" s="23"/>
    </row>
    <row r="164" spans="1:26" ht="15" customHeight="1" x14ac:dyDescent="0.25">
      <c r="A164" s="23"/>
      <c r="B164"/>
      <c r="C164"/>
      <c r="D164"/>
      <c r="E164"/>
      <c r="F164"/>
      <c r="G164"/>
      <c r="H164"/>
      <c r="I164"/>
      <c r="J164"/>
      <c r="K164" s="205"/>
      <c r="Z164" s="23"/>
    </row>
    <row r="165" spans="1:26" ht="15" customHeight="1" x14ac:dyDescent="0.25">
      <c r="A165" s="23"/>
      <c r="B165"/>
      <c r="C165"/>
      <c r="D165"/>
      <c r="E165"/>
      <c r="F165"/>
      <c r="G165"/>
      <c r="H165"/>
      <c r="I165"/>
      <c r="J165"/>
      <c r="K165" s="205"/>
      <c r="Z165" s="23"/>
    </row>
    <row r="166" spans="1:26" ht="15" customHeight="1" x14ac:dyDescent="0.25">
      <c r="A166" s="23"/>
      <c r="B166"/>
      <c r="C166"/>
      <c r="D166"/>
      <c r="E166"/>
      <c r="F166"/>
      <c r="G166"/>
      <c r="H166"/>
      <c r="I166"/>
      <c r="J166"/>
      <c r="K166" s="205"/>
      <c r="Z166" s="23"/>
    </row>
    <row r="167" spans="1:26" ht="15" customHeight="1" x14ac:dyDescent="0.25">
      <c r="A167" s="23"/>
      <c r="B167"/>
      <c r="C167"/>
      <c r="D167"/>
      <c r="E167"/>
      <c r="F167"/>
      <c r="G167"/>
      <c r="H167"/>
      <c r="I167"/>
      <c r="J167"/>
      <c r="K167" s="205"/>
      <c r="Z167" s="23"/>
    </row>
    <row r="168" spans="1:26" ht="15" customHeight="1" x14ac:dyDescent="0.25">
      <c r="A168" s="23"/>
      <c r="B168"/>
      <c r="C168"/>
      <c r="D168"/>
      <c r="E168"/>
      <c r="F168"/>
      <c r="G168"/>
      <c r="H168"/>
      <c r="I168"/>
      <c r="J168"/>
      <c r="K168" s="205"/>
      <c r="Z168" s="23"/>
    </row>
    <row r="169" spans="1:26" ht="15" customHeight="1" x14ac:dyDescent="0.25">
      <c r="A169" s="23"/>
      <c r="B169"/>
      <c r="C169"/>
      <c r="D169"/>
      <c r="E169"/>
      <c r="F169"/>
      <c r="G169"/>
      <c r="H169"/>
      <c r="I169"/>
      <c r="J169"/>
      <c r="K169" s="205"/>
      <c r="Z169" s="23"/>
    </row>
    <row r="170" spans="1:26" ht="15" customHeight="1" x14ac:dyDescent="0.25">
      <c r="A170" s="23"/>
      <c r="B170"/>
      <c r="C170"/>
      <c r="D170"/>
      <c r="E170"/>
      <c r="F170"/>
      <c r="G170"/>
      <c r="H170"/>
      <c r="I170"/>
      <c r="J170"/>
      <c r="K170" s="205"/>
      <c r="Z170" s="23"/>
    </row>
    <row r="171" spans="1:26" ht="15" customHeight="1" x14ac:dyDescent="0.25">
      <c r="A171" s="23"/>
      <c r="B171"/>
      <c r="C171"/>
      <c r="D171"/>
      <c r="E171"/>
      <c r="F171"/>
      <c r="G171"/>
      <c r="H171"/>
      <c r="I171"/>
      <c r="J171"/>
      <c r="K171" s="205"/>
      <c r="Z171" s="23"/>
    </row>
    <row r="172" spans="1:26" ht="15" customHeight="1" x14ac:dyDescent="0.25">
      <c r="A172" s="23"/>
      <c r="B172"/>
      <c r="C172"/>
      <c r="D172"/>
      <c r="E172"/>
      <c r="F172"/>
      <c r="G172"/>
      <c r="H172"/>
      <c r="I172"/>
      <c r="J172"/>
      <c r="K172" s="205"/>
      <c r="Z172" s="23"/>
    </row>
    <row r="173" spans="1:26" ht="15" customHeight="1" x14ac:dyDescent="0.25">
      <c r="A173" s="23"/>
      <c r="B173"/>
      <c r="C173"/>
      <c r="D173"/>
      <c r="E173"/>
      <c r="F173"/>
      <c r="G173"/>
      <c r="H173"/>
      <c r="I173"/>
      <c r="J173"/>
      <c r="K173" s="205"/>
      <c r="Z173" s="23"/>
    </row>
    <row r="174" spans="1:26" ht="15" customHeight="1" x14ac:dyDescent="0.25">
      <c r="A174" s="23"/>
      <c r="B174"/>
      <c r="C174"/>
      <c r="D174"/>
      <c r="E174"/>
      <c r="F174"/>
      <c r="G174"/>
      <c r="H174"/>
      <c r="I174"/>
      <c r="J174"/>
      <c r="K174" s="205"/>
      <c r="Z174" s="23"/>
    </row>
    <row r="175" spans="1:26" ht="15" customHeight="1" x14ac:dyDescent="0.25">
      <c r="A175" s="23"/>
      <c r="B175"/>
      <c r="C175"/>
      <c r="D175"/>
      <c r="E175"/>
      <c r="F175"/>
      <c r="G175"/>
      <c r="H175"/>
      <c r="I175"/>
      <c r="J175"/>
      <c r="K175" s="205"/>
      <c r="Z175" s="23"/>
    </row>
    <row r="176" spans="1:26" ht="15" customHeight="1" x14ac:dyDescent="0.25">
      <c r="A176" s="23"/>
      <c r="B176"/>
      <c r="C176"/>
      <c r="D176"/>
      <c r="E176"/>
      <c r="F176"/>
      <c r="G176"/>
      <c r="H176"/>
      <c r="I176"/>
      <c r="J176"/>
      <c r="K176" s="205"/>
      <c r="Z176" s="23"/>
    </row>
    <row r="177" spans="1:26" ht="15" customHeight="1" x14ac:dyDescent="0.25">
      <c r="A177" s="23"/>
      <c r="B177"/>
      <c r="C177"/>
      <c r="D177"/>
      <c r="E177"/>
      <c r="F177"/>
      <c r="G177"/>
      <c r="H177"/>
      <c r="I177"/>
      <c r="J177"/>
      <c r="K177" s="205"/>
      <c r="Z177" s="23"/>
    </row>
    <row r="178" spans="1:26" ht="15" customHeight="1" x14ac:dyDescent="0.25">
      <c r="A178" s="23"/>
      <c r="B178"/>
      <c r="C178"/>
      <c r="D178"/>
      <c r="E178"/>
      <c r="F178"/>
      <c r="G178"/>
      <c r="H178"/>
      <c r="I178"/>
      <c r="J178"/>
      <c r="K178" s="205"/>
      <c r="Z178" s="23"/>
    </row>
    <row r="179" spans="1:26" ht="15" customHeight="1" x14ac:dyDescent="0.25">
      <c r="A179" s="23"/>
      <c r="B179"/>
      <c r="C179"/>
      <c r="D179"/>
      <c r="E179"/>
      <c r="F179"/>
      <c r="G179"/>
      <c r="H179"/>
      <c r="I179"/>
      <c r="J179"/>
      <c r="K179" s="205"/>
      <c r="Z179" s="23"/>
    </row>
    <row r="180" spans="1:26" ht="15" customHeight="1" x14ac:dyDescent="0.25">
      <c r="A180" s="23"/>
      <c r="B180"/>
      <c r="C180"/>
      <c r="D180"/>
      <c r="E180"/>
      <c r="F180"/>
      <c r="G180"/>
      <c r="H180"/>
      <c r="I180"/>
      <c r="J180"/>
      <c r="K180" s="205"/>
      <c r="Z180" s="23"/>
    </row>
    <row r="181" spans="1:26" ht="15" customHeight="1" x14ac:dyDescent="0.25">
      <c r="A181" s="23"/>
      <c r="B181"/>
      <c r="C181"/>
      <c r="D181"/>
      <c r="E181"/>
      <c r="F181"/>
      <c r="G181"/>
      <c r="H181"/>
      <c r="I181"/>
      <c r="J181"/>
      <c r="K181" s="205"/>
      <c r="Z181" s="23"/>
    </row>
    <row r="182" spans="1:26" ht="15" customHeight="1" x14ac:dyDescent="0.25">
      <c r="A182" s="23"/>
      <c r="B182"/>
      <c r="C182"/>
      <c r="D182"/>
      <c r="E182"/>
      <c r="F182"/>
      <c r="G182"/>
      <c r="H182"/>
      <c r="I182"/>
      <c r="J182"/>
      <c r="K182" s="205"/>
      <c r="Z182" s="23"/>
    </row>
    <row r="183" spans="1:26" ht="15" customHeight="1" x14ac:dyDescent="0.25">
      <c r="A183" s="23"/>
      <c r="B183"/>
      <c r="C183"/>
      <c r="D183"/>
      <c r="E183"/>
      <c r="F183"/>
      <c r="G183"/>
      <c r="H183"/>
      <c r="I183"/>
      <c r="J183"/>
      <c r="K183" s="205"/>
      <c r="Z183" s="23"/>
    </row>
    <row r="184" spans="1:26" ht="15" customHeight="1" x14ac:dyDescent="0.25">
      <c r="A184" s="23"/>
      <c r="B184"/>
      <c r="C184"/>
      <c r="D184"/>
      <c r="E184"/>
      <c r="F184"/>
      <c r="G184"/>
      <c r="H184"/>
      <c r="I184"/>
      <c r="J184"/>
      <c r="K184" s="205"/>
      <c r="Z184" s="23"/>
    </row>
    <row r="185" spans="1:26" ht="15" customHeight="1" x14ac:dyDescent="0.25">
      <c r="A185" s="23"/>
      <c r="B185"/>
      <c r="C185"/>
      <c r="D185"/>
      <c r="E185"/>
      <c r="F185"/>
      <c r="G185"/>
      <c r="H185"/>
      <c r="I185"/>
      <c r="J185"/>
      <c r="K185" s="205"/>
      <c r="Z185" s="23"/>
    </row>
    <row r="186" spans="1:26" ht="15" customHeight="1" x14ac:dyDescent="0.25">
      <c r="A186" s="23"/>
      <c r="B186"/>
      <c r="C186"/>
      <c r="D186"/>
      <c r="E186"/>
      <c r="F186"/>
      <c r="G186"/>
      <c r="H186"/>
      <c r="I186"/>
      <c r="J186"/>
      <c r="K186" s="205"/>
      <c r="Z186" s="23"/>
    </row>
    <row r="187" spans="1:26" ht="15" customHeight="1" x14ac:dyDescent="0.25">
      <c r="A187" s="23"/>
      <c r="B187"/>
      <c r="C187"/>
      <c r="D187"/>
      <c r="E187"/>
      <c r="F187"/>
      <c r="G187"/>
      <c r="H187"/>
      <c r="I187"/>
      <c r="J187"/>
      <c r="K187" s="205"/>
      <c r="Z187" s="23"/>
    </row>
    <row r="188" spans="1:26" ht="15" customHeight="1" x14ac:dyDescent="0.25">
      <c r="A188" s="23"/>
      <c r="B188"/>
      <c r="C188"/>
      <c r="D188"/>
      <c r="E188"/>
      <c r="F188"/>
      <c r="G188"/>
      <c r="H188"/>
      <c r="I188"/>
      <c r="J188"/>
      <c r="K188" s="205"/>
      <c r="Z188" s="23"/>
    </row>
    <row r="189" spans="1:26" ht="15" customHeight="1" x14ac:dyDescent="0.25">
      <c r="A189" s="23"/>
      <c r="B189"/>
      <c r="C189"/>
      <c r="D189"/>
      <c r="E189"/>
      <c r="F189"/>
      <c r="G189"/>
      <c r="H189"/>
      <c r="I189"/>
      <c r="J189"/>
      <c r="K189" s="205"/>
      <c r="Z189" s="23"/>
    </row>
    <row r="190" spans="1:26" ht="15" customHeight="1" x14ac:dyDescent="0.25">
      <c r="A190" s="23"/>
      <c r="B190"/>
      <c r="C190"/>
      <c r="D190"/>
      <c r="E190"/>
      <c r="F190"/>
      <c r="G190"/>
      <c r="H190"/>
      <c r="I190"/>
      <c r="J190"/>
      <c r="K190" s="205"/>
      <c r="Z190" s="23"/>
    </row>
    <row r="191" spans="1:26" ht="15" customHeight="1" x14ac:dyDescent="0.25">
      <c r="A191" s="23"/>
      <c r="B191"/>
      <c r="C191"/>
      <c r="D191"/>
      <c r="E191"/>
      <c r="F191"/>
      <c r="G191"/>
      <c r="H191"/>
      <c r="I191"/>
      <c r="J191"/>
      <c r="K191" s="205"/>
      <c r="Z191" s="23"/>
    </row>
    <row r="192" spans="1:26" ht="15" customHeight="1" x14ac:dyDescent="0.25">
      <c r="A192" s="23"/>
      <c r="B192"/>
      <c r="C192"/>
      <c r="D192"/>
      <c r="E192"/>
      <c r="F192"/>
      <c r="G192"/>
      <c r="H192"/>
      <c r="I192"/>
      <c r="J192"/>
      <c r="K192" s="205"/>
      <c r="Z192" s="23"/>
    </row>
    <row r="193" spans="1:29" ht="15" customHeight="1" x14ac:dyDescent="0.25">
      <c r="A193" s="23"/>
      <c r="B193"/>
      <c r="C193"/>
      <c r="D193"/>
      <c r="E193"/>
      <c r="F193"/>
      <c r="G193"/>
      <c r="H193"/>
      <c r="I193"/>
      <c r="J193"/>
      <c r="K193" s="205"/>
      <c r="Z193" s="23"/>
    </row>
    <row r="194" spans="1:29" ht="14.45" customHeight="1" x14ac:dyDescent="0.25">
      <c r="A194" s="23"/>
      <c r="B194"/>
      <c r="C194"/>
      <c r="D194"/>
      <c r="E194"/>
      <c r="F194"/>
      <c r="G194"/>
      <c r="H194"/>
      <c r="I194"/>
      <c r="J194"/>
      <c r="K194" s="205"/>
      <c r="Z194" s="23"/>
    </row>
    <row r="195" spans="1:29" x14ac:dyDescent="0.25">
      <c r="A195" s="146"/>
      <c r="B195" s="146"/>
      <c r="C195" s="146"/>
      <c r="D195" s="146"/>
      <c r="E195" s="146"/>
      <c r="F195" s="146"/>
      <c r="G195" s="146"/>
      <c r="H195" s="146"/>
      <c r="I195" s="146"/>
      <c r="J195" s="146"/>
      <c r="K195" s="146"/>
      <c r="L195" s="146"/>
      <c r="X195" s="146"/>
      <c r="Y195" s="146"/>
      <c r="Z195" s="146"/>
      <c r="AA195" s="146"/>
      <c r="AB195" s="146"/>
      <c r="AC195" s="146"/>
    </row>
    <row r="196" spans="1:29" x14ac:dyDescent="0.25">
      <c r="A196" s="23"/>
      <c r="B196"/>
      <c r="C196"/>
      <c r="D196"/>
      <c r="E196"/>
      <c r="F196"/>
      <c r="G196"/>
      <c r="H196"/>
      <c r="I196"/>
      <c r="J196"/>
      <c r="X196" s="27"/>
      <c r="Z196" s="23"/>
      <c r="AA196" s="202" t="str" cm="1">
        <f t="array" ref="AA196:AC196">AA6:AC6</f>
        <v>Pt Froid</v>
      </c>
      <c r="AB196" s="202" t="str">
        <v>Regulation</v>
      </c>
      <c r="AC196" s="202" t="str">
        <v>Pt Chaud</v>
      </c>
    </row>
    <row r="197" spans="1:29" x14ac:dyDescent="0.25">
      <c r="A197" s="23"/>
      <c r="B197"/>
      <c r="C197"/>
      <c r="D197"/>
      <c r="E197"/>
      <c r="F197"/>
      <c r="G197"/>
      <c r="H197"/>
      <c r="I197"/>
      <c r="J197"/>
      <c r="X197" s="27"/>
      <c r="Z197" s="198" t="s">
        <v>90</v>
      </c>
      <c r="AA197" s="43">
        <f>MAX(tab_four200[Pt Froid])</f>
        <v>202.3</v>
      </c>
      <c r="AB197" s="43">
        <f>MAX(tab_four200[Regulation])</f>
        <v>200.5</v>
      </c>
      <c r="AC197" s="43">
        <f>MAX(tab_four200[Pt Chaud])</f>
        <v>202.8</v>
      </c>
    </row>
    <row r="198" spans="1:29" x14ac:dyDescent="0.25">
      <c r="A198" s="23"/>
      <c r="B198"/>
      <c r="C198"/>
      <c r="D198"/>
      <c r="E198"/>
      <c r="F198"/>
      <c r="G198"/>
      <c r="H198"/>
      <c r="I198"/>
      <c r="J198"/>
      <c r="X198" s="27"/>
      <c r="Z198" s="198" t="s">
        <v>91</v>
      </c>
      <c r="AA198" s="43">
        <f ca="1">MAX(OFFSET(INDEX(tab_four200[Pt Froid],1),COUNT(tab_four200[Pt Froid])-30,0,30))</f>
        <v>200.9</v>
      </c>
      <c r="AB198" s="43">
        <f ca="1">MAX(OFFSET(INDEX(tab_four200[Regulation],1),COUNT(tab_four200[Regulation])-30,0,30))</f>
        <v>200.1</v>
      </c>
      <c r="AC198" s="43">
        <f ca="1">MAX(OFFSET(INDEX(tab_four200[Pt Chaud],1),COUNT(tab_four200[Pt Chaud])-30,0,30))</f>
        <v>202.1</v>
      </c>
    </row>
    <row r="199" spans="1:29" x14ac:dyDescent="0.25">
      <c r="A199" s="23"/>
      <c r="B199"/>
      <c r="C199"/>
      <c r="D199"/>
      <c r="E199"/>
      <c r="F199"/>
      <c r="G199"/>
      <c r="H199"/>
      <c r="I199"/>
      <c r="J199"/>
      <c r="X199" s="27"/>
      <c r="Z199" s="198" t="s">
        <v>93</v>
      </c>
      <c r="AA199" s="43">
        <f ca="1">MIN(OFFSET(INDEX(tab_four200[Pt Froid],1),COUNT(tab_four200[Pt Froid])-30,0,30))</f>
        <v>200.6</v>
      </c>
      <c r="AB199" s="43">
        <f ca="1">MIN(OFFSET(INDEX(tab_four200[Regulation],1),COUNT(tab_four200[Regulation])-30,0,30))</f>
        <v>200</v>
      </c>
      <c r="AC199" s="43">
        <f ca="1">MIN(OFFSET(INDEX(tab_four200[Pt Chaud],1),COUNT(tab_four200[Pt Chaud])-30,0,30))</f>
        <v>201.9</v>
      </c>
    </row>
    <row r="200" spans="1:29" x14ac:dyDescent="0.25">
      <c r="A200" s="23"/>
      <c r="B200"/>
      <c r="C200"/>
      <c r="D200"/>
      <c r="E200"/>
      <c r="F200"/>
      <c r="G200"/>
      <c r="H200"/>
      <c r="I200"/>
      <c r="J200"/>
      <c r="X200" s="27"/>
      <c r="Z200" s="198" t="s">
        <v>95</v>
      </c>
      <c r="AA200" s="43">
        <f ca="1">AVERAGE(OFFSET(INDEX(tab_four200[Pt Froid],1),COUNT(tab_four200[Pt Froid])-30,0,30))</f>
        <v>200.71666666666664</v>
      </c>
      <c r="AB200" s="43">
        <f ca="1">AVERAGE(OFFSET(INDEX(tab_four200[Regulation],1),COUNT(tab_four200[Regulation])-30,0,30))</f>
        <v>200.02333333333337</v>
      </c>
      <c r="AC200" s="43">
        <f ca="1">AVERAGE(OFFSET(INDEX(tab_four200[Pt Chaud],1),COUNT(tab_four200[Pt Chaud])-30,0,30))</f>
        <v>201.9733333333333</v>
      </c>
    </row>
    <row r="201" spans="1:29" x14ac:dyDescent="0.25">
      <c r="A201" s="23"/>
      <c r="B201"/>
      <c r="C201"/>
      <c r="D201"/>
      <c r="E201"/>
      <c r="F201"/>
      <c r="G201"/>
      <c r="H201"/>
      <c r="I201"/>
      <c r="J201"/>
      <c r="X201" s="27"/>
    </row>
    <row r="202" spans="1:29" x14ac:dyDescent="0.25">
      <c r="A202" s="23"/>
      <c r="B202"/>
      <c r="C202"/>
      <c r="D202"/>
      <c r="E202"/>
      <c r="F202"/>
      <c r="G202"/>
      <c r="H202"/>
      <c r="I202"/>
      <c r="J202"/>
      <c r="X202" s="27"/>
      <c r="Z202" s="23"/>
    </row>
    <row r="203" spans="1:29" x14ac:dyDescent="0.25">
      <c r="A203" s="23"/>
      <c r="B203"/>
      <c r="C203"/>
      <c r="D203"/>
      <c r="E203"/>
      <c r="F203"/>
      <c r="G203"/>
      <c r="H203"/>
      <c r="I203"/>
      <c r="J203"/>
      <c r="X203" s="27"/>
      <c r="Z203" s="23"/>
    </row>
    <row r="204" spans="1:29" x14ac:dyDescent="0.25">
      <c r="A204" s="23"/>
      <c r="B204"/>
      <c r="C204"/>
      <c r="D204"/>
      <c r="E204"/>
      <c r="F204"/>
      <c r="G204"/>
      <c r="H204"/>
      <c r="I204"/>
      <c r="J204"/>
      <c r="X204" s="27"/>
      <c r="Z204" s="23"/>
    </row>
    <row r="205" spans="1:29" x14ac:dyDescent="0.25">
      <c r="X205" s="27"/>
      <c r="Z205" s="23"/>
    </row>
    <row r="206" spans="1:29" x14ac:dyDescent="0.25">
      <c r="Z206" s="23"/>
    </row>
    <row r="214" spans="8:8" x14ac:dyDescent="0.25">
      <c r="H214"/>
    </row>
    <row r="216" spans="8:8" x14ac:dyDescent="0.25">
      <c r="H216"/>
    </row>
  </sheetData>
  <sheetProtection algorithmName="SHA-512" hashValue="KOV4N/uhsRJE/ZqII59VvAZjFFwgAKfkA1HVrDFKvlIFTR7vXZBJIX4R2EXXJRwFcRWV1cjKngLm5e3/DCFMGQ==" saltValue="g2mZhzayA4BSN0e+46HeLA==" spinCount="100000" sheet="1" objects="1" scenarios="1"/>
  <mergeCells count="8">
    <mergeCell ref="A1:AC1"/>
    <mergeCell ref="A5:J5"/>
    <mergeCell ref="M5:V5"/>
    <mergeCell ref="N111:V111"/>
    <mergeCell ref="N112:V112"/>
    <mergeCell ref="A104:W104"/>
    <mergeCell ref="M74:M103"/>
    <mergeCell ref="M7:M73"/>
  </mergeCells>
  <conditionalFormatting sqref="N106:V106">
    <cfRule type="cellIs" dxfId="107" priority="6" operator="equal">
      <formula>$W$106</formula>
    </cfRule>
  </conditionalFormatting>
  <conditionalFormatting sqref="N107:V107">
    <cfRule type="cellIs" dxfId="106" priority="2" operator="equal">
      <formula>$W$107</formula>
    </cfRule>
    <cfRule type="cellIs" dxfId="105" priority="5" operator="equal">
      <formula>#REF!</formula>
    </cfRule>
  </conditionalFormatting>
  <conditionalFormatting sqref="N108:V108">
    <cfRule type="cellIs" dxfId="104" priority="1" operator="equal">
      <formula>$W$108</formula>
    </cfRule>
    <cfRule type="cellIs" dxfId="103" priority="3" operator="equal">
      <formula>#REF!</formula>
    </cfRule>
    <cfRule type="cellIs" dxfId="102" priority="4" operator="equal">
      <formula>#REF!</formula>
    </cfRule>
  </conditionalFormatting>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1D2B2-5905-483C-8D64-BE12F2FE8E88}">
  <sheetPr codeName="Feuil29">
    <tabColor rgb="FF002060"/>
  </sheetPr>
  <dimension ref="A1:AC247"/>
  <sheetViews>
    <sheetView zoomScaleNormal="100" workbookViewId="0">
      <selection activeCell="A5" sqref="A5:J5"/>
    </sheetView>
  </sheetViews>
  <sheetFormatPr baseColWidth="10" defaultRowHeight="15" x14ac:dyDescent="0.25"/>
  <cols>
    <col min="1" max="1" width="16.7109375" bestFit="1" customWidth="1"/>
    <col min="2" max="10" width="12.7109375" bestFit="1" customWidth="1"/>
    <col min="11" max="11" width="11" bestFit="1" customWidth="1"/>
    <col min="12" max="12" width="5.5703125" customWidth="1"/>
    <col min="13" max="13" width="19.28515625" bestFit="1" customWidth="1"/>
    <col min="14" max="22" width="12.7109375" bestFit="1" customWidth="1"/>
    <col min="23" max="23" width="10.7109375" customWidth="1"/>
    <col min="26" max="26" width="17.7109375" customWidth="1"/>
    <col min="27" max="27" width="8.7109375" customWidth="1"/>
    <col min="28" max="28" width="10.7109375" customWidth="1"/>
    <col min="29" max="29" width="9.7109375" customWidth="1"/>
  </cols>
  <sheetData>
    <row r="1" spans="1:29" ht="23.25" x14ac:dyDescent="0.35">
      <c r="A1" s="373" t="str">
        <f>Mesures_Four!F27</f>
        <v>385°C</v>
      </c>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row>
    <row r="2" spans="1:29" x14ac:dyDescent="0.25">
      <c r="A2" s="192"/>
      <c r="B2" s="27"/>
      <c r="C2" s="27"/>
      <c r="D2" s="27"/>
      <c r="E2" s="27"/>
      <c r="F2" s="27"/>
      <c r="G2" s="27"/>
      <c r="H2" s="27"/>
      <c r="I2" s="27"/>
      <c r="J2" s="27"/>
      <c r="K2" s="27"/>
      <c r="M2" s="212" t="s">
        <v>87</v>
      </c>
      <c r="N2" s="44">
        <f>Mesures_Four!F40</f>
        <v>0.3</v>
      </c>
      <c r="O2" s="44">
        <f>Mesures_Four!F41</f>
        <v>0.09</v>
      </c>
      <c r="P2" s="44">
        <f>Mesures_Four!F42</f>
        <v>0.22</v>
      </c>
      <c r="Q2" s="44">
        <f>Mesures_Four!F43</f>
        <v>0.27</v>
      </c>
      <c r="R2" s="44">
        <f>Mesures_Four!F44</f>
        <v>0.25</v>
      </c>
      <c r="S2" s="44">
        <f>Mesures_Four!F45</f>
        <v>0.28999999999999998</v>
      </c>
      <c r="T2" s="44">
        <f>Mesures_Four!F46</f>
        <v>0.15</v>
      </c>
      <c r="U2" s="44">
        <f>Mesures_Four!F47</f>
        <v>0.13</v>
      </c>
      <c r="V2" s="44">
        <f>Mesures_Four!F48</f>
        <v>0.25</v>
      </c>
      <c r="W2" s="159"/>
      <c r="X2" s="159"/>
      <c r="Y2" s="159"/>
    </row>
    <row r="3" spans="1:29" x14ac:dyDescent="0.25">
      <c r="A3" s="192"/>
      <c r="B3" s="27"/>
      <c r="C3" s="27"/>
      <c r="D3" s="27"/>
      <c r="E3" s="27"/>
      <c r="F3" s="27"/>
      <c r="G3" s="27"/>
      <c r="H3" s="27"/>
      <c r="I3" s="27"/>
      <c r="J3" s="27"/>
      <c r="K3" s="27"/>
      <c r="M3" s="212" t="s">
        <v>23</v>
      </c>
      <c r="N3" s="44">
        <f>Mesures_Four!F28</f>
        <v>0.25</v>
      </c>
      <c r="O3" s="44">
        <f>Mesures_Four!F29</f>
        <v>0.25</v>
      </c>
      <c r="P3" s="44">
        <f>Mesures_Four!F30</f>
        <v>0.25</v>
      </c>
      <c r="Q3" s="44">
        <f>Mesures_Four!F31</f>
        <v>0.25</v>
      </c>
      <c r="R3" s="44">
        <f>Mesures_Four!F32</f>
        <v>0.25</v>
      </c>
      <c r="S3" s="44">
        <f>Mesures_Four!F33</f>
        <v>0.25</v>
      </c>
      <c r="T3" s="44">
        <f>Mesures_Four!F34</f>
        <v>0.25</v>
      </c>
      <c r="U3" s="44">
        <f>Mesures_Four!F35</f>
        <v>0.25</v>
      </c>
      <c r="V3" s="44">
        <f>Mesures_Four!F36</f>
        <v>0.25</v>
      </c>
      <c r="W3" s="159"/>
      <c r="X3" s="159"/>
      <c r="Y3" s="159"/>
    </row>
    <row r="4" spans="1:29" x14ac:dyDescent="0.25">
      <c r="A4" s="192"/>
      <c r="B4" s="27"/>
      <c r="C4" s="27"/>
      <c r="D4" s="27"/>
      <c r="E4" s="27"/>
      <c r="F4" s="27"/>
      <c r="G4" s="27"/>
      <c r="H4" s="27"/>
      <c r="I4" s="27"/>
      <c r="J4" s="27"/>
      <c r="K4" s="27"/>
      <c r="M4" s="23"/>
      <c r="N4" s="211"/>
      <c r="O4" s="211"/>
      <c r="P4" s="211"/>
      <c r="Q4" s="211"/>
      <c r="R4" s="211"/>
      <c r="S4" s="211"/>
      <c r="T4" s="211"/>
      <c r="U4" s="211"/>
      <c r="V4" s="211"/>
      <c r="W4" s="159"/>
      <c r="X4" s="159"/>
      <c r="Y4" s="159"/>
    </row>
    <row r="5" spans="1:29" x14ac:dyDescent="0.25">
      <c r="A5" s="375" t="s">
        <v>344</v>
      </c>
      <c r="B5" s="375"/>
      <c r="C5" s="375"/>
      <c r="D5" s="375"/>
      <c r="E5" s="375"/>
      <c r="F5" s="375"/>
      <c r="G5" s="375"/>
      <c r="H5" s="375"/>
      <c r="I5" s="375"/>
      <c r="J5" s="375"/>
      <c r="K5" s="27"/>
      <c r="M5" s="375" t="s">
        <v>88</v>
      </c>
      <c r="N5" s="375"/>
      <c r="O5" s="375"/>
      <c r="P5" s="375"/>
      <c r="Q5" s="375"/>
      <c r="R5" s="375"/>
      <c r="S5" s="375"/>
      <c r="T5" s="375"/>
      <c r="U5" s="375"/>
      <c r="V5" s="375"/>
      <c r="Z5" s="210"/>
    </row>
    <row r="6" spans="1:29" x14ac:dyDescent="0.25">
      <c r="A6" s="209" t="str" cm="1">
        <f t="array" ref="A6:J66">tab_transfert385[#All]</f>
        <v>Date/Heure</v>
      </c>
      <c r="B6" s="208" t="str">
        <v>Connecteur 1</v>
      </c>
      <c r="C6" s="208" t="str">
        <v>Connecteur 2</v>
      </c>
      <c r="D6" s="208" t="str">
        <v>Connecteur 3</v>
      </c>
      <c r="E6" s="208" t="str">
        <v>Connecteur 4</v>
      </c>
      <c r="F6" s="208" t="str">
        <v>Connecteur 5</v>
      </c>
      <c r="G6" s="208" t="str">
        <v>Connecteur 6</v>
      </c>
      <c r="H6" s="208" t="str">
        <v>Connecteur 7</v>
      </c>
      <c r="I6" s="208" t="str">
        <v>Connecteur 8</v>
      </c>
      <c r="J6" s="208" t="str">
        <v>Connecteur 9</v>
      </c>
      <c r="K6" s="208" t="s">
        <v>343</v>
      </c>
      <c r="N6" s="207" t="str" cm="1">
        <f t="array" ref="N6:V6">tab_transfert385[[#Headers],[Connecteur 1]:[Connecteur 9]]</f>
        <v>Connecteur 1</v>
      </c>
      <c r="O6" s="207" t="str">
        <v>Connecteur 2</v>
      </c>
      <c r="P6" s="207" t="str">
        <v>Connecteur 3</v>
      </c>
      <c r="Q6" s="207" t="str">
        <v>Connecteur 4</v>
      </c>
      <c r="R6" s="207" t="str">
        <v>Connecteur 5</v>
      </c>
      <c r="S6" s="207" t="str">
        <v>Connecteur 6</v>
      </c>
      <c r="T6" s="207" t="str">
        <v>Connecteur 7</v>
      </c>
      <c r="U6" s="207" t="str">
        <v>Connecteur 8</v>
      </c>
      <c r="V6" s="207" t="str">
        <v>Connecteur 9</v>
      </c>
      <c r="W6" s="207" t="str" cm="1">
        <f t="array" ref="W6:W66">tab_four385[[#All],[Consigne T°]]</f>
        <v>Consigne T°</v>
      </c>
      <c r="Z6" s="202" t="str" cm="1">
        <f t="array" ref="Z6:AC66">tab_four385[[#All],[Date/Heure]:[Pt Chaud]]</f>
        <v>Date/Heure</v>
      </c>
      <c r="AA6" s="202" t="str">
        <v>Pt Froid</v>
      </c>
      <c r="AB6" s="202" t="str">
        <v>Regulation</v>
      </c>
      <c r="AC6" s="202" t="str">
        <v>Pt Chaud</v>
      </c>
    </row>
    <row r="7" spans="1:29" ht="14.45" customHeight="1" x14ac:dyDescent="0.25">
      <c r="A7" s="23" t="str">
        <v>13/02/2024  05:25</v>
      </c>
      <c r="B7">
        <v>343.14</v>
      </c>
      <c r="C7">
        <v>341.83</v>
      </c>
      <c r="D7">
        <v>340.21</v>
      </c>
      <c r="E7">
        <v>344.7</v>
      </c>
      <c r="F7">
        <v>344.75</v>
      </c>
      <c r="G7">
        <v>348.01</v>
      </c>
      <c r="H7">
        <v>335.86</v>
      </c>
      <c r="I7">
        <v>347.94</v>
      </c>
      <c r="J7">
        <v>343.69</v>
      </c>
      <c r="K7" s="205"/>
      <c r="M7" s="378" t="s">
        <v>342</v>
      </c>
      <c r="N7" s="206" cm="1">
        <f t="array" ref="N7:V66">tab_transfert385[[Connecteur 1]:[Connecteur 9]]+N2:V2+N3:V3</f>
        <v>343.69</v>
      </c>
      <c r="O7" s="206">
        <v>342.16999999999996</v>
      </c>
      <c r="P7" s="206">
        <v>340.68</v>
      </c>
      <c r="Q7" s="206">
        <v>345.21999999999997</v>
      </c>
      <c r="R7" s="206">
        <v>345.25</v>
      </c>
      <c r="S7" s="206">
        <v>348.55</v>
      </c>
      <c r="T7" s="206">
        <v>336.26</v>
      </c>
      <c r="U7" s="206">
        <v>348.32</v>
      </c>
      <c r="V7" s="206">
        <v>344.19</v>
      </c>
      <c r="W7" s="203">
        <v>385</v>
      </c>
      <c r="Z7" s="23" t="str">
        <v>13/02/2024  05:25</v>
      </c>
      <c r="AA7">
        <v>342.7</v>
      </c>
      <c r="AB7">
        <v>336</v>
      </c>
      <c r="AC7">
        <v>338.9</v>
      </c>
    </row>
    <row r="8" spans="1:29" ht="14.45" customHeight="1" x14ac:dyDescent="0.25">
      <c r="A8" s="23" t="str">
        <v>13/02/2024  05:26</v>
      </c>
      <c r="B8">
        <v>346.21</v>
      </c>
      <c r="C8">
        <v>345.27</v>
      </c>
      <c r="D8">
        <v>343.37</v>
      </c>
      <c r="E8">
        <v>347.75</v>
      </c>
      <c r="F8">
        <v>348.12</v>
      </c>
      <c r="G8">
        <v>351</v>
      </c>
      <c r="H8">
        <v>338.91</v>
      </c>
      <c r="I8">
        <v>350.98</v>
      </c>
      <c r="J8">
        <v>346.84</v>
      </c>
      <c r="K8" s="205"/>
      <c r="M8" s="378"/>
      <c r="N8" s="206">
        <v>346.76</v>
      </c>
      <c r="O8" s="206">
        <v>345.60999999999996</v>
      </c>
      <c r="P8" s="206">
        <v>343.84000000000003</v>
      </c>
      <c r="Q8" s="206">
        <v>348.27</v>
      </c>
      <c r="R8" s="206">
        <v>348.62</v>
      </c>
      <c r="S8" s="206">
        <v>351.54</v>
      </c>
      <c r="T8" s="206">
        <v>339.31</v>
      </c>
      <c r="U8" s="206">
        <v>351.36</v>
      </c>
      <c r="V8" s="206">
        <v>347.34</v>
      </c>
      <c r="W8" s="203">
        <v>385</v>
      </c>
      <c r="Z8" s="23" t="str">
        <v>13/02/2024  05:26</v>
      </c>
      <c r="AA8">
        <v>345.7</v>
      </c>
      <c r="AB8">
        <v>339.2</v>
      </c>
      <c r="AC8">
        <v>342.2</v>
      </c>
    </row>
    <row r="9" spans="1:29" ht="14.45" customHeight="1" x14ac:dyDescent="0.25">
      <c r="A9" s="23" t="str">
        <v>13/02/2024  05:27</v>
      </c>
      <c r="B9">
        <v>349.37</v>
      </c>
      <c r="C9">
        <v>348.13</v>
      </c>
      <c r="D9">
        <v>346.48</v>
      </c>
      <c r="E9">
        <v>350.94</v>
      </c>
      <c r="F9">
        <v>350.95</v>
      </c>
      <c r="G9">
        <v>354.16</v>
      </c>
      <c r="H9">
        <v>342.24</v>
      </c>
      <c r="I9">
        <v>354.22</v>
      </c>
      <c r="J9">
        <v>350.12</v>
      </c>
      <c r="K9" s="205"/>
      <c r="M9" s="378"/>
      <c r="N9" s="206">
        <v>349.92</v>
      </c>
      <c r="O9" s="206">
        <v>348.46999999999997</v>
      </c>
      <c r="P9" s="206">
        <v>346.95000000000005</v>
      </c>
      <c r="Q9" s="206">
        <v>351.46</v>
      </c>
      <c r="R9" s="206">
        <v>351.45</v>
      </c>
      <c r="S9" s="206">
        <v>354.70000000000005</v>
      </c>
      <c r="T9" s="206">
        <v>342.64</v>
      </c>
      <c r="U9" s="206">
        <v>354.6</v>
      </c>
      <c r="V9" s="206">
        <v>350.62</v>
      </c>
      <c r="W9" s="203">
        <v>385</v>
      </c>
      <c r="Z9" s="23" t="str">
        <v>13/02/2024  05:27</v>
      </c>
      <c r="AA9">
        <v>348.8</v>
      </c>
      <c r="AB9">
        <v>342.3</v>
      </c>
      <c r="AC9">
        <v>345.2</v>
      </c>
    </row>
    <row r="10" spans="1:29" ht="14.45" customHeight="1" x14ac:dyDescent="0.25">
      <c r="A10" s="23" t="str">
        <v>13/02/2024  05:28</v>
      </c>
      <c r="B10">
        <v>352.54</v>
      </c>
      <c r="C10">
        <v>351.35</v>
      </c>
      <c r="D10">
        <v>349.58</v>
      </c>
      <c r="E10">
        <v>353.99</v>
      </c>
      <c r="F10">
        <v>354.17</v>
      </c>
      <c r="G10">
        <v>357.07</v>
      </c>
      <c r="H10">
        <v>345.51</v>
      </c>
      <c r="I10">
        <v>357.16</v>
      </c>
      <c r="J10">
        <v>353.08</v>
      </c>
      <c r="K10" s="205"/>
      <c r="M10" s="378"/>
      <c r="N10" s="206">
        <v>353.09000000000003</v>
      </c>
      <c r="O10" s="206">
        <v>351.69</v>
      </c>
      <c r="P10" s="206">
        <v>350.05</v>
      </c>
      <c r="Q10" s="206">
        <v>354.51</v>
      </c>
      <c r="R10" s="206">
        <v>354.67</v>
      </c>
      <c r="S10" s="206">
        <v>357.61</v>
      </c>
      <c r="T10" s="206">
        <v>345.90999999999997</v>
      </c>
      <c r="U10" s="206">
        <v>357.54</v>
      </c>
      <c r="V10" s="206">
        <v>353.58</v>
      </c>
      <c r="W10" s="203">
        <v>385</v>
      </c>
      <c r="Z10" s="23" t="str">
        <v>13/02/2024  05:28</v>
      </c>
      <c r="AA10">
        <v>352</v>
      </c>
      <c r="AB10">
        <v>345.6</v>
      </c>
      <c r="AC10">
        <v>348.2</v>
      </c>
    </row>
    <row r="11" spans="1:29" ht="14.45" customHeight="1" x14ac:dyDescent="0.25">
      <c r="A11" s="23" t="str">
        <v>13/02/2024  05:29</v>
      </c>
      <c r="B11">
        <v>355.6</v>
      </c>
      <c r="C11">
        <v>354.24</v>
      </c>
      <c r="D11">
        <v>352.66</v>
      </c>
      <c r="E11">
        <v>357.01</v>
      </c>
      <c r="F11">
        <v>356.91</v>
      </c>
      <c r="G11">
        <v>360.28</v>
      </c>
      <c r="H11">
        <v>348.41</v>
      </c>
      <c r="I11">
        <v>360.14</v>
      </c>
      <c r="J11">
        <v>356.21</v>
      </c>
      <c r="K11" s="205"/>
      <c r="M11" s="378"/>
      <c r="N11" s="206">
        <v>356.15000000000003</v>
      </c>
      <c r="O11" s="206">
        <v>354.58</v>
      </c>
      <c r="P11" s="206">
        <v>353.13000000000005</v>
      </c>
      <c r="Q11" s="206">
        <v>357.53</v>
      </c>
      <c r="R11" s="206">
        <v>357.41</v>
      </c>
      <c r="S11" s="206">
        <v>360.82</v>
      </c>
      <c r="T11" s="206">
        <v>348.81</v>
      </c>
      <c r="U11" s="206">
        <v>360.52</v>
      </c>
      <c r="V11" s="206">
        <v>356.71</v>
      </c>
      <c r="W11" s="203">
        <v>385</v>
      </c>
      <c r="Z11" s="23" t="str">
        <v>13/02/2024  05:29</v>
      </c>
      <c r="AA11">
        <v>355</v>
      </c>
      <c r="AB11">
        <v>348.7</v>
      </c>
      <c r="AC11">
        <v>351.4</v>
      </c>
    </row>
    <row r="12" spans="1:29" ht="14.45" customHeight="1" x14ac:dyDescent="0.25">
      <c r="A12" s="23" t="str">
        <v>13/02/2024  05:30</v>
      </c>
      <c r="B12">
        <v>358.47</v>
      </c>
      <c r="C12">
        <v>357.05</v>
      </c>
      <c r="D12">
        <v>355.68</v>
      </c>
      <c r="E12">
        <v>359.97</v>
      </c>
      <c r="F12">
        <v>360.16</v>
      </c>
      <c r="G12">
        <v>363.32</v>
      </c>
      <c r="H12">
        <v>351.69</v>
      </c>
      <c r="I12">
        <v>363.13</v>
      </c>
      <c r="J12">
        <v>359.07</v>
      </c>
      <c r="K12" s="205"/>
      <c r="M12" s="378"/>
      <c r="N12" s="206">
        <v>359.02000000000004</v>
      </c>
      <c r="O12" s="206">
        <v>357.39</v>
      </c>
      <c r="P12" s="206">
        <v>356.15000000000003</v>
      </c>
      <c r="Q12" s="206">
        <v>360.49</v>
      </c>
      <c r="R12" s="206">
        <v>360.66</v>
      </c>
      <c r="S12" s="206">
        <v>363.86</v>
      </c>
      <c r="T12" s="206">
        <v>352.09</v>
      </c>
      <c r="U12" s="206">
        <v>363.51</v>
      </c>
      <c r="V12" s="206">
        <v>359.57</v>
      </c>
      <c r="W12" s="203">
        <v>385</v>
      </c>
      <c r="Z12" s="23" t="str">
        <v>13/02/2024  05:30</v>
      </c>
      <c r="AA12">
        <v>357.9</v>
      </c>
      <c r="AB12">
        <v>351.8</v>
      </c>
      <c r="AC12">
        <v>354.3</v>
      </c>
    </row>
    <row r="13" spans="1:29" ht="14.45" customHeight="1" x14ac:dyDescent="0.25">
      <c r="A13" s="23" t="str">
        <v>13/02/2024  05:31</v>
      </c>
      <c r="B13">
        <v>361.68</v>
      </c>
      <c r="C13">
        <v>360.17</v>
      </c>
      <c r="D13">
        <v>358.78</v>
      </c>
      <c r="E13">
        <v>363.09</v>
      </c>
      <c r="F13">
        <v>363.2</v>
      </c>
      <c r="G13">
        <v>366.18</v>
      </c>
      <c r="H13">
        <v>354.6</v>
      </c>
      <c r="I13">
        <v>366.06</v>
      </c>
      <c r="J13">
        <v>362.08</v>
      </c>
      <c r="K13" s="205"/>
      <c r="M13" s="378"/>
      <c r="N13" s="206">
        <v>362.23</v>
      </c>
      <c r="O13" s="206">
        <v>360.51</v>
      </c>
      <c r="P13" s="206">
        <v>359.25</v>
      </c>
      <c r="Q13" s="206">
        <v>363.60999999999996</v>
      </c>
      <c r="R13" s="206">
        <v>363.7</v>
      </c>
      <c r="S13" s="206">
        <v>366.72</v>
      </c>
      <c r="T13" s="206">
        <v>355</v>
      </c>
      <c r="U13" s="206">
        <v>366.44</v>
      </c>
      <c r="V13" s="206">
        <v>362.58</v>
      </c>
      <c r="W13" s="203">
        <v>385</v>
      </c>
      <c r="Z13" s="23" t="str">
        <v>13/02/2024  05:31</v>
      </c>
      <c r="AA13">
        <v>360.8</v>
      </c>
      <c r="AB13">
        <v>354.9</v>
      </c>
      <c r="AC13">
        <v>357.3</v>
      </c>
    </row>
    <row r="14" spans="1:29" ht="14.45" customHeight="1" x14ac:dyDescent="0.25">
      <c r="A14" s="23" t="str">
        <v>13/02/2024  05:32</v>
      </c>
      <c r="B14">
        <v>364.74</v>
      </c>
      <c r="C14">
        <v>363.23</v>
      </c>
      <c r="D14">
        <v>361.72</v>
      </c>
      <c r="E14">
        <v>365.83</v>
      </c>
      <c r="F14">
        <v>365.85</v>
      </c>
      <c r="G14">
        <v>369.07</v>
      </c>
      <c r="H14">
        <v>357.74</v>
      </c>
      <c r="I14">
        <v>369.13</v>
      </c>
      <c r="J14">
        <v>364.99</v>
      </c>
      <c r="K14" s="205"/>
      <c r="M14" s="378"/>
      <c r="N14" s="206">
        <v>365.29</v>
      </c>
      <c r="O14" s="206">
        <v>363.57</v>
      </c>
      <c r="P14" s="206">
        <v>362.19000000000005</v>
      </c>
      <c r="Q14" s="206">
        <v>366.34999999999997</v>
      </c>
      <c r="R14" s="206">
        <v>366.35</v>
      </c>
      <c r="S14" s="206">
        <v>369.61</v>
      </c>
      <c r="T14" s="206">
        <v>358.14</v>
      </c>
      <c r="U14" s="206">
        <v>369.51</v>
      </c>
      <c r="V14" s="206">
        <v>365.49</v>
      </c>
      <c r="W14" s="203">
        <v>385</v>
      </c>
      <c r="Z14" s="23" t="str">
        <v>13/02/2024  05:32</v>
      </c>
      <c r="AA14">
        <v>363.8</v>
      </c>
      <c r="AB14">
        <v>357.9</v>
      </c>
      <c r="AC14">
        <v>360.5</v>
      </c>
    </row>
    <row r="15" spans="1:29" ht="14.45" customHeight="1" x14ac:dyDescent="0.25">
      <c r="A15" s="23" t="str">
        <v>13/02/2024  05:33</v>
      </c>
      <c r="B15">
        <v>367.49</v>
      </c>
      <c r="C15">
        <v>365.93</v>
      </c>
      <c r="D15">
        <v>364.73</v>
      </c>
      <c r="E15">
        <v>368.91</v>
      </c>
      <c r="F15">
        <v>369.06</v>
      </c>
      <c r="G15">
        <v>372.09</v>
      </c>
      <c r="H15">
        <v>360.51</v>
      </c>
      <c r="I15">
        <v>371.95</v>
      </c>
      <c r="J15">
        <v>367.99</v>
      </c>
      <c r="K15" s="205"/>
      <c r="M15" s="378"/>
      <c r="N15" s="206">
        <v>368.04</v>
      </c>
      <c r="O15" s="206">
        <v>366.27</v>
      </c>
      <c r="P15" s="206">
        <v>365.20000000000005</v>
      </c>
      <c r="Q15" s="206">
        <v>369.43</v>
      </c>
      <c r="R15" s="206">
        <v>369.56</v>
      </c>
      <c r="S15" s="206">
        <v>372.63</v>
      </c>
      <c r="T15" s="206">
        <v>360.90999999999997</v>
      </c>
      <c r="U15" s="206">
        <v>372.33</v>
      </c>
      <c r="V15" s="206">
        <v>368.49</v>
      </c>
      <c r="W15" s="203">
        <v>385</v>
      </c>
      <c r="Z15" s="23" t="str">
        <v>13/02/2024  05:33</v>
      </c>
      <c r="AA15">
        <v>366.7</v>
      </c>
      <c r="AB15">
        <v>360.8</v>
      </c>
      <c r="AC15">
        <v>363.4</v>
      </c>
    </row>
    <row r="16" spans="1:29" ht="14.45" customHeight="1" x14ac:dyDescent="0.25">
      <c r="A16" s="23" t="str">
        <v>13/02/2024  05:34</v>
      </c>
      <c r="B16">
        <v>370.5</v>
      </c>
      <c r="C16">
        <v>369.05</v>
      </c>
      <c r="D16">
        <v>367.77</v>
      </c>
      <c r="E16">
        <v>371.8</v>
      </c>
      <c r="F16">
        <v>372.13</v>
      </c>
      <c r="G16">
        <v>375.03</v>
      </c>
      <c r="H16">
        <v>363.03</v>
      </c>
      <c r="I16">
        <v>374.93</v>
      </c>
      <c r="J16">
        <v>370.97</v>
      </c>
      <c r="K16" s="205"/>
      <c r="M16" s="378"/>
      <c r="N16" s="206">
        <v>371.05</v>
      </c>
      <c r="O16" s="206">
        <v>369.39</v>
      </c>
      <c r="P16" s="206">
        <v>368.24</v>
      </c>
      <c r="Q16" s="206">
        <v>372.32</v>
      </c>
      <c r="R16" s="206">
        <v>372.63</v>
      </c>
      <c r="S16" s="206">
        <v>375.57</v>
      </c>
      <c r="T16" s="206">
        <v>363.42999999999995</v>
      </c>
      <c r="U16" s="206">
        <v>375.31</v>
      </c>
      <c r="V16" s="206">
        <v>371.47</v>
      </c>
      <c r="W16" s="203">
        <v>385</v>
      </c>
      <c r="Z16" s="23" t="str">
        <v>13/02/2024  05:34</v>
      </c>
      <c r="AA16">
        <v>369.6</v>
      </c>
      <c r="AB16">
        <v>363.9</v>
      </c>
      <c r="AC16">
        <v>366.2</v>
      </c>
    </row>
    <row r="17" spans="1:29" ht="14.45" customHeight="1" x14ac:dyDescent="0.25">
      <c r="A17" s="23" t="str">
        <v>13/02/2024  05:35</v>
      </c>
      <c r="B17">
        <v>373.41</v>
      </c>
      <c r="C17">
        <v>371.79</v>
      </c>
      <c r="D17">
        <v>370.6</v>
      </c>
      <c r="E17">
        <v>374.65</v>
      </c>
      <c r="F17">
        <v>375.05</v>
      </c>
      <c r="G17">
        <v>377.77</v>
      </c>
      <c r="H17">
        <v>366.81</v>
      </c>
      <c r="I17">
        <v>377.71</v>
      </c>
      <c r="J17">
        <v>373.83</v>
      </c>
      <c r="K17" s="205"/>
      <c r="M17" s="378"/>
      <c r="N17" s="206">
        <v>373.96000000000004</v>
      </c>
      <c r="O17" s="206">
        <v>372.13</v>
      </c>
      <c r="P17" s="206">
        <v>371.07000000000005</v>
      </c>
      <c r="Q17" s="206">
        <v>375.16999999999996</v>
      </c>
      <c r="R17" s="206">
        <v>375.55</v>
      </c>
      <c r="S17" s="206">
        <v>378.31</v>
      </c>
      <c r="T17" s="206">
        <v>367.21</v>
      </c>
      <c r="U17" s="206">
        <v>378.09</v>
      </c>
      <c r="V17" s="206">
        <v>374.33</v>
      </c>
      <c r="W17" s="203">
        <v>385</v>
      </c>
      <c r="Z17" s="23" t="str">
        <v>13/02/2024  05:35</v>
      </c>
      <c r="AA17">
        <v>372.4</v>
      </c>
      <c r="AB17">
        <v>366.8</v>
      </c>
      <c r="AC17">
        <v>369</v>
      </c>
    </row>
    <row r="18" spans="1:29" ht="14.45" customHeight="1" x14ac:dyDescent="0.25">
      <c r="A18" s="23" t="str">
        <v>13/02/2024  05:36</v>
      </c>
      <c r="B18">
        <v>376.48</v>
      </c>
      <c r="C18">
        <v>374.77</v>
      </c>
      <c r="D18">
        <v>373.6</v>
      </c>
      <c r="E18">
        <v>377.61</v>
      </c>
      <c r="F18">
        <v>377.86</v>
      </c>
      <c r="G18">
        <v>380.84</v>
      </c>
      <c r="H18">
        <v>369.54</v>
      </c>
      <c r="I18">
        <v>380.7</v>
      </c>
      <c r="J18">
        <v>376.77</v>
      </c>
      <c r="K18" s="205"/>
      <c r="M18" s="378"/>
      <c r="N18" s="206">
        <v>377.03000000000003</v>
      </c>
      <c r="O18" s="206">
        <v>375.10999999999996</v>
      </c>
      <c r="P18" s="206">
        <v>374.07000000000005</v>
      </c>
      <c r="Q18" s="206">
        <v>378.13</v>
      </c>
      <c r="R18" s="206">
        <v>378.36</v>
      </c>
      <c r="S18" s="206">
        <v>381.38</v>
      </c>
      <c r="T18" s="206">
        <v>369.94</v>
      </c>
      <c r="U18" s="206">
        <v>381.08</v>
      </c>
      <c r="V18" s="206">
        <v>377.27</v>
      </c>
      <c r="W18" s="203">
        <v>385</v>
      </c>
      <c r="Z18" s="23" t="str">
        <v>13/02/2024  05:36</v>
      </c>
      <c r="AA18">
        <v>375.3</v>
      </c>
      <c r="AB18">
        <v>369.7</v>
      </c>
      <c r="AC18">
        <v>371.9</v>
      </c>
    </row>
    <row r="19" spans="1:29" ht="14.45" customHeight="1" x14ac:dyDescent="0.25">
      <c r="A19" s="23" t="str">
        <v>13/02/2024  05:37</v>
      </c>
      <c r="B19">
        <v>379.35</v>
      </c>
      <c r="C19">
        <v>378.01</v>
      </c>
      <c r="D19">
        <v>376.5</v>
      </c>
      <c r="E19">
        <v>380.55</v>
      </c>
      <c r="F19">
        <v>380.82</v>
      </c>
      <c r="G19">
        <v>383.55</v>
      </c>
      <c r="H19">
        <v>372.41</v>
      </c>
      <c r="I19">
        <v>383.68</v>
      </c>
      <c r="J19">
        <v>379.78</v>
      </c>
      <c r="K19" s="205"/>
      <c r="M19" s="378"/>
      <c r="N19" s="206">
        <v>379.90000000000003</v>
      </c>
      <c r="O19" s="206">
        <v>378.34999999999997</v>
      </c>
      <c r="P19" s="206">
        <v>376.97</v>
      </c>
      <c r="Q19" s="206">
        <v>381.07</v>
      </c>
      <c r="R19" s="206">
        <v>381.32</v>
      </c>
      <c r="S19" s="206">
        <v>384.09000000000003</v>
      </c>
      <c r="T19" s="206">
        <v>372.81</v>
      </c>
      <c r="U19" s="206">
        <v>384.06</v>
      </c>
      <c r="V19" s="206">
        <v>380.28</v>
      </c>
      <c r="W19" s="203">
        <v>385</v>
      </c>
      <c r="Z19" s="23" t="str">
        <v>13/02/2024  05:37</v>
      </c>
      <c r="AA19">
        <v>378.2</v>
      </c>
      <c r="AB19">
        <v>372.7</v>
      </c>
      <c r="AC19">
        <v>374.9</v>
      </c>
    </row>
    <row r="20" spans="1:29" ht="14.45" customHeight="1" x14ac:dyDescent="0.25">
      <c r="A20" s="23" t="str">
        <v>13/02/2024  05:38</v>
      </c>
      <c r="B20">
        <v>382.08</v>
      </c>
      <c r="C20">
        <v>380.64</v>
      </c>
      <c r="D20">
        <v>379.47</v>
      </c>
      <c r="E20">
        <v>383.33</v>
      </c>
      <c r="F20">
        <v>383.71</v>
      </c>
      <c r="G20">
        <v>386.47</v>
      </c>
      <c r="H20">
        <v>375.04</v>
      </c>
      <c r="I20">
        <v>386.34</v>
      </c>
      <c r="J20">
        <v>382.42</v>
      </c>
      <c r="K20" s="205"/>
      <c r="M20" s="378"/>
      <c r="N20" s="206">
        <v>382.63</v>
      </c>
      <c r="O20" s="206">
        <v>380.97999999999996</v>
      </c>
      <c r="P20" s="206">
        <v>379.94000000000005</v>
      </c>
      <c r="Q20" s="206">
        <v>383.84999999999997</v>
      </c>
      <c r="R20" s="206">
        <v>384.21</v>
      </c>
      <c r="S20" s="206">
        <v>387.01000000000005</v>
      </c>
      <c r="T20" s="206">
        <v>375.44</v>
      </c>
      <c r="U20" s="206">
        <v>386.71999999999997</v>
      </c>
      <c r="V20" s="206">
        <v>382.92</v>
      </c>
      <c r="W20" s="203">
        <v>385</v>
      </c>
      <c r="Z20" s="23" t="str">
        <v>13/02/2024  05:38</v>
      </c>
      <c r="AA20">
        <v>381</v>
      </c>
      <c r="AB20">
        <v>375.5</v>
      </c>
      <c r="AC20">
        <v>377.7</v>
      </c>
    </row>
    <row r="21" spans="1:29" ht="14.45" customHeight="1" x14ac:dyDescent="0.25">
      <c r="A21" s="23" t="str">
        <v>13/02/2024  05:39</v>
      </c>
      <c r="B21">
        <v>383.49</v>
      </c>
      <c r="C21">
        <v>382.27</v>
      </c>
      <c r="D21">
        <v>381.1</v>
      </c>
      <c r="E21">
        <v>384.61</v>
      </c>
      <c r="F21">
        <v>384.77</v>
      </c>
      <c r="G21">
        <v>387.62</v>
      </c>
      <c r="H21">
        <v>377.32</v>
      </c>
      <c r="I21">
        <v>387.38</v>
      </c>
      <c r="J21">
        <v>383.99</v>
      </c>
      <c r="K21" s="205"/>
      <c r="M21" s="378"/>
      <c r="N21" s="206">
        <v>384.04</v>
      </c>
      <c r="O21" s="206">
        <v>382.60999999999996</v>
      </c>
      <c r="P21" s="206">
        <v>381.57000000000005</v>
      </c>
      <c r="Q21" s="206">
        <v>385.13</v>
      </c>
      <c r="R21" s="206">
        <v>385.27</v>
      </c>
      <c r="S21" s="206">
        <v>388.16</v>
      </c>
      <c r="T21" s="206">
        <v>377.71999999999997</v>
      </c>
      <c r="U21" s="206">
        <v>387.76</v>
      </c>
      <c r="V21" s="206">
        <v>384.49</v>
      </c>
      <c r="W21" s="203">
        <v>385</v>
      </c>
      <c r="Z21" s="23" t="str">
        <v>13/02/2024  05:39</v>
      </c>
      <c r="AA21">
        <v>383.4</v>
      </c>
      <c r="AB21">
        <v>378.3</v>
      </c>
      <c r="AC21">
        <v>380.2</v>
      </c>
    </row>
    <row r="22" spans="1:29" ht="14.45" customHeight="1" x14ac:dyDescent="0.25">
      <c r="A22" s="23" t="str">
        <v>13/02/2024  05:40</v>
      </c>
      <c r="B22">
        <v>384.75</v>
      </c>
      <c r="C22">
        <v>383.57</v>
      </c>
      <c r="D22">
        <v>382.42</v>
      </c>
      <c r="E22">
        <v>385.61</v>
      </c>
      <c r="F22">
        <v>385.67</v>
      </c>
      <c r="G22">
        <v>388.58</v>
      </c>
      <c r="H22">
        <v>379.26</v>
      </c>
      <c r="I22">
        <v>388.14</v>
      </c>
      <c r="J22">
        <v>385.01</v>
      </c>
      <c r="K22" s="205"/>
      <c r="M22" s="378"/>
      <c r="N22" s="206">
        <v>385.3</v>
      </c>
      <c r="O22" s="206">
        <v>383.90999999999997</v>
      </c>
      <c r="P22" s="206">
        <v>382.89000000000004</v>
      </c>
      <c r="Q22" s="206">
        <v>386.13</v>
      </c>
      <c r="R22" s="206">
        <v>386.17</v>
      </c>
      <c r="S22" s="206">
        <v>389.12</v>
      </c>
      <c r="T22" s="206">
        <v>379.65999999999997</v>
      </c>
      <c r="U22" s="206">
        <v>388.52</v>
      </c>
      <c r="V22" s="206">
        <v>385.51</v>
      </c>
      <c r="W22" s="203">
        <v>385</v>
      </c>
      <c r="Z22" s="23" t="str">
        <v>13/02/2024  05:40</v>
      </c>
      <c r="AA22">
        <v>384.9</v>
      </c>
      <c r="AB22">
        <v>380.3</v>
      </c>
      <c r="AC22">
        <v>382</v>
      </c>
    </row>
    <row r="23" spans="1:29" ht="14.45" customHeight="1" x14ac:dyDescent="0.25">
      <c r="A23" s="23" t="str">
        <v>13/02/2024  05:41</v>
      </c>
      <c r="B23">
        <v>385.32</v>
      </c>
      <c r="C23">
        <v>384.37</v>
      </c>
      <c r="D23">
        <v>383.36</v>
      </c>
      <c r="E23">
        <v>386.13</v>
      </c>
      <c r="F23">
        <v>386.46</v>
      </c>
      <c r="G23">
        <v>389.01</v>
      </c>
      <c r="H23">
        <v>380.63</v>
      </c>
      <c r="I23">
        <v>388.36</v>
      </c>
      <c r="J23">
        <v>385.7</v>
      </c>
      <c r="K23" s="205"/>
      <c r="M23" s="378"/>
      <c r="N23" s="206">
        <v>385.87</v>
      </c>
      <c r="O23" s="206">
        <v>384.71</v>
      </c>
      <c r="P23" s="206">
        <v>383.83000000000004</v>
      </c>
      <c r="Q23" s="206">
        <v>386.65</v>
      </c>
      <c r="R23" s="206">
        <v>386.96</v>
      </c>
      <c r="S23" s="206">
        <v>389.55</v>
      </c>
      <c r="T23" s="206">
        <v>381.03</v>
      </c>
      <c r="U23" s="206">
        <v>388.74</v>
      </c>
      <c r="V23" s="206">
        <v>386.2</v>
      </c>
      <c r="W23" s="203">
        <v>385</v>
      </c>
      <c r="Z23" s="23" t="str">
        <v>13/02/2024  05:41</v>
      </c>
      <c r="AA23">
        <v>385.9</v>
      </c>
      <c r="AB23">
        <v>382</v>
      </c>
      <c r="AC23">
        <v>383.4</v>
      </c>
    </row>
    <row r="24" spans="1:29" ht="14.45" customHeight="1" x14ac:dyDescent="0.25">
      <c r="A24" s="23" t="str">
        <v>13/02/2024  05:42</v>
      </c>
      <c r="B24">
        <v>385.78</v>
      </c>
      <c r="C24">
        <v>384.69</v>
      </c>
      <c r="D24">
        <v>384.02</v>
      </c>
      <c r="E24">
        <v>386.27</v>
      </c>
      <c r="F24">
        <v>386.44</v>
      </c>
      <c r="G24">
        <v>389.02</v>
      </c>
      <c r="H24">
        <v>381.54</v>
      </c>
      <c r="I24">
        <v>388.29</v>
      </c>
      <c r="J24">
        <v>385.85</v>
      </c>
      <c r="K24" s="205"/>
      <c r="M24" s="378"/>
      <c r="N24" s="206">
        <v>386.33</v>
      </c>
      <c r="O24" s="206">
        <v>385.03</v>
      </c>
      <c r="P24" s="206">
        <v>384.49</v>
      </c>
      <c r="Q24" s="206">
        <v>386.78999999999996</v>
      </c>
      <c r="R24" s="206">
        <v>386.94</v>
      </c>
      <c r="S24" s="206">
        <v>389.56</v>
      </c>
      <c r="T24" s="206">
        <v>381.94</v>
      </c>
      <c r="U24" s="206">
        <v>388.67</v>
      </c>
      <c r="V24" s="206">
        <v>386.35</v>
      </c>
      <c r="W24" s="203">
        <v>385</v>
      </c>
      <c r="Z24" s="23" t="str">
        <v>13/02/2024  05:42</v>
      </c>
      <c r="AA24">
        <v>386.3</v>
      </c>
      <c r="AB24">
        <v>383.1</v>
      </c>
      <c r="AC24">
        <v>384.5</v>
      </c>
    </row>
    <row r="25" spans="1:29" ht="14.45" customHeight="1" x14ac:dyDescent="0.25">
      <c r="A25" s="23" t="str">
        <v>13/02/2024  05:43</v>
      </c>
      <c r="B25">
        <v>386.18</v>
      </c>
      <c r="C25">
        <v>385.34</v>
      </c>
      <c r="D25">
        <v>384.6</v>
      </c>
      <c r="E25">
        <v>386.6</v>
      </c>
      <c r="F25">
        <v>387.03</v>
      </c>
      <c r="G25">
        <v>389.4</v>
      </c>
      <c r="H25">
        <v>382.57</v>
      </c>
      <c r="I25">
        <v>388.53</v>
      </c>
      <c r="J25">
        <v>386.26</v>
      </c>
      <c r="K25" s="205"/>
      <c r="M25" s="378"/>
      <c r="N25" s="206">
        <v>386.73</v>
      </c>
      <c r="O25" s="206">
        <v>385.67999999999995</v>
      </c>
      <c r="P25" s="206">
        <v>385.07000000000005</v>
      </c>
      <c r="Q25" s="206">
        <v>387.12</v>
      </c>
      <c r="R25" s="206">
        <v>387.53</v>
      </c>
      <c r="S25" s="206">
        <v>389.94</v>
      </c>
      <c r="T25" s="206">
        <v>382.96999999999997</v>
      </c>
      <c r="U25" s="206">
        <v>388.90999999999997</v>
      </c>
      <c r="V25" s="206">
        <v>386.76</v>
      </c>
      <c r="W25" s="203">
        <v>385</v>
      </c>
      <c r="Z25" s="23" t="str">
        <v>13/02/2024  05:43</v>
      </c>
      <c r="AA25">
        <v>386.5</v>
      </c>
      <c r="AB25">
        <v>383.9</v>
      </c>
      <c r="AC25">
        <v>385</v>
      </c>
    </row>
    <row r="26" spans="1:29" ht="14.45" customHeight="1" x14ac:dyDescent="0.25">
      <c r="A26" s="23" t="str">
        <v>13/02/2024  05:44</v>
      </c>
      <c r="B26">
        <v>386.33</v>
      </c>
      <c r="C26">
        <v>385.56</v>
      </c>
      <c r="D26">
        <v>384.92</v>
      </c>
      <c r="E26">
        <v>386.66</v>
      </c>
      <c r="F26">
        <v>386.9</v>
      </c>
      <c r="G26">
        <v>389.24</v>
      </c>
      <c r="H26">
        <v>383.24</v>
      </c>
      <c r="I26">
        <v>388.31</v>
      </c>
      <c r="J26">
        <v>386.36</v>
      </c>
      <c r="K26" s="205"/>
      <c r="M26" s="378"/>
      <c r="N26" s="206">
        <v>386.88</v>
      </c>
      <c r="O26" s="206">
        <v>385.9</v>
      </c>
      <c r="P26" s="206">
        <v>385.39000000000004</v>
      </c>
      <c r="Q26" s="206">
        <v>387.18</v>
      </c>
      <c r="R26" s="206">
        <v>387.4</v>
      </c>
      <c r="S26" s="206">
        <v>389.78000000000003</v>
      </c>
      <c r="T26" s="206">
        <v>383.64</v>
      </c>
      <c r="U26" s="206">
        <v>388.69</v>
      </c>
      <c r="V26" s="206">
        <v>386.86</v>
      </c>
      <c r="W26" s="203">
        <v>385</v>
      </c>
      <c r="Z26" s="23" t="str">
        <v>13/02/2024  05:44</v>
      </c>
      <c r="AA26">
        <v>386.5</v>
      </c>
      <c r="AB26">
        <v>384.5</v>
      </c>
      <c r="AC26">
        <v>385.5</v>
      </c>
    </row>
    <row r="27" spans="1:29" ht="14.45" customHeight="1" x14ac:dyDescent="0.25">
      <c r="A27" s="23" t="str">
        <v>13/02/2024  05:45</v>
      </c>
      <c r="B27">
        <v>386.33</v>
      </c>
      <c r="C27">
        <v>385.69</v>
      </c>
      <c r="D27">
        <v>385.16</v>
      </c>
      <c r="E27">
        <v>386.56</v>
      </c>
      <c r="F27">
        <v>386.68</v>
      </c>
      <c r="G27">
        <v>389.08</v>
      </c>
      <c r="H27">
        <v>383.47</v>
      </c>
      <c r="I27">
        <v>387.96</v>
      </c>
      <c r="J27">
        <v>386.34</v>
      </c>
      <c r="K27" s="205"/>
      <c r="M27" s="378"/>
      <c r="N27" s="206">
        <v>386.88</v>
      </c>
      <c r="O27" s="206">
        <v>386.03</v>
      </c>
      <c r="P27" s="206">
        <v>385.63000000000005</v>
      </c>
      <c r="Q27" s="206">
        <v>387.08</v>
      </c>
      <c r="R27" s="206">
        <v>387.18</v>
      </c>
      <c r="S27" s="206">
        <v>389.62</v>
      </c>
      <c r="T27" s="206">
        <v>383.87</v>
      </c>
      <c r="U27" s="206">
        <v>388.34</v>
      </c>
      <c r="V27" s="206">
        <v>386.84</v>
      </c>
      <c r="W27" s="203">
        <v>385</v>
      </c>
      <c r="Z27" s="23" t="str">
        <v>13/02/2024  05:45</v>
      </c>
      <c r="AA27">
        <v>386.5</v>
      </c>
      <c r="AB27">
        <v>385</v>
      </c>
      <c r="AC27">
        <v>385.7</v>
      </c>
    </row>
    <row r="28" spans="1:29" ht="14.45" customHeight="1" x14ac:dyDescent="0.25">
      <c r="A28" s="23" t="str">
        <v>13/02/2024  05:46</v>
      </c>
      <c r="B28">
        <v>386.54</v>
      </c>
      <c r="C28">
        <v>385.89</v>
      </c>
      <c r="D28">
        <v>385.41</v>
      </c>
      <c r="E28">
        <v>386.66</v>
      </c>
      <c r="F28">
        <v>386.78</v>
      </c>
      <c r="G28">
        <v>389.04</v>
      </c>
      <c r="H28">
        <v>384</v>
      </c>
      <c r="I28">
        <v>387.97</v>
      </c>
      <c r="J28">
        <v>386.48</v>
      </c>
      <c r="K28" s="205"/>
      <c r="M28" s="378"/>
      <c r="N28" s="206">
        <v>387.09000000000003</v>
      </c>
      <c r="O28" s="206">
        <v>386.22999999999996</v>
      </c>
      <c r="P28" s="206">
        <v>385.88000000000005</v>
      </c>
      <c r="Q28" s="206">
        <v>387.18</v>
      </c>
      <c r="R28" s="206">
        <v>387.28</v>
      </c>
      <c r="S28" s="206">
        <v>389.58000000000004</v>
      </c>
      <c r="T28" s="206">
        <v>384.4</v>
      </c>
      <c r="U28" s="206">
        <v>388.35</v>
      </c>
      <c r="V28" s="206">
        <v>386.98</v>
      </c>
      <c r="W28" s="203">
        <v>385</v>
      </c>
      <c r="Z28" s="23" t="str">
        <v>13/02/2024  05:46</v>
      </c>
      <c r="AA28">
        <v>386.3</v>
      </c>
      <c r="AB28">
        <v>385.1</v>
      </c>
      <c r="AC28">
        <v>385.9</v>
      </c>
    </row>
    <row r="29" spans="1:29" ht="14.45" customHeight="1" x14ac:dyDescent="0.25">
      <c r="A29" s="23" t="str">
        <v>13/02/2024  05:47</v>
      </c>
      <c r="B29">
        <v>386.59</v>
      </c>
      <c r="C29">
        <v>386</v>
      </c>
      <c r="D29">
        <v>385.56</v>
      </c>
      <c r="E29">
        <v>386.64</v>
      </c>
      <c r="F29">
        <v>386.84</v>
      </c>
      <c r="G29">
        <v>388.95</v>
      </c>
      <c r="H29">
        <v>384.25</v>
      </c>
      <c r="I29">
        <v>387.65</v>
      </c>
      <c r="J29">
        <v>386.47</v>
      </c>
      <c r="K29" s="205"/>
      <c r="M29" s="378"/>
      <c r="N29" s="206">
        <v>387.14</v>
      </c>
      <c r="O29" s="206">
        <v>386.34</v>
      </c>
      <c r="P29" s="206">
        <v>386.03000000000003</v>
      </c>
      <c r="Q29" s="206">
        <v>387.15999999999997</v>
      </c>
      <c r="R29" s="206">
        <v>387.34</v>
      </c>
      <c r="S29" s="206">
        <v>389.49</v>
      </c>
      <c r="T29" s="206">
        <v>384.65</v>
      </c>
      <c r="U29" s="206">
        <v>388.03</v>
      </c>
      <c r="V29" s="206">
        <v>386.97</v>
      </c>
      <c r="W29" s="203">
        <v>385</v>
      </c>
      <c r="Z29" s="23" t="str">
        <v>13/02/2024  05:47</v>
      </c>
      <c r="AA29">
        <v>386.2</v>
      </c>
      <c r="AB29">
        <v>385.3</v>
      </c>
      <c r="AC29">
        <v>385.9</v>
      </c>
    </row>
    <row r="30" spans="1:29" ht="14.45" customHeight="1" x14ac:dyDescent="0.25">
      <c r="A30" s="23" t="str">
        <v>13/02/2024  05:48</v>
      </c>
      <c r="B30">
        <v>386.58</v>
      </c>
      <c r="C30">
        <v>386.05</v>
      </c>
      <c r="D30">
        <v>385.69</v>
      </c>
      <c r="E30">
        <v>386.61</v>
      </c>
      <c r="F30">
        <v>386.71</v>
      </c>
      <c r="G30">
        <v>388.86</v>
      </c>
      <c r="H30">
        <v>384.49</v>
      </c>
      <c r="I30">
        <v>387.55</v>
      </c>
      <c r="J30">
        <v>386.41</v>
      </c>
      <c r="K30" s="205"/>
      <c r="M30" s="378"/>
      <c r="N30" s="206">
        <v>387.13</v>
      </c>
      <c r="O30" s="206">
        <v>386.39</v>
      </c>
      <c r="P30" s="206">
        <v>386.16</v>
      </c>
      <c r="Q30" s="206">
        <v>387.13</v>
      </c>
      <c r="R30" s="206">
        <v>387.21</v>
      </c>
      <c r="S30" s="206">
        <v>389.40000000000003</v>
      </c>
      <c r="T30" s="206">
        <v>384.89</v>
      </c>
      <c r="U30" s="206">
        <v>387.93</v>
      </c>
      <c r="V30" s="206">
        <v>386.91</v>
      </c>
      <c r="W30" s="203">
        <v>385</v>
      </c>
      <c r="Z30" s="23" t="str">
        <v>13/02/2024  05:48</v>
      </c>
      <c r="AA30">
        <v>386.1</v>
      </c>
      <c r="AB30">
        <v>385.4</v>
      </c>
      <c r="AC30">
        <v>386</v>
      </c>
    </row>
    <row r="31" spans="1:29" ht="14.45" customHeight="1" x14ac:dyDescent="0.25">
      <c r="A31" s="23" t="str">
        <v>13/02/2024  05:49</v>
      </c>
      <c r="B31">
        <v>386.56</v>
      </c>
      <c r="C31">
        <v>386.03</v>
      </c>
      <c r="D31">
        <v>385.68</v>
      </c>
      <c r="E31">
        <v>386.43</v>
      </c>
      <c r="F31">
        <v>386.52</v>
      </c>
      <c r="G31">
        <v>388.65</v>
      </c>
      <c r="H31">
        <v>384.62</v>
      </c>
      <c r="I31">
        <v>387.34</v>
      </c>
      <c r="J31">
        <v>386.33</v>
      </c>
      <c r="K31" s="205"/>
      <c r="M31" s="378"/>
      <c r="N31" s="206">
        <v>387.11</v>
      </c>
      <c r="O31" s="206">
        <v>386.36999999999995</v>
      </c>
      <c r="P31" s="206">
        <v>386.15000000000003</v>
      </c>
      <c r="Q31" s="206">
        <v>386.95</v>
      </c>
      <c r="R31" s="206">
        <v>387.02</v>
      </c>
      <c r="S31" s="206">
        <v>389.19</v>
      </c>
      <c r="T31" s="206">
        <v>385.02</v>
      </c>
      <c r="U31" s="206">
        <v>387.71999999999997</v>
      </c>
      <c r="V31" s="206">
        <v>386.83</v>
      </c>
      <c r="W31" s="203">
        <v>385</v>
      </c>
      <c r="Z31" s="23" t="str">
        <v>13/02/2024  05:49</v>
      </c>
      <c r="AA31">
        <v>385.9</v>
      </c>
      <c r="AB31">
        <v>385.4</v>
      </c>
      <c r="AC31">
        <v>386.1</v>
      </c>
    </row>
    <row r="32" spans="1:29" ht="14.45" customHeight="1" x14ac:dyDescent="0.25">
      <c r="A32" s="23" t="str">
        <v>13/02/2024  05:50</v>
      </c>
      <c r="B32">
        <v>386.62</v>
      </c>
      <c r="C32">
        <v>386.15</v>
      </c>
      <c r="D32">
        <v>385.83</v>
      </c>
      <c r="E32">
        <v>386.52</v>
      </c>
      <c r="F32">
        <v>386.54</v>
      </c>
      <c r="G32">
        <v>388.61</v>
      </c>
      <c r="H32">
        <v>384.81</v>
      </c>
      <c r="I32">
        <v>387.32</v>
      </c>
      <c r="J32">
        <v>386.43</v>
      </c>
      <c r="K32" s="205"/>
      <c r="M32" s="378"/>
      <c r="N32" s="206">
        <v>387.17</v>
      </c>
      <c r="O32" s="206">
        <v>386.48999999999995</v>
      </c>
      <c r="P32" s="206">
        <v>386.3</v>
      </c>
      <c r="Q32" s="206">
        <v>387.03999999999996</v>
      </c>
      <c r="R32" s="206">
        <v>387.04</v>
      </c>
      <c r="S32" s="206">
        <v>389.15000000000003</v>
      </c>
      <c r="T32" s="206">
        <v>385.21</v>
      </c>
      <c r="U32" s="206">
        <v>387.7</v>
      </c>
      <c r="V32" s="206">
        <v>386.93</v>
      </c>
      <c r="W32" s="203">
        <v>385</v>
      </c>
      <c r="Z32" s="23" t="str">
        <v>13/02/2024  05:50</v>
      </c>
      <c r="AA32">
        <v>385.8</v>
      </c>
      <c r="AB32">
        <v>385.4</v>
      </c>
      <c r="AC32">
        <v>386.1</v>
      </c>
    </row>
    <row r="33" spans="1:29" ht="14.45" customHeight="1" x14ac:dyDescent="0.25">
      <c r="A33" s="23" t="str">
        <v>13/02/2024  05:51</v>
      </c>
      <c r="B33">
        <v>386.64</v>
      </c>
      <c r="C33">
        <v>386.16</v>
      </c>
      <c r="D33">
        <v>385.87</v>
      </c>
      <c r="E33">
        <v>386.48</v>
      </c>
      <c r="F33">
        <v>386.69</v>
      </c>
      <c r="G33">
        <v>388.59</v>
      </c>
      <c r="H33">
        <v>384.81</v>
      </c>
      <c r="I33">
        <v>387.21</v>
      </c>
      <c r="J33">
        <v>386.34</v>
      </c>
      <c r="K33" s="205"/>
      <c r="M33" s="378"/>
      <c r="N33" s="206">
        <v>387.19</v>
      </c>
      <c r="O33" s="206">
        <v>386.5</v>
      </c>
      <c r="P33" s="206">
        <v>386.34000000000003</v>
      </c>
      <c r="Q33" s="206">
        <v>387</v>
      </c>
      <c r="R33" s="206">
        <v>387.19</v>
      </c>
      <c r="S33" s="206">
        <v>389.13</v>
      </c>
      <c r="T33" s="206">
        <v>385.21</v>
      </c>
      <c r="U33" s="206">
        <v>387.59</v>
      </c>
      <c r="V33" s="206">
        <v>386.84</v>
      </c>
      <c r="W33" s="203">
        <v>385</v>
      </c>
      <c r="Z33" s="23" t="str">
        <v>13/02/2024  05:51</v>
      </c>
      <c r="AA33">
        <v>385.7</v>
      </c>
      <c r="AB33">
        <v>385.4</v>
      </c>
      <c r="AC33">
        <v>386.1</v>
      </c>
    </row>
    <row r="34" spans="1:29" ht="14.45" customHeight="1" x14ac:dyDescent="0.25">
      <c r="A34" s="23" t="str">
        <v>13/02/2024  05:52</v>
      </c>
      <c r="B34">
        <v>386.66</v>
      </c>
      <c r="C34">
        <v>386.21</v>
      </c>
      <c r="D34">
        <v>385.92</v>
      </c>
      <c r="E34">
        <v>386.45</v>
      </c>
      <c r="F34">
        <v>386.41</v>
      </c>
      <c r="G34">
        <v>388.46</v>
      </c>
      <c r="H34">
        <v>384.89</v>
      </c>
      <c r="I34">
        <v>386.94</v>
      </c>
      <c r="J34">
        <v>386.33</v>
      </c>
      <c r="K34" s="205"/>
      <c r="M34" s="378"/>
      <c r="N34" s="206">
        <v>387.21000000000004</v>
      </c>
      <c r="O34" s="206">
        <v>386.54999999999995</v>
      </c>
      <c r="P34" s="206">
        <v>386.39000000000004</v>
      </c>
      <c r="Q34" s="206">
        <v>386.96999999999997</v>
      </c>
      <c r="R34" s="206">
        <v>386.91</v>
      </c>
      <c r="S34" s="206">
        <v>389</v>
      </c>
      <c r="T34" s="206">
        <v>385.28999999999996</v>
      </c>
      <c r="U34" s="206">
        <v>387.32</v>
      </c>
      <c r="V34" s="206">
        <v>386.83</v>
      </c>
      <c r="W34" s="203">
        <v>385</v>
      </c>
      <c r="Z34" s="23" t="str">
        <v>13/02/2024  05:52</v>
      </c>
      <c r="AA34">
        <v>385.6</v>
      </c>
      <c r="AB34">
        <v>385.4</v>
      </c>
      <c r="AC34">
        <v>386.1</v>
      </c>
    </row>
    <row r="35" spans="1:29" ht="14.45" customHeight="1" x14ac:dyDescent="0.25">
      <c r="A35" s="23" t="str">
        <v>13/02/2024  05:53</v>
      </c>
      <c r="B35">
        <v>386.63</v>
      </c>
      <c r="C35">
        <v>386.17</v>
      </c>
      <c r="D35">
        <v>385.94</v>
      </c>
      <c r="E35">
        <v>386.4</v>
      </c>
      <c r="F35">
        <v>386.33</v>
      </c>
      <c r="G35">
        <v>388.31</v>
      </c>
      <c r="H35">
        <v>384.89</v>
      </c>
      <c r="I35">
        <v>386.95</v>
      </c>
      <c r="J35">
        <v>386.27</v>
      </c>
      <c r="K35" s="205"/>
      <c r="M35" s="378"/>
      <c r="N35" s="206">
        <v>387.18</v>
      </c>
      <c r="O35" s="206">
        <v>386.51</v>
      </c>
      <c r="P35" s="206">
        <v>386.41</v>
      </c>
      <c r="Q35" s="206">
        <v>386.91999999999996</v>
      </c>
      <c r="R35" s="206">
        <v>386.83</v>
      </c>
      <c r="S35" s="206">
        <v>388.85</v>
      </c>
      <c r="T35" s="206">
        <v>385.28999999999996</v>
      </c>
      <c r="U35" s="206">
        <v>387.33</v>
      </c>
      <c r="V35" s="206">
        <v>386.77</v>
      </c>
      <c r="W35" s="203">
        <v>385</v>
      </c>
      <c r="Z35" s="23" t="str">
        <v>13/02/2024  05:53</v>
      </c>
      <c r="AA35">
        <v>385.4</v>
      </c>
      <c r="AB35">
        <v>385.4</v>
      </c>
      <c r="AC35">
        <v>386.1</v>
      </c>
    </row>
    <row r="36" spans="1:29" ht="14.45" customHeight="1" x14ac:dyDescent="0.25">
      <c r="A36" s="23" t="str">
        <v>13/02/2024  05:54</v>
      </c>
      <c r="B36">
        <v>386.6</v>
      </c>
      <c r="C36">
        <v>386.22</v>
      </c>
      <c r="D36">
        <v>385.92</v>
      </c>
      <c r="E36">
        <v>386.3</v>
      </c>
      <c r="F36">
        <v>386.3</v>
      </c>
      <c r="G36">
        <v>388.2</v>
      </c>
      <c r="H36">
        <v>385.01</v>
      </c>
      <c r="I36">
        <v>386.93</v>
      </c>
      <c r="J36">
        <v>386.21</v>
      </c>
      <c r="K36" s="205"/>
      <c r="M36" s="378"/>
      <c r="N36" s="206">
        <v>387.15000000000003</v>
      </c>
      <c r="O36" s="206">
        <v>386.56</v>
      </c>
      <c r="P36" s="206">
        <v>386.39000000000004</v>
      </c>
      <c r="Q36" s="206">
        <v>386.82</v>
      </c>
      <c r="R36" s="206">
        <v>386.8</v>
      </c>
      <c r="S36" s="206">
        <v>388.74</v>
      </c>
      <c r="T36" s="206">
        <v>385.40999999999997</v>
      </c>
      <c r="U36" s="206">
        <v>387.31</v>
      </c>
      <c r="V36" s="206">
        <v>386.71</v>
      </c>
      <c r="W36" s="203">
        <v>385</v>
      </c>
      <c r="Z36" s="23" t="str">
        <v>13/02/2024  05:54</v>
      </c>
      <c r="AA36">
        <v>385.3</v>
      </c>
      <c r="AB36">
        <v>385.3</v>
      </c>
      <c r="AC36">
        <v>386.1</v>
      </c>
    </row>
    <row r="37" spans="1:29" ht="14.45" customHeight="1" x14ac:dyDescent="0.25">
      <c r="A37" s="23" t="str">
        <v>13/02/2024  05:55</v>
      </c>
      <c r="B37">
        <v>386.71</v>
      </c>
      <c r="C37">
        <v>386.24</v>
      </c>
      <c r="D37">
        <v>386.07</v>
      </c>
      <c r="E37">
        <v>386.49</v>
      </c>
      <c r="F37">
        <v>386.32</v>
      </c>
      <c r="G37">
        <v>388.38</v>
      </c>
      <c r="H37">
        <v>385.06</v>
      </c>
      <c r="I37">
        <v>387.03</v>
      </c>
      <c r="J37">
        <v>386.33</v>
      </c>
      <c r="K37" s="205"/>
      <c r="M37" s="377" t="s">
        <v>341</v>
      </c>
      <c r="N37" s="204">
        <v>387.26</v>
      </c>
      <c r="O37" s="204">
        <v>386.58</v>
      </c>
      <c r="P37" s="204">
        <v>386.54</v>
      </c>
      <c r="Q37" s="204">
        <v>387.01</v>
      </c>
      <c r="R37" s="204">
        <v>386.82</v>
      </c>
      <c r="S37" s="204">
        <v>388.92</v>
      </c>
      <c r="T37" s="204">
        <v>385.46</v>
      </c>
      <c r="U37" s="204">
        <v>387.40999999999997</v>
      </c>
      <c r="V37" s="204">
        <v>386.83</v>
      </c>
      <c r="W37" s="203">
        <v>385</v>
      </c>
      <c r="Z37" s="23" t="str">
        <v>13/02/2024  05:55</v>
      </c>
      <c r="AA37">
        <v>385.3</v>
      </c>
      <c r="AB37">
        <v>385.3</v>
      </c>
      <c r="AC37">
        <v>386.2</v>
      </c>
    </row>
    <row r="38" spans="1:29" ht="14.45" customHeight="1" x14ac:dyDescent="0.25">
      <c r="A38" s="23" t="str">
        <v>13/02/2024  05:56</v>
      </c>
      <c r="B38">
        <v>386.72</v>
      </c>
      <c r="C38">
        <v>386.3</v>
      </c>
      <c r="D38">
        <v>386.1</v>
      </c>
      <c r="E38">
        <v>386.42</v>
      </c>
      <c r="F38">
        <v>386.21</v>
      </c>
      <c r="G38">
        <v>388.28</v>
      </c>
      <c r="H38">
        <v>385.04</v>
      </c>
      <c r="I38">
        <v>386.93</v>
      </c>
      <c r="J38">
        <v>386.26</v>
      </c>
      <c r="K38" s="205"/>
      <c r="M38" s="377"/>
      <c r="N38" s="204">
        <v>387.27000000000004</v>
      </c>
      <c r="O38" s="204">
        <v>386.64</v>
      </c>
      <c r="P38" s="204">
        <v>386.57000000000005</v>
      </c>
      <c r="Q38" s="204">
        <v>386.94</v>
      </c>
      <c r="R38" s="204">
        <v>386.71</v>
      </c>
      <c r="S38" s="204">
        <v>388.82</v>
      </c>
      <c r="T38" s="204">
        <v>385.44</v>
      </c>
      <c r="U38" s="204">
        <v>387.31</v>
      </c>
      <c r="V38" s="204">
        <v>386.76</v>
      </c>
      <c r="W38" s="203">
        <v>385</v>
      </c>
      <c r="Z38" s="23" t="str">
        <v>13/02/2024  05:56</v>
      </c>
      <c r="AA38">
        <v>385.3</v>
      </c>
      <c r="AB38">
        <v>385.2</v>
      </c>
      <c r="AC38">
        <v>386.1</v>
      </c>
    </row>
    <row r="39" spans="1:29" ht="14.45" customHeight="1" x14ac:dyDescent="0.25">
      <c r="A39" s="23" t="str">
        <v>13/02/2024  05:57</v>
      </c>
      <c r="B39">
        <v>386.7</v>
      </c>
      <c r="C39">
        <v>386.32</v>
      </c>
      <c r="D39">
        <v>386.07</v>
      </c>
      <c r="E39">
        <v>386.37</v>
      </c>
      <c r="F39">
        <v>386.18</v>
      </c>
      <c r="G39">
        <v>388.24</v>
      </c>
      <c r="H39">
        <v>385.15</v>
      </c>
      <c r="I39">
        <v>386.8</v>
      </c>
      <c r="J39">
        <v>386.26</v>
      </c>
      <c r="K39" s="205"/>
      <c r="M39" s="377"/>
      <c r="N39" s="204">
        <v>387.25</v>
      </c>
      <c r="O39" s="204">
        <v>386.65999999999997</v>
      </c>
      <c r="P39" s="204">
        <v>386.54</v>
      </c>
      <c r="Q39" s="204">
        <v>386.89</v>
      </c>
      <c r="R39" s="204">
        <v>386.68</v>
      </c>
      <c r="S39" s="204">
        <v>388.78000000000003</v>
      </c>
      <c r="T39" s="204">
        <v>385.54999999999995</v>
      </c>
      <c r="U39" s="204">
        <v>387.18</v>
      </c>
      <c r="V39" s="204">
        <v>386.76</v>
      </c>
      <c r="W39" s="203">
        <v>385</v>
      </c>
      <c r="Z39" s="23" t="str">
        <v>13/02/2024  05:57</v>
      </c>
      <c r="AA39">
        <v>385.3</v>
      </c>
      <c r="AB39">
        <v>385.2</v>
      </c>
      <c r="AC39">
        <v>386.1</v>
      </c>
    </row>
    <row r="40" spans="1:29" ht="14.45" customHeight="1" x14ac:dyDescent="0.25">
      <c r="A40" s="23" t="str">
        <v>13/02/2024  05:58</v>
      </c>
      <c r="B40">
        <v>386.71</v>
      </c>
      <c r="C40">
        <v>386.39</v>
      </c>
      <c r="D40">
        <v>386.17</v>
      </c>
      <c r="E40">
        <v>386.38</v>
      </c>
      <c r="F40">
        <v>386.47</v>
      </c>
      <c r="G40">
        <v>388.14</v>
      </c>
      <c r="H40">
        <v>384.99</v>
      </c>
      <c r="I40">
        <v>386.8</v>
      </c>
      <c r="J40">
        <v>386.24</v>
      </c>
      <c r="K40" s="205"/>
      <c r="M40" s="377"/>
      <c r="N40" s="204">
        <v>387.26</v>
      </c>
      <c r="O40" s="204">
        <v>386.72999999999996</v>
      </c>
      <c r="P40" s="204">
        <v>386.64000000000004</v>
      </c>
      <c r="Q40" s="204">
        <v>386.9</v>
      </c>
      <c r="R40" s="204">
        <v>386.97</v>
      </c>
      <c r="S40" s="204">
        <v>388.68</v>
      </c>
      <c r="T40" s="204">
        <v>385.39</v>
      </c>
      <c r="U40" s="204">
        <v>387.18</v>
      </c>
      <c r="V40" s="204">
        <v>386.74</v>
      </c>
      <c r="W40" s="203">
        <v>385</v>
      </c>
      <c r="Z40" s="23" t="str">
        <v>13/02/2024  05:58</v>
      </c>
      <c r="AA40">
        <v>385.2</v>
      </c>
      <c r="AB40">
        <v>385.3</v>
      </c>
      <c r="AC40">
        <v>386.1</v>
      </c>
    </row>
    <row r="41" spans="1:29" ht="14.45" customHeight="1" x14ac:dyDescent="0.25">
      <c r="A41" s="23" t="str">
        <v>13/02/2024  05:59</v>
      </c>
      <c r="B41">
        <v>386.76</v>
      </c>
      <c r="C41">
        <v>386.39</v>
      </c>
      <c r="D41">
        <v>386.21</v>
      </c>
      <c r="E41">
        <v>386.44</v>
      </c>
      <c r="F41">
        <v>386.4</v>
      </c>
      <c r="G41">
        <v>388.24</v>
      </c>
      <c r="H41">
        <v>385.03</v>
      </c>
      <c r="I41">
        <v>386.9</v>
      </c>
      <c r="J41">
        <v>386.31</v>
      </c>
      <c r="K41" s="205"/>
      <c r="M41" s="377"/>
      <c r="N41" s="204">
        <v>387.31</v>
      </c>
      <c r="O41" s="204">
        <v>386.72999999999996</v>
      </c>
      <c r="P41" s="204">
        <v>386.68</v>
      </c>
      <c r="Q41" s="204">
        <v>386.96</v>
      </c>
      <c r="R41" s="204">
        <v>386.9</v>
      </c>
      <c r="S41" s="204">
        <v>388.78000000000003</v>
      </c>
      <c r="T41" s="204">
        <v>385.42999999999995</v>
      </c>
      <c r="U41" s="204">
        <v>387.28</v>
      </c>
      <c r="V41" s="204">
        <v>386.81</v>
      </c>
      <c r="W41" s="203">
        <v>385</v>
      </c>
      <c r="Z41" s="23" t="str">
        <v>13/02/2024  05:59</v>
      </c>
      <c r="AA41">
        <v>385.2</v>
      </c>
      <c r="AB41">
        <v>385.2</v>
      </c>
      <c r="AC41">
        <v>386.1</v>
      </c>
    </row>
    <row r="42" spans="1:29" ht="14.45" customHeight="1" x14ac:dyDescent="0.25">
      <c r="A42" s="23" t="str">
        <v>13/02/2024  06:00</v>
      </c>
      <c r="B42">
        <v>386.77</v>
      </c>
      <c r="C42">
        <v>386.5</v>
      </c>
      <c r="D42">
        <v>386.19</v>
      </c>
      <c r="E42">
        <v>386.46</v>
      </c>
      <c r="F42">
        <v>386.39</v>
      </c>
      <c r="G42">
        <v>388.26</v>
      </c>
      <c r="H42">
        <v>385.12</v>
      </c>
      <c r="I42">
        <v>386.74</v>
      </c>
      <c r="J42">
        <v>386.26</v>
      </c>
      <c r="K42" s="205"/>
      <c r="M42" s="377"/>
      <c r="N42" s="204">
        <v>387.32</v>
      </c>
      <c r="O42" s="204">
        <v>386.84</v>
      </c>
      <c r="P42" s="204">
        <v>386.66</v>
      </c>
      <c r="Q42" s="204">
        <v>386.97999999999996</v>
      </c>
      <c r="R42" s="204">
        <v>386.89</v>
      </c>
      <c r="S42" s="204">
        <v>388.8</v>
      </c>
      <c r="T42" s="204">
        <v>385.52</v>
      </c>
      <c r="U42" s="204">
        <v>387.12</v>
      </c>
      <c r="V42" s="204">
        <v>386.76</v>
      </c>
      <c r="W42" s="203">
        <v>385</v>
      </c>
      <c r="Z42" s="23" t="str">
        <v>13/02/2024  06:00</v>
      </c>
      <c r="AA42">
        <v>385.2</v>
      </c>
      <c r="AB42">
        <v>385.2</v>
      </c>
      <c r="AC42">
        <v>386</v>
      </c>
    </row>
    <row r="43" spans="1:29" ht="14.45" customHeight="1" x14ac:dyDescent="0.25">
      <c r="A43" s="23" t="str">
        <v>13/02/2024  06:01</v>
      </c>
      <c r="B43">
        <v>387.09</v>
      </c>
      <c r="C43">
        <v>386.66</v>
      </c>
      <c r="D43">
        <v>386.46</v>
      </c>
      <c r="E43">
        <v>386.74</v>
      </c>
      <c r="F43">
        <v>386.39</v>
      </c>
      <c r="G43">
        <v>388.47</v>
      </c>
      <c r="H43">
        <v>385.27</v>
      </c>
      <c r="I43">
        <v>387.1</v>
      </c>
      <c r="J43">
        <v>386.57</v>
      </c>
      <c r="K43" s="205"/>
      <c r="M43" s="377"/>
      <c r="N43" s="204">
        <v>387.64</v>
      </c>
      <c r="O43" s="204">
        <v>387</v>
      </c>
      <c r="P43" s="204">
        <v>386.93</v>
      </c>
      <c r="Q43" s="204">
        <v>387.26</v>
      </c>
      <c r="R43" s="204">
        <v>386.89</v>
      </c>
      <c r="S43" s="204">
        <v>389.01000000000005</v>
      </c>
      <c r="T43" s="204">
        <v>385.66999999999996</v>
      </c>
      <c r="U43" s="204">
        <v>387.48</v>
      </c>
      <c r="V43" s="204">
        <v>387.07</v>
      </c>
      <c r="W43" s="203">
        <v>385</v>
      </c>
      <c r="Z43" s="23" t="str">
        <v>13/02/2024  06:01</v>
      </c>
      <c r="AA43">
        <v>385.2</v>
      </c>
      <c r="AB43">
        <v>385.1</v>
      </c>
      <c r="AC43">
        <v>386.1</v>
      </c>
    </row>
    <row r="44" spans="1:29" ht="14.45" customHeight="1" x14ac:dyDescent="0.25">
      <c r="A44" s="23" t="str">
        <v>13/02/2024  06:02</v>
      </c>
      <c r="B44">
        <v>386.88</v>
      </c>
      <c r="C44">
        <v>386.52</v>
      </c>
      <c r="D44">
        <v>386.34</v>
      </c>
      <c r="E44">
        <v>386.55</v>
      </c>
      <c r="F44">
        <v>386.25</v>
      </c>
      <c r="G44">
        <v>388.24</v>
      </c>
      <c r="H44">
        <v>385.19</v>
      </c>
      <c r="I44">
        <v>386.81</v>
      </c>
      <c r="J44">
        <v>386.39</v>
      </c>
      <c r="K44" s="205"/>
      <c r="M44" s="377"/>
      <c r="N44" s="204">
        <v>387.43</v>
      </c>
      <c r="O44" s="204">
        <v>386.85999999999996</v>
      </c>
      <c r="P44" s="204">
        <v>386.81</v>
      </c>
      <c r="Q44" s="204">
        <v>387.07</v>
      </c>
      <c r="R44" s="204">
        <v>386.75</v>
      </c>
      <c r="S44" s="204">
        <v>388.78000000000003</v>
      </c>
      <c r="T44" s="204">
        <v>385.59</v>
      </c>
      <c r="U44" s="204">
        <v>387.19</v>
      </c>
      <c r="V44" s="204">
        <v>386.89</v>
      </c>
      <c r="W44" s="203">
        <v>385</v>
      </c>
      <c r="Z44" s="23" t="str">
        <v>13/02/2024  06:02</v>
      </c>
      <c r="AA44">
        <v>385.3</v>
      </c>
      <c r="AB44">
        <v>385.2</v>
      </c>
      <c r="AC44">
        <v>386.1</v>
      </c>
    </row>
    <row r="45" spans="1:29" ht="14.45" customHeight="1" x14ac:dyDescent="0.25">
      <c r="A45" s="23" t="str">
        <v>13/02/2024  06:03</v>
      </c>
      <c r="B45">
        <v>386.84</v>
      </c>
      <c r="C45">
        <v>386.49</v>
      </c>
      <c r="D45">
        <v>386.39</v>
      </c>
      <c r="E45">
        <v>386.54</v>
      </c>
      <c r="F45">
        <v>386.23</v>
      </c>
      <c r="G45">
        <v>388.15</v>
      </c>
      <c r="H45">
        <v>385.15</v>
      </c>
      <c r="I45">
        <v>386.86</v>
      </c>
      <c r="J45">
        <v>386.36</v>
      </c>
      <c r="K45" s="205"/>
      <c r="M45" s="377"/>
      <c r="N45" s="204">
        <v>387.39</v>
      </c>
      <c r="O45" s="204">
        <v>386.83</v>
      </c>
      <c r="P45" s="204">
        <v>386.86</v>
      </c>
      <c r="Q45" s="204">
        <v>387.06</v>
      </c>
      <c r="R45" s="204">
        <v>386.73</v>
      </c>
      <c r="S45" s="204">
        <v>388.69</v>
      </c>
      <c r="T45" s="204">
        <v>385.54999999999995</v>
      </c>
      <c r="U45" s="204">
        <v>387.24</v>
      </c>
      <c r="V45" s="204">
        <v>386.86</v>
      </c>
      <c r="W45" s="203">
        <v>385</v>
      </c>
      <c r="Z45" s="23" t="str">
        <v>13/02/2024  06:03</v>
      </c>
      <c r="AA45">
        <v>385.2</v>
      </c>
      <c r="AB45">
        <v>385.2</v>
      </c>
      <c r="AC45">
        <v>386.1</v>
      </c>
    </row>
    <row r="46" spans="1:29" ht="14.45" customHeight="1" x14ac:dyDescent="0.25">
      <c r="A46" s="23" t="str">
        <v>13/02/2024  06:04</v>
      </c>
      <c r="B46">
        <v>386.95</v>
      </c>
      <c r="C46">
        <v>386.57</v>
      </c>
      <c r="D46">
        <v>386.38</v>
      </c>
      <c r="E46">
        <v>386.55</v>
      </c>
      <c r="F46">
        <v>386.52</v>
      </c>
      <c r="G46">
        <v>388.3</v>
      </c>
      <c r="H46">
        <v>385.21</v>
      </c>
      <c r="I46">
        <v>386.9</v>
      </c>
      <c r="J46">
        <v>386.43</v>
      </c>
      <c r="K46" s="205"/>
      <c r="M46" s="377"/>
      <c r="N46" s="204">
        <v>387.5</v>
      </c>
      <c r="O46" s="204">
        <v>386.90999999999997</v>
      </c>
      <c r="P46" s="204">
        <v>386.85</v>
      </c>
      <c r="Q46" s="204">
        <v>387.07</v>
      </c>
      <c r="R46" s="204">
        <v>387.02</v>
      </c>
      <c r="S46" s="204">
        <v>388.84000000000003</v>
      </c>
      <c r="T46" s="204">
        <v>385.60999999999996</v>
      </c>
      <c r="U46" s="204">
        <v>387.28</v>
      </c>
      <c r="V46" s="204">
        <v>386.93</v>
      </c>
      <c r="W46" s="203">
        <v>385</v>
      </c>
      <c r="Z46" s="23" t="str">
        <v>13/02/2024  06:04</v>
      </c>
      <c r="AA46">
        <v>385.2</v>
      </c>
      <c r="AB46">
        <v>385.1</v>
      </c>
      <c r="AC46">
        <v>386.1</v>
      </c>
    </row>
    <row r="47" spans="1:29" ht="14.45" customHeight="1" x14ac:dyDescent="0.25">
      <c r="A47" s="23" t="str">
        <v>13/02/2024  06:05</v>
      </c>
      <c r="B47">
        <v>386.85</v>
      </c>
      <c r="C47">
        <v>386.47</v>
      </c>
      <c r="D47">
        <v>386.35</v>
      </c>
      <c r="E47">
        <v>386.46</v>
      </c>
      <c r="F47">
        <v>386.14</v>
      </c>
      <c r="G47">
        <v>388.15</v>
      </c>
      <c r="H47">
        <v>385.29</v>
      </c>
      <c r="I47">
        <v>386.76</v>
      </c>
      <c r="J47">
        <v>386.35</v>
      </c>
      <c r="K47" s="205"/>
      <c r="M47" s="377"/>
      <c r="N47" s="204">
        <v>387.40000000000003</v>
      </c>
      <c r="O47" s="204">
        <v>386.81</v>
      </c>
      <c r="P47" s="204">
        <v>386.82000000000005</v>
      </c>
      <c r="Q47" s="204">
        <v>386.97999999999996</v>
      </c>
      <c r="R47" s="204">
        <v>386.64</v>
      </c>
      <c r="S47" s="204">
        <v>388.69</v>
      </c>
      <c r="T47" s="204">
        <v>385.69</v>
      </c>
      <c r="U47" s="204">
        <v>387.14</v>
      </c>
      <c r="V47" s="204">
        <v>386.85</v>
      </c>
      <c r="W47" s="203">
        <v>385</v>
      </c>
      <c r="Z47" s="23" t="str">
        <v>13/02/2024  06:05</v>
      </c>
      <c r="AA47">
        <v>385.2</v>
      </c>
      <c r="AB47">
        <v>385.2</v>
      </c>
      <c r="AC47">
        <v>386.1</v>
      </c>
    </row>
    <row r="48" spans="1:29" ht="14.45" customHeight="1" x14ac:dyDescent="0.25">
      <c r="A48" s="23" t="str">
        <v>13/02/2024  06:06</v>
      </c>
      <c r="B48">
        <v>386.71</v>
      </c>
      <c r="C48">
        <v>386.37</v>
      </c>
      <c r="D48">
        <v>386.27</v>
      </c>
      <c r="E48">
        <v>386.35</v>
      </c>
      <c r="F48">
        <v>385.92</v>
      </c>
      <c r="G48">
        <v>388.06</v>
      </c>
      <c r="H48">
        <v>385.11</v>
      </c>
      <c r="I48">
        <v>386.58</v>
      </c>
      <c r="J48">
        <v>386.17</v>
      </c>
      <c r="K48" s="205"/>
      <c r="M48" s="377"/>
      <c r="N48" s="204">
        <v>387.26</v>
      </c>
      <c r="O48" s="204">
        <v>386.71</v>
      </c>
      <c r="P48" s="204">
        <v>386.74</v>
      </c>
      <c r="Q48" s="204">
        <v>386.87</v>
      </c>
      <c r="R48" s="204">
        <v>386.42</v>
      </c>
      <c r="S48" s="204">
        <v>388.6</v>
      </c>
      <c r="T48" s="204">
        <v>385.51</v>
      </c>
      <c r="U48" s="204">
        <v>386.96</v>
      </c>
      <c r="V48" s="204">
        <v>386.67</v>
      </c>
      <c r="W48" s="203">
        <v>385</v>
      </c>
      <c r="Z48" s="23" t="str">
        <v>13/02/2024  06:06</v>
      </c>
      <c r="AA48">
        <v>385.1</v>
      </c>
      <c r="AB48">
        <v>385.1</v>
      </c>
      <c r="AC48">
        <v>386.1</v>
      </c>
    </row>
    <row r="49" spans="1:29" ht="14.45" customHeight="1" x14ac:dyDescent="0.25">
      <c r="A49" s="23" t="str">
        <v>13/02/2024  06:07</v>
      </c>
      <c r="B49">
        <v>386.82</v>
      </c>
      <c r="C49">
        <v>386.44</v>
      </c>
      <c r="D49">
        <v>386.34</v>
      </c>
      <c r="E49">
        <v>386.44</v>
      </c>
      <c r="F49">
        <v>386.03</v>
      </c>
      <c r="G49">
        <v>388.12</v>
      </c>
      <c r="H49">
        <v>385.2</v>
      </c>
      <c r="I49">
        <v>386.76</v>
      </c>
      <c r="J49">
        <v>386.28</v>
      </c>
      <c r="K49" s="205"/>
      <c r="M49" s="377"/>
      <c r="N49" s="204">
        <v>387.37</v>
      </c>
      <c r="O49" s="204">
        <v>386.78</v>
      </c>
      <c r="P49" s="204">
        <v>386.81</v>
      </c>
      <c r="Q49" s="204">
        <v>386.96</v>
      </c>
      <c r="R49" s="204">
        <v>386.53</v>
      </c>
      <c r="S49" s="204">
        <v>388.66</v>
      </c>
      <c r="T49" s="204">
        <v>385.59999999999997</v>
      </c>
      <c r="U49" s="204">
        <v>387.14</v>
      </c>
      <c r="V49" s="204">
        <v>386.78</v>
      </c>
      <c r="W49" s="203">
        <v>385</v>
      </c>
      <c r="Z49" s="23" t="str">
        <v>13/02/2024  06:07</v>
      </c>
      <c r="AA49">
        <v>385</v>
      </c>
      <c r="AB49">
        <v>385.1</v>
      </c>
      <c r="AC49">
        <v>386</v>
      </c>
    </row>
    <row r="50" spans="1:29" ht="14.45" customHeight="1" x14ac:dyDescent="0.25">
      <c r="A50" s="23" t="str">
        <v>13/02/2024  06:08</v>
      </c>
      <c r="B50">
        <v>387.05</v>
      </c>
      <c r="C50">
        <v>386.67</v>
      </c>
      <c r="D50">
        <v>386.53</v>
      </c>
      <c r="E50">
        <v>386.66</v>
      </c>
      <c r="F50">
        <v>386.41</v>
      </c>
      <c r="G50">
        <v>388.33</v>
      </c>
      <c r="H50">
        <v>385.3</v>
      </c>
      <c r="I50">
        <v>386.91</v>
      </c>
      <c r="J50">
        <v>386.46</v>
      </c>
      <c r="K50" s="205"/>
      <c r="M50" s="377"/>
      <c r="N50" s="204">
        <v>387.6</v>
      </c>
      <c r="O50" s="204">
        <v>387.01</v>
      </c>
      <c r="P50" s="204">
        <v>387</v>
      </c>
      <c r="Q50" s="204">
        <v>387.18</v>
      </c>
      <c r="R50" s="204">
        <v>386.91</v>
      </c>
      <c r="S50" s="204">
        <v>388.87</v>
      </c>
      <c r="T50" s="204">
        <v>385.7</v>
      </c>
      <c r="U50" s="204">
        <v>387.29</v>
      </c>
      <c r="V50" s="204">
        <v>386.96</v>
      </c>
      <c r="W50" s="203">
        <v>385</v>
      </c>
      <c r="Z50" s="23" t="str">
        <v>13/02/2024  06:08</v>
      </c>
      <c r="AA50">
        <v>385.1</v>
      </c>
      <c r="AB50">
        <v>385</v>
      </c>
      <c r="AC50">
        <v>386</v>
      </c>
    </row>
    <row r="51" spans="1:29" ht="14.45" customHeight="1" x14ac:dyDescent="0.25">
      <c r="A51" s="23" t="str">
        <v>13/02/2024  06:09</v>
      </c>
      <c r="B51">
        <v>386.91</v>
      </c>
      <c r="C51">
        <v>386.64</v>
      </c>
      <c r="D51">
        <v>386.45</v>
      </c>
      <c r="E51">
        <v>386.53</v>
      </c>
      <c r="F51">
        <v>386.14</v>
      </c>
      <c r="G51">
        <v>388.11</v>
      </c>
      <c r="H51">
        <v>385.32</v>
      </c>
      <c r="I51">
        <v>386.74</v>
      </c>
      <c r="J51">
        <v>386.32</v>
      </c>
      <c r="K51" s="205"/>
      <c r="M51" s="377"/>
      <c r="N51" s="204">
        <v>387.46000000000004</v>
      </c>
      <c r="O51" s="204">
        <v>386.97999999999996</v>
      </c>
      <c r="P51" s="204">
        <v>386.92</v>
      </c>
      <c r="Q51" s="204">
        <v>387.04999999999995</v>
      </c>
      <c r="R51" s="204">
        <v>386.64</v>
      </c>
      <c r="S51" s="204">
        <v>388.65000000000003</v>
      </c>
      <c r="T51" s="204">
        <v>385.71999999999997</v>
      </c>
      <c r="U51" s="204">
        <v>387.12</v>
      </c>
      <c r="V51" s="204">
        <v>386.82</v>
      </c>
      <c r="W51" s="203">
        <v>385</v>
      </c>
      <c r="Z51" s="23" t="str">
        <v>13/02/2024  06:09</v>
      </c>
      <c r="AA51">
        <v>385.2</v>
      </c>
      <c r="AB51">
        <v>385.2</v>
      </c>
      <c r="AC51">
        <v>386.2</v>
      </c>
    </row>
    <row r="52" spans="1:29" ht="14.45" customHeight="1" x14ac:dyDescent="0.25">
      <c r="A52" s="23" t="str">
        <v>13/02/2024  06:10</v>
      </c>
      <c r="B52">
        <v>386.87</v>
      </c>
      <c r="C52">
        <v>386.48</v>
      </c>
      <c r="D52">
        <v>386.41</v>
      </c>
      <c r="E52">
        <v>386.49</v>
      </c>
      <c r="F52">
        <v>386.1</v>
      </c>
      <c r="G52">
        <v>388.02</v>
      </c>
      <c r="H52">
        <v>385.18</v>
      </c>
      <c r="I52">
        <v>386.71</v>
      </c>
      <c r="J52">
        <v>386.3</v>
      </c>
      <c r="K52" s="205"/>
      <c r="M52" s="377"/>
      <c r="N52" s="204">
        <v>387.42</v>
      </c>
      <c r="O52" s="204">
        <v>386.82</v>
      </c>
      <c r="P52" s="204">
        <v>386.88000000000005</v>
      </c>
      <c r="Q52" s="204">
        <v>387.01</v>
      </c>
      <c r="R52" s="204">
        <v>386.6</v>
      </c>
      <c r="S52" s="204">
        <v>388.56</v>
      </c>
      <c r="T52" s="204">
        <v>385.58</v>
      </c>
      <c r="U52" s="204">
        <v>387.09</v>
      </c>
      <c r="V52" s="204">
        <v>386.8</v>
      </c>
      <c r="W52" s="203">
        <v>385</v>
      </c>
      <c r="Z52" s="23" t="str">
        <v>13/02/2024  06:10</v>
      </c>
      <c r="AA52">
        <v>385.1</v>
      </c>
      <c r="AB52">
        <v>385.1</v>
      </c>
      <c r="AC52">
        <v>386</v>
      </c>
    </row>
    <row r="53" spans="1:29" ht="14.45" customHeight="1" x14ac:dyDescent="0.25">
      <c r="A53" s="23" t="str">
        <v>13/02/2024  06:11</v>
      </c>
      <c r="B53">
        <v>387.01</v>
      </c>
      <c r="C53">
        <v>386.65</v>
      </c>
      <c r="D53">
        <v>386.51</v>
      </c>
      <c r="E53">
        <v>386.65</v>
      </c>
      <c r="F53">
        <v>386.23</v>
      </c>
      <c r="G53">
        <v>388.22</v>
      </c>
      <c r="H53">
        <v>385.33</v>
      </c>
      <c r="I53">
        <v>386.88</v>
      </c>
      <c r="J53">
        <v>386.46</v>
      </c>
      <c r="K53" s="205"/>
      <c r="M53" s="377"/>
      <c r="N53" s="204">
        <v>387.56</v>
      </c>
      <c r="O53" s="204">
        <v>386.98999999999995</v>
      </c>
      <c r="P53" s="204">
        <v>386.98</v>
      </c>
      <c r="Q53" s="204">
        <v>387.16999999999996</v>
      </c>
      <c r="R53" s="204">
        <v>386.73</v>
      </c>
      <c r="S53" s="204">
        <v>388.76000000000005</v>
      </c>
      <c r="T53" s="204">
        <v>385.72999999999996</v>
      </c>
      <c r="U53" s="204">
        <v>387.26</v>
      </c>
      <c r="V53" s="204">
        <v>386.96</v>
      </c>
      <c r="W53" s="203">
        <v>385</v>
      </c>
      <c r="Z53" s="23" t="str">
        <v>13/02/2024  06:11</v>
      </c>
      <c r="AA53">
        <v>385.1</v>
      </c>
      <c r="AB53">
        <v>385</v>
      </c>
      <c r="AC53">
        <v>386</v>
      </c>
    </row>
    <row r="54" spans="1:29" ht="14.45" customHeight="1" x14ac:dyDescent="0.25">
      <c r="A54" s="23" t="str">
        <v>13/02/2024  06:12</v>
      </c>
      <c r="B54">
        <v>386.97</v>
      </c>
      <c r="C54">
        <v>386.62</v>
      </c>
      <c r="D54">
        <v>386.47</v>
      </c>
      <c r="E54">
        <v>386.61</v>
      </c>
      <c r="F54">
        <v>386.32</v>
      </c>
      <c r="G54">
        <v>388.19</v>
      </c>
      <c r="H54">
        <v>385.25</v>
      </c>
      <c r="I54">
        <v>386.9</v>
      </c>
      <c r="J54">
        <v>386.45</v>
      </c>
      <c r="K54" s="205"/>
      <c r="M54" s="377"/>
      <c r="N54" s="204">
        <v>387.52000000000004</v>
      </c>
      <c r="O54" s="204">
        <v>386.96</v>
      </c>
      <c r="P54" s="204">
        <v>386.94000000000005</v>
      </c>
      <c r="Q54" s="204">
        <v>387.13</v>
      </c>
      <c r="R54" s="204">
        <v>386.82</v>
      </c>
      <c r="S54" s="204">
        <v>388.73</v>
      </c>
      <c r="T54" s="204">
        <v>385.65</v>
      </c>
      <c r="U54" s="204">
        <v>387.28</v>
      </c>
      <c r="V54" s="204">
        <v>386.95</v>
      </c>
      <c r="W54" s="203">
        <v>385</v>
      </c>
      <c r="Z54" s="23" t="str">
        <v>13/02/2024  06:12</v>
      </c>
      <c r="AA54">
        <v>385.2</v>
      </c>
      <c r="AB54">
        <v>385</v>
      </c>
      <c r="AC54">
        <v>386.1</v>
      </c>
    </row>
    <row r="55" spans="1:29" ht="14.45" customHeight="1" x14ac:dyDescent="0.25">
      <c r="A55" s="23" t="str">
        <v>13/02/2024  06:13</v>
      </c>
      <c r="B55">
        <v>386.87</v>
      </c>
      <c r="C55">
        <v>386.58</v>
      </c>
      <c r="D55">
        <v>386.41</v>
      </c>
      <c r="E55">
        <v>386.46</v>
      </c>
      <c r="F55">
        <v>386.09</v>
      </c>
      <c r="G55">
        <v>388.09</v>
      </c>
      <c r="H55">
        <v>385.25</v>
      </c>
      <c r="I55">
        <v>386.62</v>
      </c>
      <c r="J55">
        <v>386.28</v>
      </c>
      <c r="K55" s="205"/>
      <c r="M55" s="377"/>
      <c r="N55" s="204">
        <v>387.42</v>
      </c>
      <c r="O55" s="204">
        <v>386.91999999999996</v>
      </c>
      <c r="P55" s="204">
        <v>386.88000000000005</v>
      </c>
      <c r="Q55" s="204">
        <v>386.97999999999996</v>
      </c>
      <c r="R55" s="204">
        <v>386.59</v>
      </c>
      <c r="S55" s="204">
        <v>388.63</v>
      </c>
      <c r="T55" s="204">
        <v>385.65</v>
      </c>
      <c r="U55" s="204">
        <v>387</v>
      </c>
      <c r="V55" s="204">
        <v>386.78</v>
      </c>
      <c r="W55" s="203">
        <v>385</v>
      </c>
      <c r="Z55" s="23" t="str">
        <v>13/02/2024  06:13</v>
      </c>
      <c r="AA55">
        <v>385.1</v>
      </c>
      <c r="AB55">
        <v>385.1</v>
      </c>
      <c r="AC55">
        <v>386</v>
      </c>
    </row>
    <row r="56" spans="1:29" ht="14.45" customHeight="1" x14ac:dyDescent="0.25">
      <c r="A56" s="23" t="str">
        <v>13/02/2024  06:14</v>
      </c>
      <c r="B56">
        <v>386.85</v>
      </c>
      <c r="C56">
        <v>386.58</v>
      </c>
      <c r="D56">
        <v>386.4</v>
      </c>
      <c r="E56">
        <v>386.49</v>
      </c>
      <c r="F56">
        <v>385.99</v>
      </c>
      <c r="G56">
        <v>387.98</v>
      </c>
      <c r="H56">
        <v>385.33</v>
      </c>
      <c r="I56">
        <v>386.61</v>
      </c>
      <c r="J56">
        <v>386.29</v>
      </c>
      <c r="K56" s="205"/>
      <c r="M56" s="377"/>
      <c r="N56" s="204">
        <v>387.40000000000003</v>
      </c>
      <c r="O56" s="204">
        <v>386.91999999999996</v>
      </c>
      <c r="P56" s="204">
        <v>386.87</v>
      </c>
      <c r="Q56" s="204">
        <v>387.01</v>
      </c>
      <c r="R56" s="204">
        <v>386.49</v>
      </c>
      <c r="S56" s="204">
        <v>388.52000000000004</v>
      </c>
      <c r="T56" s="204">
        <v>385.72999999999996</v>
      </c>
      <c r="U56" s="204">
        <v>386.99</v>
      </c>
      <c r="V56" s="204">
        <v>386.79</v>
      </c>
      <c r="W56" s="203">
        <v>385</v>
      </c>
      <c r="Z56" s="23" t="str">
        <v>13/02/2024  06:14</v>
      </c>
      <c r="AA56">
        <v>385.1</v>
      </c>
      <c r="AB56">
        <v>385.1</v>
      </c>
      <c r="AC56">
        <v>386</v>
      </c>
    </row>
    <row r="57" spans="1:29" ht="14.45" customHeight="1" x14ac:dyDescent="0.25">
      <c r="A57" s="23" t="str">
        <v>13/02/2024  06:15</v>
      </c>
      <c r="B57">
        <v>386.94</v>
      </c>
      <c r="C57">
        <v>386.56</v>
      </c>
      <c r="D57">
        <v>386.45</v>
      </c>
      <c r="E57">
        <v>386.54</v>
      </c>
      <c r="F57">
        <v>386.15</v>
      </c>
      <c r="G57">
        <v>388.07</v>
      </c>
      <c r="H57">
        <v>385.34</v>
      </c>
      <c r="I57">
        <v>386.69</v>
      </c>
      <c r="J57">
        <v>386.35</v>
      </c>
      <c r="K57" s="205"/>
      <c r="M57" s="377"/>
      <c r="N57" s="204">
        <v>387.49</v>
      </c>
      <c r="O57" s="204">
        <v>386.9</v>
      </c>
      <c r="P57" s="204">
        <v>386.92</v>
      </c>
      <c r="Q57" s="204">
        <v>387.06</v>
      </c>
      <c r="R57" s="204">
        <v>386.65</v>
      </c>
      <c r="S57" s="204">
        <v>388.61</v>
      </c>
      <c r="T57" s="204">
        <v>385.73999999999995</v>
      </c>
      <c r="U57" s="204">
        <v>387.07</v>
      </c>
      <c r="V57" s="204">
        <v>386.85</v>
      </c>
      <c r="W57" s="203">
        <v>385</v>
      </c>
      <c r="Z57" s="23" t="str">
        <v>13/02/2024  06:15</v>
      </c>
      <c r="AA57">
        <v>385.1</v>
      </c>
      <c r="AB57">
        <v>385.1</v>
      </c>
      <c r="AC57">
        <v>386</v>
      </c>
    </row>
    <row r="58" spans="1:29" ht="14.45" customHeight="1" x14ac:dyDescent="0.25">
      <c r="A58" s="23" t="str">
        <v>13/02/2024  06:16</v>
      </c>
      <c r="B58">
        <v>386.85</v>
      </c>
      <c r="C58">
        <v>386.59</v>
      </c>
      <c r="D58">
        <v>386.44</v>
      </c>
      <c r="E58">
        <v>386.45</v>
      </c>
      <c r="F58">
        <v>386.15</v>
      </c>
      <c r="G58">
        <v>388</v>
      </c>
      <c r="H58">
        <v>385.17</v>
      </c>
      <c r="I58">
        <v>386.65</v>
      </c>
      <c r="J58">
        <v>386.21</v>
      </c>
      <c r="K58" s="205"/>
      <c r="M58" s="377"/>
      <c r="N58" s="204">
        <v>387.40000000000003</v>
      </c>
      <c r="O58" s="204">
        <v>386.92999999999995</v>
      </c>
      <c r="P58" s="204">
        <v>386.91</v>
      </c>
      <c r="Q58" s="204">
        <v>386.96999999999997</v>
      </c>
      <c r="R58" s="204">
        <v>386.65</v>
      </c>
      <c r="S58" s="204">
        <v>388.54</v>
      </c>
      <c r="T58" s="204">
        <v>385.57</v>
      </c>
      <c r="U58" s="204">
        <v>387.03</v>
      </c>
      <c r="V58" s="204">
        <v>386.71</v>
      </c>
      <c r="W58" s="203">
        <v>385</v>
      </c>
      <c r="Z58" s="23" t="str">
        <v>13/02/2024  06:16</v>
      </c>
      <c r="AA58">
        <v>385.1</v>
      </c>
      <c r="AB58">
        <v>385.1</v>
      </c>
      <c r="AC58">
        <v>386</v>
      </c>
    </row>
    <row r="59" spans="1:29" ht="14.45" customHeight="1" x14ac:dyDescent="0.25">
      <c r="A59" s="23" t="str">
        <v>13/02/2024  06:17</v>
      </c>
      <c r="B59">
        <v>387</v>
      </c>
      <c r="C59">
        <v>386.69</v>
      </c>
      <c r="D59">
        <v>386.53</v>
      </c>
      <c r="E59">
        <v>386.61</v>
      </c>
      <c r="F59">
        <v>386.32</v>
      </c>
      <c r="G59">
        <v>388.18</v>
      </c>
      <c r="H59">
        <v>385.4</v>
      </c>
      <c r="I59">
        <v>386.77</v>
      </c>
      <c r="J59">
        <v>386.41</v>
      </c>
      <c r="K59" s="205"/>
      <c r="M59" s="377"/>
      <c r="N59" s="204">
        <v>387.55</v>
      </c>
      <c r="O59" s="204">
        <v>387.03</v>
      </c>
      <c r="P59" s="204">
        <v>387</v>
      </c>
      <c r="Q59" s="204">
        <v>387.13</v>
      </c>
      <c r="R59" s="204">
        <v>386.82</v>
      </c>
      <c r="S59" s="204">
        <v>388.72</v>
      </c>
      <c r="T59" s="204">
        <v>385.79999999999995</v>
      </c>
      <c r="U59" s="204">
        <v>387.15</v>
      </c>
      <c r="V59" s="204">
        <v>386.91</v>
      </c>
      <c r="W59" s="203">
        <v>385</v>
      </c>
      <c r="Z59" s="23" t="str">
        <v>13/02/2024  06:17</v>
      </c>
      <c r="AA59">
        <v>385.1</v>
      </c>
      <c r="AB59">
        <v>385</v>
      </c>
      <c r="AC59">
        <v>386</v>
      </c>
    </row>
    <row r="60" spans="1:29" ht="14.45" customHeight="1" x14ac:dyDescent="0.25">
      <c r="A60" s="23" t="str">
        <v>13/02/2024  06:18</v>
      </c>
      <c r="B60">
        <v>386.83</v>
      </c>
      <c r="C60">
        <v>386.55</v>
      </c>
      <c r="D60">
        <v>386.45</v>
      </c>
      <c r="E60">
        <v>386.48</v>
      </c>
      <c r="F60">
        <v>386.08</v>
      </c>
      <c r="G60">
        <v>388.02</v>
      </c>
      <c r="H60">
        <v>385.3</v>
      </c>
      <c r="I60">
        <v>386.67</v>
      </c>
      <c r="J60">
        <v>386.28</v>
      </c>
      <c r="K60" s="205"/>
      <c r="M60" s="377"/>
      <c r="N60" s="204">
        <v>387.38</v>
      </c>
      <c r="O60" s="204">
        <v>386.89</v>
      </c>
      <c r="P60" s="204">
        <v>386.92</v>
      </c>
      <c r="Q60" s="204">
        <v>387</v>
      </c>
      <c r="R60" s="204">
        <v>386.58</v>
      </c>
      <c r="S60" s="204">
        <v>388.56</v>
      </c>
      <c r="T60" s="204">
        <v>385.7</v>
      </c>
      <c r="U60" s="204">
        <v>387.05</v>
      </c>
      <c r="V60" s="204">
        <v>386.78</v>
      </c>
      <c r="W60" s="203">
        <v>385</v>
      </c>
      <c r="Z60" s="23" t="str">
        <v>13/02/2024  06:18</v>
      </c>
      <c r="AA60">
        <v>385.2</v>
      </c>
      <c r="AB60">
        <v>385.1</v>
      </c>
      <c r="AC60">
        <v>386</v>
      </c>
    </row>
    <row r="61" spans="1:29" ht="14.45" customHeight="1" x14ac:dyDescent="0.25">
      <c r="A61" s="23" t="str">
        <v>13/02/2024  06:19</v>
      </c>
      <c r="B61">
        <v>386.78</v>
      </c>
      <c r="C61">
        <v>386.45</v>
      </c>
      <c r="D61">
        <v>386.38</v>
      </c>
      <c r="E61">
        <v>386.4</v>
      </c>
      <c r="F61">
        <v>385.75</v>
      </c>
      <c r="G61">
        <v>387.9</v>
      </c>
      <c r="H61">
        <v>385.19</v>
      </c>
      <c r="I61">
        <v>386.51</v>
      </c>
      <c r="J61">
        <v>386.2</v>
      </c>
      <c r="K61" s="205"/>
      <c r="M61" s="377"/>
      <c r="N61" s="204">
        <v>387.33</v>
      </c>
      <c r="O61" s="204">
        <v>386.78999999999996</v>
      </c>
      <c r="P61" s="204">
        <v>386.85</v>
      </c>
      <c r="Q61" s="204">
        <v>386.91999999999996</v>
      </c>
      <c r="R61" s="204">
        <v>386.25</v>
      </c>
      <c r="S61" s="204">
        <v>388.44</v>
      </c>
      <c r="T61" s="204">
        <v>385.59</v>
      </c>
      <c r="U61" s="204">
        <v>386.89</v>
      </c>
      <c r="V61" s="204">
        <v>386.7</v>
      </c>
      <c r="W61" s="203">
        <v>385</v>
      </c>
      <c r="Z61" s="23" t="str">
        <v>13/02/2024  06:19</v>
      </c>
      <c r="AA61">
        <v>385</v>
      </c>
      <c r="AB61">
        <v>385.1</v>
      </c>
      <c r="AC61">
        <v>386</v>
      </c>
    </row>
    <row r="62" spans="1:29" ht="14.45" customHeight="1" x14ac:dyDescent="0.25">
      <c r="A62" s="23" t="str">
        <v>13/02/2024  06:20</v>
      </c>
      <c r="B62">
        <v>386.78</v>
      </c>
      <c r="C62">
        <v>386.46</v>
      </c>
      <c r="D62">
        <v>386.33</v>
      </c>
      <c r="E62">
        <v>386.39</v>
      </c>
      <c r="F62">
        <v>385.99</v>
      </c>
      <c r="G62">
        <v>387.96</v>
      </c>
      <c r="H62">
        <v>385.21</v>
      </c>
      <c r="I62">
        <v>386.56</v>
      </c>
      <c r="J62">
        <v>386.21</v>
      </c>
      <c r="K62" s="205"/>
      <c r="M62" s="377"/>
      <c r="N62" s="204">
        <v>387.33</v>
      </c>
      <c r="O62" s="204">
        <v>386.79999999999995</v>
      </c>
      <c r="P62" s="204">
        <v>386.8</v>
      </c>
      <c r="Q62" s="204">
        <v>386.90999999999997</v>
      </c>
      <c r="R62" s="204">
        <v>386.49</v>
      </c>
      <c r="S62" s="204">
        <v>388.5</v>
      </c>
      <c r="T62" s="204">
        <v>385.60999999999996</v>
      </c>
      <c r="U62" s="204">
        <v>386.94</v>
      </c>
      <c r="V62" s="204">
        <v>386.71</v>
      </c>
      <c r="W62" s="203">
        <v>385</v>
      </c>
      <c r="Z62" s="23" t="str">
        <v>13/02/2024  06:20</v>
      </c>
      <c r="AA62">
        <v>385</v>
      </c>
      <c r="AB62">
        <v>385</v>
      </c>
      <c r="AC62">
        <v>386</v>
      </c>
    </row>
    <row r="63" spans="1:29" ht="14.45" customHeight="1" x14ac:dyDescent="0.25">
      <c r="A63" s="23" t="str">
        <v>13/02/2024  06:21</v>
      </c>
      <c r="B63">
        <v>386.86</v>
      </c>
      <c r="C63">
        <v>386.51</v>
      </c>
      <c r="D63">
        <v>386.44</v>
      </c>
      <c r="E63">
        <v>386.47</v>
      </c>
      <c r="F63">
        <v>386</v>
      </c>
      <c r="G63">
        <v>387.9</v>
      </c>
      <c r="H63">
        <v>385.24</v>
      </c>
      <c r="I63">
        <v>386.66</v>
      </c>
      <c r="J63">
        <v>386.26</v>
      </c>
      <c r="K63" s="205"/>
      <c r="M63" s="377"/>
      <c r="N63" s="204">
        <v>387.41</v>
      </c>
      <c r="O63" s="204">
        <v>386.84999999999997</v>
      </c>
      <c r="P63" s="204">
        <v>386.91</v>
      </c>
      <c r="Q63" s="204">
        <v>386.99</v>
      </c>
      <c r="R63" s="204">
        <v>386.5</v>
      </c>
      <c r="S63" s="204">
        <v>388.44</v>
      </c>
      <c r="T63" s="204">
        <v>385.64</v>
      </c>
      <c r="U63" s="204">
        <v>387.04</v>
      </c>
      <c r="V63" s="204">
        <v>386.76</v>
      </c>
      <c r="W63" s="203">
        <v>385</v>
      </c>
      <c r="Z63" s="23" t="str">
        <v>13/02/2024  06:21</v>
      </c>
      <c r="AA63">
        <v>385</v>
      </c>
      <c r="AB63">
        <v>385.1</v>
      </c>
      <c r="AC63">
        <v>385.9</v>
      </c>
    </row>
    <row r="64" spans="1:29" ht="14.45" customHeight="1" x14ac:dyDescent="0.25">
      <c r="A64" s="23" t="str">
        <v>13/02/2024  06:22</v>
      </c>
      <c r="B64">
        <v>386.92</v>
      </c>
      <c r="C64">
        <v>386.57</v>
      </c>
      <c r="D64">
        <v>386.45</v>
      </c>
      <c r="E64">
        <v>386.55</v>
      </c>
      <c r="F64">
        <v>385.88</v>
      </c>
      <c r="G64">
        <v>387.99</v>
      </c>
      <c r="H64">
        <v>385.33</v>
      </c>
      <c r="I64">
        <v>386.7</v>
      </c>
      <c r="J64">
        <v>386.32</v>
      </c>
      <c r="K64" s="205"/>
      <c r="M64" s="377"/>
      <c r="N64" s="204">
        <v>387.47</v>
      </c>
      <c r="O64" s="204">
        <v>386.90999999999997</v>
      </c>
      <c r="P64" s="204">
        <v>386.92</v>
      </c>
      <c r="Q64" s="204">
        <v>387.07</v>
      </c>
      <c r="R64" s="204">
        <v>386.38</v>
      </c>
      <c r="S64" s="204">
        <v>388.53000000000003</v>
      </c>
      <c r="T64" s="204">
        <v>385.72999999999996</v>
      </c>
      <c r="U64" s="204">
        <v>387.08</v>
      </c>
      <c r="V64" s="204">
        <v>386.82</v>
      </c>
      <c r="W64" s="203">
        <v>385</v>
      </c>
      <c r="Z64" s="23" t="str">
        <v>13/02/2024  06:22</v>
      </c>
      <c r="AA64">
        <v>385.1</v>
      </c>
      <c r="AB64">
        <v>385</v>
      </c>
      <c r="AC64">
        <v>386</v>
      </c>
    </row>
    <row r="65" spans="1:29" ht="14.45" customHeight="1" x14ac:dyDescent="0.25">
      <c r="A65" s="23" t="str">
        <v>13/02/2024  06:23</v>
      </c>
      <c r="B65">
        <v>386.97</v>
      </c>
      <c r="C65">
        <v>386.67</v>
      </c>
      <c r="D65">
        <v>386.48</v>
      </c>
      <c r="E65">
        <v>386.55</v>
      </c>
      <c r="F65">
        <v>386.38</v>
      </c>
      <c r="G65">
        <v>388.09</v>
      </c>
      <c r="H65">
        <v>385.29</v>
      </c>
      <c r="I65">
        <v>386.71</v>
      </c>
      <c r="J65">
        <v>386.33</v>
      </c>
      <c r="K65" s="205"/>
      <c r="M65" s="377"/>
      <c r="N65" s="204">
        <v>387.52000000000004</v>
      </c>
      <c r="O65" s="204">
        <v>387.01</v>
      </c>
      <c r="P65" s="204">
        <v>386.95000000000005</v>
      </c>
      <c r="Q65" s="204">
        <v>387.07</v>
      </c>
      <c r="R65" s="204">
        <v>386.88</v>
      </c>
      <c r="S65" s="204">
        <v>388.63</v>
      </c>
      <c r="T65" s="204">
        <v>385.69</v>
      </c>
      <c r="U65" s="204">
        <v>387.09</v>
      </c>
      <c r="V65" s="204">
        <v>386.83</v>
      </c>
      <c r="W65" s="203">
        <v>385</v>
      </c>
      <c r="Z65" s="23" t="str">
        <v>13/02/2024  06:23</v>
      </c>
      <c r="AA65">
        <v>385.1</v>
      </c>
      <c r="AB65">
        <v>385</v>
      </c>
      <c r="AC65">
        <v>386</v>
      </c>
    </row>
    <row r="66" spans="1:29" ht="14.45" customHeight="1" x14ac:dyDescent="0.25">
      <c r="A66" s="23" t="str">
        <v>13/02/2024  06:24</v>
      </c>
      <c r="B66">
        <v>386.93</v>
      </c>
      <c r="C66">
        <v>386.62</v>
      </c>
      <c r="D66">
        <v>386.48</v>
      </c>
      <c r="E66">
        <v>386.5</v>
      </c>
      <c r="F66">
        <v>386.08</v>
      </c>
      <c r="G66">
        <v>387.98</v>
      </c>
      <c r="H66">
        <v>385.34</v>
      </c>
      <c r="I66">
        <v>386.62</v>
      </c>
      <c r="J66">
        <v>386.31</v>
      </c>
      <c r="K66" s="205"/>
      <c r="M66" s="377"/>
      <c r="N66" s="204">
        <v>387.48</v>
      </c>
      <c r="O66" s="204">
        <v>386.96</v>
      </c>
      <c r="P66" s="204">
        <v>386.95000000000005</v>
      </c>
      <c r="Q66" s="204">
        <v>387.02</v>
      </c>
      <c r="R66" s="204">
        <v>386.58</v>
      </c>
      <c r="S66" s="204">
        <v>388.52000000000004</v>
      </c>
      <c r="T66" s="204">
        <v>385.73999999999995</v>
      </c>
      <c r="U66" s="204">
        <v>387</v>
      </c>
      <c r="V66" s="204">
        <v>386.81</v>
      </c>
      <c r="W66" s="203">
        <v>385</v>
      </c>
      <c r="Z66" s="23" t="str">
        <v>13/02/2024  06:24</v>
      </c>
      <c r="AA66">
        <v>385.1</v>
      </c>
      <c r="AB66">
        <v>385</v>
      </c>
      <c r="AC66">
        <v>386</v>
      </c>
    </row>
    <row r="67" spans="1:29" ht="14.45" customHeight="1" x14ac:dyDescent="0.25">
      <c r="A67" s="379"/>
      <c r="B67" s="379"/>
      <c r="C67" s="379"/>
      <c r="D67" s="379"/>
      <c r="E67" s="379"/>
      <c r="F67" s="379"/>
      <c r="G67" s="379"/>
      <c r="H67" s="379"/>
      <c r="I67" s="379"/>
      <c r="J67" s="379"/>
      <c r="K67" s="379"/>
      <c r="L67" s="379"/>
      <c r="M67" s="379"/>
      <c r="N67" s="379"/>
      <c r="O67" s="379"/>
      <c r="P67" s="379"/>
      <c r="Q67" s="379"/>
      <c r="R67" s="379"/>
      <c r="S67" s="379"/>
      <c r="T67" s="379"/>
      <c r="U67" s="379"/>
      <c r="V67" s="379"/>
      <c r="W67" s="379"/>
      <c r="Z67" s="23"/>
    </row>
    <row r="68" spans="1:29" ht="14.45" customHeight="1" x14ac:dyDescent="0.25">
      <c r="A68" s="23"/>
      <c r="K68" s="205"/>
      <c r="Z68" s="23"/>
    </row>
    <row r="69" spans="1:29" ht="14.45" customHeight="1" x14ac:dyDescent="0.25">
      <c r="A69" s="23"/>
      <c r="K69" s="205"/>
      <c r="M69" s="92" t="s">
        <v>90</v>
      </c>
      <c r="N69" s="43">
        <f>MAX(tab_transfert385[Connecteur 1])+N$2+N$3</f>
        <v>387.64</v>
      </c>
      <c r="O69" s="43">
        <f>MAX(tab_transfert385[Connecteur 2])+O$2+O$3</f>
        <v>387.03</v>
      </c>
      <c r="P69" s="43">
        <f>MAX(tab_transfert385[Connecteur 3])+P$2+P$3</f>
        <v>387</v>
      </c>
      <c r="Q69" s="43">
        <f>MAX(tab_transfert385[Connecteur 4])+Q$2+Q$3</f>
        <v>387.26</v>
      </c>
      <c r="R69" s="43">
        <f>MAX(tab_transfert385[Connecteur 5])+R$2+R$3</f>
        <v>387.53</v>
      </c>
      <c r="S69" s="43">
        <f>MAX(tab_transfert385[Connecteur 6])+S$2+S$3</f>
        <v>389.94</v>
      </c>
      <c r="T69" s="43">
        <f>MAX(tab_transfert385[Connecteur 7])+T$2+T$3</f>
        <v>385.79999999999995</v>
      </c>
      <c r="U69" s="43">
        <f>MAX(tab_transfert385[Connecteur 8])+U$2+U$3</f>
        <v>388.90999999999997</v>
      </c>
      <c r="V69" s="43">
        <f>MAX(tab_transfert385[Connecteur 9])+V$2+V$3</f>
        <v>387.07</v>
      </c>
      <c r="W69" s="201">
        <f>MAX(N69:V69)</f>
        <v>389.94</v>
      </c>
      <c r="Z69" s="23"/>
    </row>
    <row r="70" spans="1:29" ht="14.45" customHeight="1" x14ac:dyDescent="0.25">
      <c r="A70" s="23"/>
      <c r="K70" s="205"/>
      <c r="M70" s="200" t="s">
        <v>91</v>
      </c>
      <c r="N70" s="199">
        <f ca="1">MAX(OFFSET(INDEX(tab_transfert385[Connecteur 1],1),COUNT(tab_transfert385[Connecteur 1])-30,0,30))+N$2+N$3</f>
        <v>387.64</v>
      </c>
      <c r="O70" s="199">
        <f ca="1">MAX(OFFSET(INDEX(tab_transfert385[Connecteur 2],1),COUNT(tab_transfert385[Connecteur 2])-30,0,30))+O$2+O$3</f>
        <v>387.03</v>
      </c>
      <c r="P70" s="199">
        <f ca="1">MAX(OFFSET(INDEX(tab_transfert385[Connecteur 3],1),COUNT(tab_transfert385[Connecteur 3])-30,0,30))+P$2+P$3</f>
        <v>387</v>
      </c>
      <c r="Q70" s="199">
        <f ca="1">MAX(OFFSET(INDEX(tab_transfert385[Connecteur 4],1),COUNT(tab_transfert385[Connecteur 4])-30,0,30))+Q$2+Q$3</f>
        <v>387.26</v>
      </c>
      <c r="R70" s="199">
        <f ca="1">MAX(OFFSET(INDEX(tab_transfert385[Connecteur 5],1),COUNT(tab_transfert385[Connecteur 5])-30,0,30))+R$2+R$3</f>
        <v>387.02</v>
      </c>
      <c r="S70" s="199">
        <f ca="1">MAX(OFFSET(INDEX(tab_transfert385[Connecteur 6],1),COUNT(tab_transfert385[Connecteur 6])-30,0,30))+S$2+S$3</f>
        <v>389.01000000000005</v>
      </c>
      <c r="T70" s="199">
        <f ca="1">MAX(OFFSET(INDEX(tab_transfert385[Connecteur 7],1),COUNT(tab_transfert385[Connecteur 7])-30,0,30))+T$2+T$3</f>
        <v>385.79999999999995</v>
      </c>
      <c r="U70" s="199">
        <f ca="1">MAX(OFFSET(INDEX(tab_transfert385[Connecteur 8],1),COUNT(tab_transfert385[Connecteur 8])-30,0,30))+U$2+U$3</f>
        <v>387.48</v>
      </c>
      <c r="V70" s="199">
        <f ca="1">MAX(OFFSET(INDEX(tab_transfert385[Connecteur 9],1),COUNT(tab_transfert385[Connecteur 9])-30,0,30))+V$2+V$3</f>
        <v>387.07</v>
      </c>
      <c r="W70" s="201">
        <f ca="1">MAX(N70:V70)</f>
        <v>389.01000000000005</v>
      </c>
      <c r="Z70" s="23"/>
    </row>
    <row r="71" spans="1:29" ht="14.45" customHeight="1" x14ac:dyDescent="0.25">
      <c r="A71" s="23"/>
      <c r="K71" s="205"/>
      <c r="M71" s="200" t="s">
        <v>93</v>
      </c>
      <c r="N71" s="199">
        <f ca="1">MIN(OFFSET(INDEX(tab_transfert385[Connecteur 1],1),COUNT(tab_transfert385[Connecteur 1])-30,0,30))+N$2+N$3</f>
        <v>387.25</v>
      </c>
      <c r="O71" s="199">
        <f ca="1">MIN(OFFSET(INDEX(tab_transfert385[Connecteur 2],1),COUNT(tab_transfert385[Connecteur 2])-30,0,30))+O$2+O$3</f>
        <v>386.58</v>
      </c>
      <c r="P71" s="199">
        <f ca="1">MIN(OFFSET(INDEX(tab_transfert385[Connecteur 3],1),COUNT(tab_transfert385[Connecteur 3])-30,0,30))+P$2+P$3</f>
        <v>386.54</v>
      </c>
      <c r="Q71" s="199">
        <f ca="1">MIN(OFFSET(INDEX(tab_transfert385[Connecteur 4],1),COUNT(tab_transfert385[Connecteur 4])-30,0,30))+Q$2+Q$3</f>
        <v>386.87</v>
      </c>
      <c r="R71" s="199">
        <f ca="1">MIN(OFFSET(INDEX(tab_transfert385[Connecteur 5],1),COUNT(tab_transfert385[Connecteur 5])-30,0,30))+R$2+R$3</f>
        <v>386.25</v>
      </c>
      <c r="S71" s="199">
        <f ca="1">MIN(OFFSET(INDEX(tab_transfert385[Connecteur 6],1),COUNT(tab_transfert385[Connecteur 6])-30,0,30))+S$2+S$3</f>
        <v>388.44</v>
      </c>
      <c r="T71" s="199">
        <f ca="1">MIN(OFFSET(INDEX(tab_transfert385[Connecteur 7],1),COUNT(tab_transfert385[Connecteur 7])-30,0,30))+T$2+T$3</f>
        <v>385.39</v>
      </c>
      <c r="U71" s="199">
        <f ca="1">MIN(OFFSET(INDEX(tab_transfert385[Connecteur 8],1),COUNT(tab_transfert385[Connecteur 8])-30,0,30))+U$2+U$3</f>
        <v>386.89</v>
      </c>
      <c r="V71" s="199">
        <f ca="1">MIN(OFFSET(INDEX(tab_transfert385[Connecteur 9],1),COUNT(tab_transfert385[Connecteur 9])-30,0,30))+V$2+V$3</f>
        <v>386.67</v>
      </c>
      <c r="W71" s="201">
        <f ca="1">MIN(N71:V71)</f>
        <v>385.39</v>
      </c>
      <c r="Z71" s="23"/>
    </row>
    <row r="72" spans="1:29" ht="14.45" customHeight="1" x14ac:dyDescent="0.25">
      <c r="A72" s="23"/>
      <c r="K72" s="205"/>
      <c r="M72" s="200" t="s">
        <v>95</v>
      </c>
      <c r="N72" s="199">
        <f ca="1">AVERAGE(OFFSET(INDEX(tab_transfert385[Connecteur 1],1),COUNT(tab_transfert385[Connecteur 1])-30,0,30))+N$2+N$3</f>
        <v>387.41333333333341</v>
      </c>
      <c r="O72" s="199">
        <f ca="1">AVERAGE(OFFSET(INDEX(tab_transfert385[Connecteur 2],1),COUNT(tab_transfert385[Connecteur 2])-30,0,30))+O$2+O$3</f>
        <v>386.85833333333329</v>
      </c>
      <c r="P72" s="199">
        <f ca="1">AVERAGE(OFFSET(INDEX(tab_transfert385[Connecteur 3],1),COUNT(tab_transfert385[Connecteur 3])-30,0,30))+P$2+P$3</f>
        <v>386.83500000000004</v>
      </c>
      <c r="Q72" s="199">
        <f ca="1">AVERAGE(OFFSET(INDEX(tab_transfert385[Connecteur 4],1),COUNT(tab_transfert385[Connecteur 4])-30,0,30))+Q$2+Q$3</f>
        <v>387.02066666666656</v>
      </c>
      <c r="R72" s="199">
        <f ca="1">AVERAGE(OFFSET(INDEX(tab_transfert385[Connecteur 5],1),COUNT(tab_transfert385[Connecteur 5])-30,0,30))+R$2+R$3</f>
        <v>386.68366666666657</v>
      </c>
      <c r="S72" s="199">
        <f ca="1">AVERAGE(OFFSET(INDEX(tab_transfert385[Connecteur 6],1),COUNT(tab_transfert385[Connecteur 6])-30,0,30))+S$2+S$3</f>
        <v>388.6753333333333</v>
      </c>
      <c r="T72" s="199">
        <f ca="1">AVERAGE(OFFSET(INDEX(tab_transfert385[Connecteur 7],1),COUNT(tab_transfert385[Connecteur 7])-30,0,30))+T$2+T$3</f>
        <v>385.61933333333326</v>
      </c>
      <c r="U72" s="199">
        <f ca="1">AVERAGE(OFFSET(INDEX(tab_transfert385[Connecteur 8],1),COUNT(tab_transfert385[Connecteur 8])-30,0,30))+U$2+U$3</f>
        <v>387.14266666666663</v>
      </c>
      <c r="V72" s="199">
        <f ca="1">AVERAGE(OFFSET(INDEX(tab_transfert385[Connecteur 9],1),COUNT(tab_transfert385[Connecteur 9])-30,0,30))+V$2+V$3</f>
        <v>386.82166666666666</v>
      </c>
      <c r="W72" s="27"/>
      <c r="Z72" s="23"/>
    </row>
    <row r="73" spans="1:29" ht="14.45" customHeight="1" x14ac:dyDescent="0.25">
      <c r="A73" s="23"/>
      <c r="K73" s="205"/>
      <c r="M73" s="92" t="s">
        <v>96</v>
      </c>
      <c r="N73" s="43">
        <f t="shared" ref="N73:V73" ca="1" si="0">N70-N71</f>
        <v>0.38999999999998636</v>
      </c>
      <c r="O73" s="43">
        <f t="shared" ca="1" si="0"/>
        <v>0.44999999999998863</v>
      </c>
      <c r="P73" s="43">
        <f t="shared" ca="1" si="0"/>
        <v>0.45999999999997954</v>
      </c>
      <c r="Q73" s="43">
        <f t="shared" ca="1" si="0"/>
        <v>0.38999999999998636</v>
      </c>
      <c r="R73" s="43">
        <f t="shared" ca="1" si="0"/>
        <v>0.76999999999998181</v>
      </c>
      <c r="S73" s="43">
        <f t="shared" ca="1" si="0"/>
        <v>0.57000000000005002</v>
      </c>
      <c r="T73" s="43">
        <f t="shared" ca="1" si="0"/>
        <v>0.40999999999996817</v>
      </c>
      <c r="U73" s="43">
        <f t="shared" ca="1" si="0"/>
        <v>0.59000000000003183</v>
      </c>
      <c r="V73" s="43">
        <f t="shared" ca="1" si="0"/>
        <v>0.39999999999997726</v>
      </c>
      <c r="W73" s="27"/>
      <c r="Z73" s="23"/>
    </row>
    <row r="74" spans="1:29" ht="14.45" customHeight="1" x14ac:dyDescent="0.25">
      <c r="A74" s="23"/>
      <c r="K74" s="205"/>
      <c r="M74" s="92" t="s">
        <v>97</v>
      </c>
      <c r="N74" s="376">
        <f ca="1">ABS(MAX(N70:V70) - MIN(N71:V71))</f>
        <v>3.6200000000000614</v>
      </c>
      <c r="O74" s="376"/>
      <c r="P74" s="376"/>
      <c r="Q74" s="376"/>
      <c r="R74" s="376"/>
      <c r="S74" s="376"/>
      <c r="T74" s="376"/>
      <c r="U74" s="376"/>
      <c r="V74" s="376"/>
      <c r="W74" s="44">
        <f ca="1">N74</f>
        <v>3.6200000000000614</v>
      </c>
      <c r="Z74" s="23"/>
    </row>
    <row r="75" spans="1:29" ht="14.45" customHeight="1" x14ac:dyDescent="0.25">
      <c r="A75" s="23"/>
      <c r="K75" s="205"/>
      <c r="M75" s="92" t="s">
        <v>98</v>
      </c>
      <c r="N75" s="376">
        <f ca="1">AVERAGE(N72:V72)</f>
        <v>387.00777777777773</v>
      </c>
      <c r="O75" s="376"/>
      <c r="P75" s="376"/>
      <c r="Q75" s="376"/>
      <c r="R75" s="376"/>
      <c r="S75" s="376"/>
      <c r="T75" s="376"/>
      <c r="U75" s="376"/>
      <c r="V75" s="376"/>
      <c r="W75" s="44">
        <f ca="1">N75</f>
        <v>387.00777777777773</v>
      </c>
      <c r="Z75" s="23"/>
    </row>
    <row r="76" spans="1:29" ht="14.45" customHeight="1" x14ac:dyDescent="0.25">
      <c r="A76" s="23"/>
      <c r="K76" s="205"/>
      <c r="M76" s="197" t="s">
        <v>340</v>
      </c>
      <c r="N76" s="35" t="str" cm="1">
        <f t="array" ref="N76:V76">tab_transfert385[[#Headers],[Connecteur 1]:[Connecteur 9]]</f>
        <v>Connecteur 1</v>
      </c>
      <c r="O76" s="35" t="str">
        <v>Connecteur 2</v>
      </c>
      <c r="P76" s="35" t="str">
        <v>Connecteur 3</v>
      </c>
      <c r="Q76" s="35" t="str">
        <v>Connecteur 4</v>
      </c>
      <c r="R76" s="35" t="str">
        <v>Connecteur 5</v>
      </c>
      <c r="S76" s="35" t="str">
        <v>Connecteur 6</v>
      </c>
      <c r="T76" s="35" t="str">
        <v>Connecteur 7</v>
      </c>
      <c r="U76" s="35" t="str">
        <v>Connecteur 8</v>
      </c>
      <c r="V76" s="35" t="str">
        <v>Connecteur 9</v>
      </c>
      <c r="W76" s="27"/>
      <c r="Z76" s="23"/>
    </row>
    <row r="77" spans="1:29" ht="14.45" customHeight="1" x14ac:dyDescent="0.25">
      <c r="A77" s="23"/>
      <c r="K77" s="205"/>
      <c r="M77" s="194" t="s">
        <v>339</v>
      </c>
      <c r="N77" s="196">
        <f ca="1">_xlfn.STDEV.S(OFFSET(INDEX(tab_transfert385[Connecteur 1],1),COUNT(tab_transfert385[Connecteur 1])-30,0,30))</f>
        <v>0.10632848689997418</v>
      </c>
      <c r="O77" s="196">
        <f ca="1">_xlfn.STDEV.S(OFFSET(INDEX(tab_transfert385[Connecteur 2],1),COUNT(tab_transfert385[Connecteur 2])-30,0,30))</f>
        <v>0.11858601805508469</v>
      </c>
      <c r="P77" s="196">
        <f ca="1">_xlfn.STDEV.S(OFFSET(INDEX(tab_transfert385[Connecteur 3],1),COUNT(tab_transfert385[Connecteur 3])-30,0,30))</f>
        <v>0.13353935232990008</v>
      </c>
      <c r="Q77" s="196">
        <f ca="1">_xlfn.STDEV.S(OFFSET(INDEX(tab_transfert385[Connecteur 4],1),COUNT(tab_transfert385[Connecteur 4])-30,0,30))</f>
        <v>9.1422978071931685E-2</v>
      </c>
      <c r="R77" s="196">
        <f ca="1">_xlfn.STDEV.S(OFFSET(INDEX(tab_transfert385[Connecteur 5],1),COUNT(tab_transfert385[Connecteur 5])-30,0,30))</f>
        <v>0.18639008655992406</v>
      </c>
      <c r="S77" s="196">
        <f ca="1">_xlfn.STDEV.S(OFFSET(INDEX(tab_transfert385[Connecteur 6],1),COUNT(tab_transfert385[Connecteur 6])-30,0,30))</f>
        <v>0.14258048745287774</v>
      </c>
      <c r="T77" s="196">
        <f ca="1">_xlfn.STDEV.S(OFFSET(INDEX(tab_transfert385[Connecteur 7],1),COUNT(tab_transfert385[Connecteur 7])-30,0,30))</f>
        <v>0.10507577998867791</v>
      </c>
      <c r="U77" s="196">
        <f ca="1">_xlfn.STDEV.S(OFFSET(INDEX(tab_transfert385[Connecteur 8],1),COUNT(tab_transfert385[Connecteur 8])-30,0,30))</f>
        <v>0.14017066773028522</v>
      </c>
      <c r="V77" s="196">
        <f ca="1">_xlfn.STDEV.S(OFFSET(INDEX(tab_transfert385[Connecteur 9],1),COUNT(tab_transfert385[Connecteur 9])-30,0,30))</f>
        <v>9.009892392228766E-2</v>
      </c>
      <c r="W77" s="195">
        <f ca="1">MAX(N77:V77)</f>
        <v>0.18639008655992406</v>
      </c>
      <c r="Z77" s="23"/>
    </row>
    <row r="78" spans="1:29" ht="14.45" customHeight="1" x14ac:dyDescent="0.25">
      <c r="A78" s="23"/>
      <c r="K78" s="205"/>
      <c r="N78" s="27"/>
      <c r="O78" s="27"/>
      <c r="P78" s="27"/>
      <c r="Q78" s="27"/>
      <c r="R78" s="27"/>
      <c r="S78" s="27"/>
      <c r="T78" s="27"/>
      <c r="U78" s="27"/>
      <c r="V78" s="27"/>
      <c r="W78" s="27"/>
      <c r="Z78" s="23"/>
    </row>
    <row r="79" spans="1:29" ht="14.45" customHeight="1" x14ac:dyDescent="0.25">
      <c r="A79" s="23"/>
      <c r="K79" s="205"/>
      <c r="M79" s="194" t="s">
        <v>338</v>
      </c>
      <c r="N79" s="193">
        <f ca="1">W70-(OFFSET(INDEX(tab_four385[Consigne T°],1),COUNT(tab_four385[Consigne T°])-29,0,1))</f>
        <v>4.0100000000000477</v>
      </c>
      <c r="O79" s="27"/>
      <c r="P79" s="27"/>
      <c r="Q79" s="27"/>
      <c r="R79" s="27"/>
      <c r="S79" s="27"/>
      <c r="T79" s="27"/>
      <c r="U79" s="27"/>
      <c r="V79" s="27"/>
      <c r="W79" s="27"/>
      <c r="Z79" s="23"/>
    </row>
    <row r="80" spans="1:29" ht="14.45" customHeight="1" x14ac:dyDescent="0.25">
      <c r="A80" s="23"/>
      <c r="K80" s="205"/>
      <c r="M80" s="194" t="s">
        <v>337</v>
      </c>
      <c r="N80" s="193">
        <f ca="1">W71-(OFFSET(INDEX(tab_four385[Consigne T°],1),COUNT(tab_four385[Consigne T°])-29,0,1))</f>
        <v>0.38999999999998636</v>
      </c>
      <c r="O80" s="27"/>
      <c r="P80" s="27"/>
      <c r="Q80" s="27"/>
      <c r="R80" s="27"/>
      <c r="S80" s="27"/>
      <c r="T80" s="27"/>
      <c r="U80" s="27"/>
      <c r="V80" s="27"/>
      <c r="W80" s="27"/>
      <c r="Z80" s="23"/>
    </row>
    <row r="81" spans="1:26" ht="14.45" customHeight="1" x14ac:dyDescent="0.25">
      <c r="A81" s="23"/>
      <c r="K81" s="205"/>
      <c r="Z81" s="23"/>
    </row>
    <row r="82" spans="1:26" ht="14.45" customHeight="1" x14ac:dyDescent="0.25">
      <c r="A82" s="23"/>
      <c r="K82" s="205"/>
      <c r="Z82" s="23"/>
    </row>
    <row r="83" spans="1:26" ht="14.45" customHeight="1" x14ac:dyDescent="0.25">
      <c r="A83" s="23"/>
      <c r="K83" s="205"/>
      <c r="Z83" s="23"/>
    </row>
    <row r="84" spans="1:26" ht="14.45" customHeight="1" x14ac:dyDescent="0.25">
      <c r="A84" s="23"/>
      <c r="K84" s="205"/>
      <c r="Z84" s="23"/>
    </row>
    <row r="85" spans="1:26" ht="14.45" customHeight="1" x14ac:dyDescent="0.25">
      <c r="A85" s="23"/>
      <c r="K85" s="205"/>
      <c r="Z85" s="23"/>
    </row>
    <row r="86" spans="1:26" ht="14.45" customHeight="1" x14ac:dyDescent="0.25">
      <c r="A86" s="23"/>
      <c r="K86" s="205"/>
      <c r="Z86" s="23"/>
    </row>
    <row r="87" spans="1:26" ht="14.45" customHeight="1" x14ac:dyDescent="0.25">
      <c r="A87" s="23"/>
      <c r="K87" s="205"/>
      <c r="Z87" s="23"/>
    </row>
    <row r="88" spans="1:26" ht="14.45" customHeight="1" x14ac:dyDescent="0.25">
      <c r="A88" s="23"/>
      <c r="K88" s="205"/>
      <c r="Z88" s="23"/>
    </row>
    <row r="89" spans="1:26" ht="14.45" customHeight="1" x14ac:dyDescent="0.25">
      <c r="A89" s="23"/>
      <c r="K89" s="205"/>
      <c r="Z89" s="23"/>
    </row>
    <row r="90" spans="1:26" ht="14.45" customHeight="1" x14ac:dyDescent="0.25">
      <c r="A90" s="23"/>
      <c r="K90" s="205"/>
      <c r="Z90" s="23"/>
    </row>
    <row r="91" spans="1:26" ht="14.45" customHeight="1" x14ac:dyDescent="0.25">
      <c r="A91" s="23"/>
      <c r="K91" s="205"/>
      <c r="Z91" s="23"/>
    </row>
    <row r="92" spans="1:26" ht="14.45" customHeight="1" x14ac:dyDescent="0.25">
      <c r="A92" s="23"/>
      <c r="K92" s="205"/>
      <c r="Z92" s="23"/>
    </row>
    <row r="93" spans="1:26" ht="14.45" customHeight="1" x14ac:dyDescent="0.25">
      <c r="A93" s="23"/>
      <c r="K93" s="205"/>
      <c r="Z93" s="23"/>
    </row>
    <row r="94" spans="1:26" ht="14.45" customHeight="1" x14ac:dyDescent="0.25">
      <c r="A94" s="23"/>
      <c r="K94" s="205"/>
      <c r="Z94" s="23"/>
    </row>
    <row r="95" spans="1:26" ht="14.45" customHeight="1" x14ac:dyDescent="0.25">
      <c r="A95" s="23"/>
      <c r="K95" s="205"/>
      <c r="Z95" s="23"/>
    </row>
    <row r="96" spans="1:26" ht="14.45" customHeight="1" x14ac:dyDescent="0.25">
      <c r="A96" s="23"/>
      <c r="K96" s="205"/>
      <c r="Z96" s="23"/>
    </row>
    <row r="97" spans="1:26" ht="14.45" customHeight="1" x14ac:dyDescent="0.25">
      <c r="A97" s="23"/>
      <c r="K97" s="205"/>
      <c r="Z97" s="23"/>
    </row>
    <row r="98" spans="1:26" ht="14.45" customHeight="1" x14ac:dyDescent="0.25">
      <c r="A98" s="23"/>
      <c r="K98" s="205"/>
      <c r="Z98" s="23"/>
    </row>
    <row r="99" spans="1:26" ht="14.45" customHeight="1" x14ac:dyDescent="0.25">
      <c r="A99" s="23"/>
      <c r="K99" s="205"/>
      <c r="Z99" s="23"/>
    </row>
    <row r="100" spans="1:26" ht="14.45" customHeight="1" x14ac:dyDescent="0.25">
      <c r="A100" s="23"/>
      <c r="K100" s="205"/>
      <c r="Z100" s="23"/>
    </row>
    <row r="101" spans="1:26" ht="14.45" customHeight="1" x14ac:dyDescent="0.25">
      <c r="A101" s="23"/>
      <c r="K101" s="205"/>
      <c r="Z101" s="23"/>
    </row>
    <row r="102" spans="1:26" ht="14.45" customHeight="1" x14ac:dyDescent="0.25">
      <c r="A102" s="23"/>
      <c r="K102" s="205"/>
      <c r="Z102" s="23"/>
    </row>
    <row r="103" spans="1:26" ht="14.45" customHeight="1" x14ac:dyDescent="0.25">
      <c r="A103" s="23"/>
      <c r="K103" s="205"/>
      <c r="Z103" s="23"/>
    </row>
    <row r="104" spans="1:26" ht="14.45" customHeight="1" x14ac:dyDescent="0.25">
      <c r="A104" s="23"/>
      <c r="K104" s="205"/>
      <c r="Z104" s="23"/>
    </row>
    <row r="105" spans="1:26" ht="14.45" customHeight="1" x14ac:dyDescent="0.25">
      <c r="A105" s="23"/>
      <c r="K105" s="205"/>
      <c r="Z105" s="23"/>
    </row>
    <row r="106" spans="1:26" ht="14.45" customHeight="1" x14ac:dyDescent="0.25">
      <c r="A106" s="23"/>
      <c r="K106" s="205"/>
      <c r="Z106" s="23"/>
    </row>
    <row r="107" spans="1:26" ht="14.45" customHeight="1" x14ac:dyDescent="0.25">
      <c r="A107" s="23"/>
      <c r="K107" s="205"/>
      <c r="Z107" s="23"/>
    </row>
    <row r="108" spans="1:26" ht="14.45" customHeight="1" x14ac:dyDescent="0.25">
      <c r="A108" s="23"/>
      <c r="K108" s="205"/>
      <c r="Z108" s="23"/>
    </row>
    <row r="109" spans="1:26" ht="14.45" customHeight="1" x14ac:dyDescent="0.25">
      <c r="A109" s="23"/>
      <c r="K109" s="205"/>
      <c r="Z109" s="23"/>
    </row>
    <row r="110" spans="1:26" ht="14.45" customHeight="1" x14ac:dyDescent="0.25">
      <c r="A110" s="23"/>
      <c r="K110" s="205"/>
      <c r="Z110" s="23"/>
    </row>
    <row r="111" spans="1:26" ht="14.45" customHeight="1" x14ac:dyDescent="0.25">
      <c r="A111" s="23"/>
      <c r="K111" s="205"/>
      <c r="Z111" s="23"/>
    </row>
    <row r="112" spans="1:26" ht="14.45" customHeight="1" x14ac:dyDescent="0.25">
      <c r="A112" s="23"/>
      <c r="K112" s="205"/>
      <c r="Z112" s="23"/>
    </row>
    <row r="113" spans="1:29" ht="14.45" customHeight="1" x14ac:dyDescent="0.25">
      <c r="A113" s="23"/>
      <c r="K113" s="205"/>
      <c r="Z113" s="23"/>
    </row>
    <row r="114" spans="1:29" ht="14.45" customHeight="1" x14ac:dyDescent="0.25">
      <c r="A114" s="23"/>
      <c r="K114" s="205"/>
      <c r="Z114" s="23"/>
    </row>
    <row r="115" spans="1:29" ht="14.45" customHeight="1" x14ac:dyDescent="0.25">
      <c r="A115" s="23"/>
      <c r="K115" s="205"/>
      <c r="Z115" s="23"/>
    </row>
    <row r="116" spans="1:29" ht="14.45" customHeight="1" x14ac:dyDescent="0.25">
      <c r="A116" s="23"/>
      <c r="K116" s="205"/>
      <c r="Z116" s="23"/>
    </row>
    <row r="117" spans="1:29" ht="14.45" customHeight="1" x14ac:dyDescent="0.25">
      <c r="A117" s="23"/>
      <c r="K117" s="205"/>
      <c r="Z117" s="23"/>
    </row>
    <row r="118" spans="1:29" ht="14.45" customHeight="1" x14ac:dyDescent="0.25">
      <c r="A118" s="23"/>
      <c r="K118" s="205"/>
      <c r="Z118" s="23"/>
    </row>
    <row r="119" spans="1:29" ht="14.45" customHeight="1" x14ac:dyDescent="0.25">
      <c r="A119" s="23"/>
      <c r="K119" s="205"/>
      <c r="Z119" s="23"/>
    </row>
    <row r="120" spans="1:29" ht="14.45" customHeight="1" x14ac:dyDescent="0.25">
      <c r="A120" s="23"/>
      <c r="K120" s="205"/>
      <c r="Z120" s="23"/>
    </row>
    <row r="121" spans="1:29" ht="14.45" customHeight="1" x14ac:dyDescent="0.25">
      <c r="A121" s="146"/>
      <c r="B121" s="146"/>
      <c r="C121" s="146"/>
      <c r="D121" s="146"/>
      <c r="E121" s="146"/>
      <c r="F121" s="146"/>
      <c r="G121" s="146"/>
      <c r="H121" s="146"/>
      <c r="I121" s="146"/>
      <c r="J121" s="146"/>
      <c r="K121" s="146"/>
      <c r="L121" s="146"/>
      <c r="X121" s="146"/>
      <c r="Y121" s="146"/>
      <c r="Z121" s="146"/>
      <c r="AA121" s="146"/>
      <c r="AB121" s="146"/>
      <c r="AC121" s="146"/>
    </row>
    <row r="122" spans="1:29" ht="14.45" customHeight="1" x14ac:dyDescent="0.25">
      <c r="X122" s="27"/>
      <c r="Z122" s="23"/>
      <c r="AA122" s="202" t="str" cm="1">
        <f t="array" ref="AA122:AC122">AA6:AC6</f>
        <v>Pt Froid</v>
      </c>
      <c r="AB122" s="202" t="str">
        <v>Regulation</v>
      </c>
      <c r="AC122" s="202" t="str">
        <v>Pt Chaud</v>
      </c>
    </row>
    <row r="123" spans="1:29" ht="14.45" customHeight="1" x14ac:dyDescent="0.25">
      <c r="X123" s="27"/>
      <c r="Z123" s="198" t="s">
        <v>90</v>
      </c>
      <c r="AA123" s="43">
        <f>MAX(tab_four385[Pt Froid])</f>
        <v>386.5</v>
      </c>
      <c r="AB123" s="43">
        <f>MAX(tab_four385[Regulation])</f>
        <v>385.4</v>
      </c>
      <c r="AC123" s="43">
        <f>MAX(tab_four385[Pt Chaud])</f>
        <v>386.2</v>
      </c>
    </row>
    <row r="124" spans="1:29" ht="14.45" customHeight="1" x14ac:dyDescent="0.25">
      <c r="X124" s="27"/>
      <c r="Z124" s="198" t="s">
        <v>91</v>
      </c>
      <c r="AA124" s="43">
        <f ca="1">MAX(OFFSET(INDEX(tab_four385[Pt Froid],1),COUNT(tab_four385[Pt Froid])-30,0,30))</f>
        <v>385.3</v>
      </c>
      <c r="AB124" s="43">
        <f ca="1">MAX(OFFSET(INDEX(tab_four385[Regulation],1),COUNT(tab_four385[Regulation])-30,0,30))</f>
        <v>385.3</v>
      </c>
      <c r="AC124" s="43">
        <f ca="1">MAX(OFFSET(INDEX(tab_four385[Pt Chaud],1),COUNT(tab_four385[Pt Chaud])-30,0,30))</f>
        <v>386.2</v>
      </c>
    </row>
    <row r="125" spans="1:29" ht="14.45" customHeight="1" x14ac:dyDescent="0.25">
      <c r="X125" s="27"/>
      <c r="Z125" s="198" t="s">
        <v>93</v>
      </c>
      <c r="AA125" s="43">
        <f ca="1">MIN(OFFSET(INDEX(tab_four385[Pt Froid],1),COUNT(tab_four385[Pt Froid])-30,0,30))</f>
        <v>385</v>
      </c>
      <c r="AB125" s="43">
        <f ca="1">MIN(OFFSET(INDEX(tab_four385[Regulation],1),COUNT(tab_four385[Regulation])-30,0,30))</f>
        <v>385</v>
      </c>
      <c r="AC125" s="43">
        <f ca="1">MIN(OFFSET(INDEX(tab_four385[Pt Chaud],1),COUNT(tab_four385[Pt Chaud])-30,0,30))</f>
        <v>385.9</v>
      </c>
    </row>
    <row r="126" spans="1:29" ht="14.45" customHeight="1" x14ac:dyDescent="0.25">
      <c r="X126" s="27"/>
      <c r="Z126" s="198" t="s">
        <v>95</v>
      </c>
      <c r="AA126" s="43">
        <f ca="1">AVERAGE(OFFSET(INDEX(tab_four385[Pt Froid],1),COUNT(tab_four385[Pt Froid])-30,0,30))</f>
        <v>385.14666666666676</v>
      </c>
      <c r="AB126" s="43">
        <f ca="1">AVERAGE(OFFSET(INDEX(tab_four385[Regulation],1),COUNT(tab_four385[Regulation])-30,0,30))</f>
        <v>385.11333333333346</v>
      </c>
      <c r="AC126" s="43">
        <f ca="1">AVERAGE(OFFSET(INDEX(tab_four385[Pt Chaud],1),COUNT(tab_four385[Pt Chaud])-30,0,30))</f>
        <v>386.04666666666668</v>
      </c>
    </row>
    <row r="127" spans="1:29" ht="14.45" customHeight="1" x14ac:dyDescent="0.25">
      <c r="X127" s="27"/>
    </row>
    <row r="128" spans="1:29" ht="14.45" customHeight="1" x14ac:dyDescent="0.25">
      <c r="X128" s="27"/>
      <c r="Z128" s="23"/>
    </row>
    <row r="129" spans="1:24" x14ac:dyDescent="0.25">
      <c r="X129" s="27"/>
    </row>
    <row r="130" spans="1:24" x14ac:dyDescent="0.25">
      <c r="X130" s="27"/>
    </row>
    <row r="131" spans="1:24" x14ac:dyDescent="0.25">
      <c r="X131" s="27"/>
    </row>
    <row r="134" spans="1:24" x14ac:dyDescent="0.25">
      <c r="A134" s="192"/>
      <c r="B134" s="27"/>
      <c r="C134" s="27"/>
      <c r="D134" s="27"/>
      <c r="E134" s="27"/>
      <c r="F134" s="27"/>
      <c r="G134" s="27"/>
      <c r="H134" s="27"/>
      <c r="I134" s="27"/>
      <c r="J134" s="27"/>
      <c r="K134" s="27"/>
    </row>
    <row r="135" spans="1:24" x14ac:dyDescent="0.25">
      <c r="A135" s="192"/>
      <c r="B135" s="27"/>
      <c r="C135" s="27"/>
      <c r="D135" s="27"/>
      <c r="E135" s="27"/>
      <c r="F135" s="27"/>
      <c r="G135" s="27"/>
      <c r="H135" s="27"/>
      <c r="I135" s="27"/>
      <c r="J135" s="27"/>
      <c r="K135" s="27"/>
    </row>
    <row r="136" spans="1:24" x14ac:dyDescent="0.25">
      <c r="A136" s="192"/>
      <c r="B136" s="27"/>
      <c r="C136" s="27"/>
      <c r="D136" s="27"/>
      <c r="E136" s="27"/>
      <c r="F136" s="27"/>
      <c r="G136" s="27"/>
      <c r="H136" s="27"/>
      <c r="I136" s="27"/>
      <c r="J136" s="27"/>
      <c r="K136" s="27"/>
    </row>
    <row r="137" spans="1:24" x14ac:dyDescent="0.25">
      <c r="A137" s="192"/>
      <c r="B137" s="27"/>
      <c r="C137" s="27"/>
      <c r="D137" s="27"/>
      <c r="E137" s="27"/>
      <c r="F137" s="27"/>
      <c r="G137" s="27"/>
      <c r="H137" s="27"/>
      <c r="I137" s="27"/>
      <c r="J137" s="27"/>
      <c r="K137" s="27"/>
    </row>
    <row r="138" spans="1:24" x14ac:dyDescent="0.25">
      <c r="A138" s="192"/>
      <c r="B138" s="27"/>
      <c r="C138" s="27"/>
      <c r="D138" s="27"/>
      <c r="E138" s="27"/>
      <c r="F138" s="27"/>
      <c r="G138" s="27"/>
      <c r="H138" s="27"/>
      <c r="I138" s="27"/>
      <c r="J138" s="27"/>
      <c r="K138" s="27"/>
    </row>
    <row r="139" spans="1:24" x14ac:dyDescent="0.25">
      <c r="A139" s="192"/>
      <c r="B139" s="27"/>
      <c r="C139" s="27"/>
      <c r="D139" s="27"/>
      <c r="E139" s="27"/>
      <c r="F139" s="27"/>
      <c r="G139" s="27"/>
      <c r="H139" s="27"/>
      <c r="I139" s="27"/>
      <c r="J139" s="27"/>
      <c r="K139" s="27"/>
    </row>
    <row r="140" spans="1:24" x14ac:dyDescent="0.25">
      <c r="A140" s="192"/>
      <c r="B140" s="27"/>
      <c r="C140" s="27"/>
      <c r="D140" s="27"/>
      <c r="E140" s="27"/>
      <c r="F140" s="27"/>
      <c r="G140" s="27"/>
      <c r="I140" s="27"/>
      <c r="J140" s="27"/>
      <c r="K140" s="27"/>
    </row>
    <row r="141" spans="1:24" x14ac:dyDescent="0.25">
      <c r="A141" s="192"/>
      <c r="B141" s="27"/>
      <c r="C141" s="27"/>
      <c r="D141" s="27"/>
      <c r="E141" s="27"/>
      <c r="F141" s="27"/>
      <c r="G141" s="27"/>
      <c r="H141" s="27"/>
      <c r="I141" s="27"/>
      <c r="J141" s="27"/>
      <c r="K141" s="27"/>
    </row>
    <row r="142" spans="1:24" x14ac:dyDescent="0.25">
      <c r="A142" s="192"/>
      <c r="B142" s="27"/>
      <c r="C142" s="27"/>
      <c r="D142" s="27"/>
      <c r="E142" s="27"/>
      <c r="F142" s="27"/>
      <c r="G142" s="27"/>
      <c r="I142" s="27"/>
      <c r="J142" s="27"/>
      <c r="K142" s="27"/>
    </row>
    <row r="143" spans="1:24" x14ac:dyDescent="0.25">
      <c r="A143" s="192"/>
      <c r="B143" s="27"/>
      <c r="C143" s="27"/>
      <c r="D143" s="27"/>
      <c r="E143" s="27"/>
      <c r="F143" s="27"/>
      <c r="G143" s="27"/>
      <c r="H143" s="27"/>
      <c r="I143" s="27"/>
      <c r="J143" s="27"/>
      <c r="K143" s="27"/>
    </row>
    <row r="144" spans="1:24" x14ac:dyDescent="0.25">
      <c r="A144" s="192"/>
      <c r="B144" s="27"/>
      <c r="C144" s="27"/>
      <c r="D144" s="27"/>
      <c r="E144" s="27"/>
      <c r="F144" s="27"/>
      <c r="G144" s="27"/>
      <c r="H144" s="27"/>
      <c r="I144" s="27"/>
      <c r="J144" s="27"/>
      <c r="K144" s="27"/>
    </row>
    <row r="145" spans="1:11" x14ac:dyDescent="0.25">
      <c r="A145" s="192"/>
      <c r="B145" s="27"/>
      <c r="C145" s="27"/>
      <c r="D145" s="27"/>
      <c r="E145" s="27"/>
      <c r="F145" s="27"/>
      <c r="G145" s="27"/>
      <c r="H145" s="27"/>
      <c r="I145" s="27"/>
      <c r="J145" s="27"/>
      <c r="K145" s="27"/>
    </row>
    <row r="146" spans="1:11" x14ac:dyDescent="0.25">
      <c r="A146" s="192"/>
      <c r="B146" s="27"/>
      <c r="C146" s="27"/>
      <c r="D146" s="27"/>
      <c r="E146" s="27"/>
      <c r="F146" s="27"/>
      <c r="G146" s="27"/>
      <c r="H146" s="27"/>
      <c r="I146" s="27"/>
      <c r="J146" s="27"/>
      <c r="K146" s="27"/>
    </row>
    <row r="147" spans="1:11" x14ac:dyDescent="0.25">
      <c r="A147" s="192"/>
      <c r="B147" s="27"/>
      <c r="C147" s="27"/>
      <c r="D147" s="27"/>
      <c r="E147" s="27"/>
      <c r="F147" s="27"/>
      <c r="G147" s="27"/>
      <c r="H147" s="27"/>
      <c r="I147" s="27"/>
      <c r="J147" s="27"/>
      <c r="K147" s="27"/>
    </row>
    <row r="148" spans="1:11" x14ac:dyDescent="0.25">
      <c r="A148" s="192"/>
      <c r="B148" s="27"/>
      <c r="C148" s="27"/>
      <c r="D148" s="27"/>
      <c r="E148" s="27"/>
      <c r="F148" s="27"/>
      <c r="G148" s="27"/>
      <c r="H148" s="27"/>
      <c r="I148" s="27"/>
      <c r="J148" s="27"/>
      <c r="K148" s="27"/>
    </row>
    <row r="149" spans="1:11" x14ac:dyDescent="0.25">
      <c r="A149" s="192"/>
      <c r="B149" s="27"/>
      <c r="C149" s="27"/>
      <c r="D149" s="27"/>
      <c r="E149" s="27"/>
      <c r="F149" s="27"/>
      <c r="G149" s="27"/>
      <c r="H149" s="27"/>
      <c r="I149" s="27"/>
      <c r="J149" s="27"/>
      <c r="K149" s="27"/>
    </row>
    <row r="150" spans="1:11" x14ac:dyDescent="0.25">
      <c r="A150" s="192"/>
      <c r="B150" s="27"/>
      <c r="C150" s="27"/>
      <c r="D150" s="27"/>
      <c r="E150" s="27"/>
      <c r="F150" s="27"/>
      <c r="G150" s="27"/>
      <c r="H150" s="27"/>
      <c r="I150" s="27"/>
      <c r="J150" s="27"/>
      <c r="K150" s="27"/>
    </row>
    <row r="151" spans="1:11" x14ac:dyDescent="0.25">
      <c r="A151" s="192"/>
      <c r="B151" s="27"/>
      <c r="C151" s="27"/>
      <c r="D151" s="27"/>
      <c r="E151" s="27"/>
      <c r="F151" s="27"/>
      <c r="G151" s="27"/>
      <c r="H151" s="27"/>
      <c r="I151" s="27"/>
      <c r="J151" s="27"/>
      <c r="K151" s="27"/>
    </row>
    <row r="152" spans="1:11" x14ac:dyDescent="0.25">
      <c r="A152" s="192"/>
      <c r="B152" s="27"/>
      <c r="C152" s="27"/>
      <c r="D152" s="27"/>
      <c r="E152" s="27"/>
      <c r="F152" s="27"/>
      <c r="G152" s="27"/>
      <c r="H152" s="27"/>
      <c r="I152" s="27"/>
      <c r="J152" s="27"/>
      <c r="K152" s="27"/>
    </row>
    <row r="153" spans="1:11" x14ac:dyDescent="0.25">
      <c r="A153" s="192"/>
      <c r="B153" s="27"/>
      <c r="C153" s="27"/>
      <c r="D153" s="27"/>
      <c r="E153" s="27"/>
      <c r="F153" s="27"/>
      <c r="G153" s="27"/>
      <c r="H153" s="27"/>
      <c r="I153" s="27"/>
      <c r="J153" s="27"/>
      <c r="K153" s="27"/>
    </row>
    <row r="154" spans="1:11" x14ac:dyDescent="0.25">
      <c r="A154" s="192"/>
      <c r="B154" s="27"/>
      <c r="C154" s="27"/>
      <c r="D154" s="27"/>
      <c r="E154" s="27"/>
      <c r="F154" s="27"/>
      <c r="G154" s="27"/>
      <c r="H154" s="27"/>
      <c r="I154" s="27"/>
      <c r="J154" s="27"/>
      <c r="K154" s="27"/>
    </row>
    <row r="155" spans="1:11" x14ac:dyDescent="0.25">
      <c r="A155" s="192"/>
      <c r="B155" s="27"/>
      <c r="C155" s="27"/>
      <c r="D155" s="27"/>
      <c r="E155" s="27"/>
      <c r="F155" s="27"/>
      <c r="G155" s="27"/>
      <c r="H155" s="27"/>
      <c r="I155" s="27"/>
      <c r="J155" s="27"/>
      <c r="K155" s="27"/>
    </row>
    <row r="156" spans="1:11" x14ac:dyDescent="0.25">
      <c r="A156" s="192"/>
      <c r="B156" s="27"/>
      <c r="C156" s="27"/>
      <c r="D156" s="27"/>
      <c r="E156" s="27"/>
      <c r="F156" s="27"/>
      <c r="G156" s="27"/>
      <c r="H156" s="27"/>
      <c r="I156" s="27"/>
      <c r="J156" s="27"/>
      <c r="K156" s="27"/>
    </row>
    <row r="157" spans="1:11" x14ac:dyDescent="0.25">
      <c r="A157" s="192"/>
      <c r="B157" s="27"/>
      <c r="C157" s="27"/>
      <c r="D157" s="27"/>
      <c r="E157" s="27"/>
      <c r="F157" s="27"/>
      <c r="G157" s="27"/>
      <c r="H157" s="27"/>
      <c r="I157" s="27"/>
      <c r="J157" s="27"/>
      <c r="K157" s="27"/>
    </row>
    <row r="158" spans="1:11" x14ac:dyDescent="0.25">
      <c r="A158" s="192"/>
      <c r="B158" s="27"/>
      <c r="C158" s="27"/>
      <c r="D158" s="27"/>
      <c r="E158" s="27"/>
      <c r="F158" s="27"/>
      <c r="G158" s="27"/>
      <c r="H158" s="27"/>
      <c r="I158" s="27"/>
      <c r="J158" s="27"/>
      <c r="K158" s="27"/>
    </row>
    <row r="159" spans="1:11" x14ac:dyDescent="0.25">
      <c r="A159" s="192"/>
      <c r="B159" s="27"/>
      <c r="C159" s="27"/>
      <c r="D159" s="27"/>
      <c r="E159" s="27"/>
      <c r="F159" s="27"/>
      <c r="G159" s="27"/>
      <c r="H159" s="27"/>
      <c r="I159" s="27"/>
      <c r="J159" s="27"/>
      <c r="K159" s="27"/>
    </row>
    <row r="160" spans="1:11" x14ac:dyDescent="0.25">
      <c r="A160" s="192"/>
      <c r="B160" s="27"/>
      <c r="C160" s="27"/>
      <c r="D160" s="27"/>
      <c r="E160" s="27"/>
      <c r="F160" s="27"/>
      <c r="G160" s="27"/>
      <c r="H160" s="27"/>
      <c r="I160" s="27"/>
      <c r="J160" s="27"/>
      <c r="K160" s="27"/>
    </row>
    <row r="161" spans="1:11" x14ac:dyDescent="0.25">
      <c r="A161" s="192"/>
      <c r="B161" s="27"/>
      <c r="C161" s="27"/>
      <c r="D161" s="27"/>
      <c r="E161" s="27"/>
      <c r="F161" s="27"/>
      <c r="G161" s="27"/>
      <c r="H161" s="27"/>
      <c r="I161" s="27"/>
      <c r="J161" s="27"/>
      <c r="K161" s="27"/>
    </row>
    <row r="162" spans="1:11" x14ac:dyDescent="0.25">
      <c r="A162" s="192"/>
      <c r="B162" s="27"/>
      <c r="C162" s="27"/>
      <c r="D162" s="27"/>
      <c r="E162" s="27"/>
      <c r="F162" s="27"/>
      <c r="G162" s="27"/>
      <c r="H162" s="27"/>
      <c r="I162" s="27"/>
      <c r="J162" s="27"/>
      <c r="K162" s="27"/>
    </row>
    <row r="163" spans="1:11" x14ac:dyDescent="0.25">
      <c r="A163" s="192"/>
      <c r="B163" s="27"/>
      <c r="C163" s="27"/>
      <c r="D163" s="27"/>
      <c r="E163" s="27"/>
      <c r="F163" s="27"/>
      <c r="G163" s="27"/>
      <c r="H163" s="27"/>
      <c r="I163" s="27"/>
      <c r="J163" s="27"/>
      <c r="K163" s="27"/>
    </row>
    <row r="164" spans="1:11" x14ac:dyDescent="0.25">
      <c r="A164" s="192"/>
      <c r="B164" s="27"/>
      <c r="C164" s="27"/>
      <c r="D164" s="27"/>
      <c r="E164" s="27"/>
      <c r="F164" s="27"/>
      <c r="G164" s="27"/>
      <c r="H164" s="27"/>
      <c r="I164" s="27"/>
      <c r="J164" s="27"/>
      <c r="K164" s="27"/>
    </row>
    <row r="165" spans="1:11" x14ac:dyDescent="0.25">
      <c r="A165" s="192"/>
      <c r="B165" s="27"/>
      <c r="C165" s="27"/>
      <c r="D165" s="27"/>
      <c r="E165" s="27"/>
      <c r="F165" s="27"/>
      <c r="G165" s="27"/>
      <c r="H165" s="27"/>
      <c r="I165" s="27"/>
      <c r="J165" s="27"/>
      <c r="K165" s="27"/>
    </row>
    <row r="166" spans="1:11" x14ac:dyDescent="0.25">
      <c r="A166" s="192"/>
      <c r="B166" s="27"/>
      <c r="C166" s="27"/>
      <c r="D166" s="27"/>
      <c r="E166" s="27"/>
      <c r="F166" s="27"/>
      <c r="G166" s="27"/>
      <c r="H166" s="27"/>
      <c r="I166" s="27"/>
      <c r="J166" s="27"/>
      <c r="K166" s="27"/>
    </row>
    <row r="167" spans="1:11" x14ac:dyDescent="0.25">
      <c r="A167" s="192"/>
      <c r="B167" s="27"/>
      <c r="C167" s="27"/>
      <c r="D167" s="27"/>
      <c r="E167" s="27"/>
      <c r="F167" s="27"/>
      <c r="G167" s="27"/>
      <c r="H167" s="27"/>
      <c r="I167" s="27"/>
      <c r="J167" s="27"/>
      <c r="K167" s="27"/>
    </row>
    <row r="168" spans="1:11" x14ac:dyDescent="0.25">
      <c r="A168" s="192"/>
      <c r="B168" s="27"/>
      <c r="C168" s="27"/>
      <c r="D168" s="27"/>
      <c r="E168" s="27"/>
      <c r="F168" s="27"/>
      <c r="G168" s="27"/>
      <c r="H168" s="27"/>
      <c r="I168" s="27"/>
      <c r="J168" s="27"/>
      <c r="K168" s="27"/>
    </row>
    <row r="169" spans="1:11" x14ac:dyDescent="0.25">
      <c r="A169" s="192"/>
      <c r="B169" s="27"/>
      <c r="C169" s="27"/>
      <c r="D169" s="27"/>
      <c r="E169" s="27"/>
      <c r="F169" s="27"/>
      <c r="G169" s="27"/>
      <c r="H169" s="27"/>
      <c r="I169" s="27"/>
      <c r="J169" s="27"/>
      <c r="K169" s="27"/>
    </row>
    <row r="170" spans="1:11" x14ac:dyDescent="0.25">
      <c r="A170" s="192"/>
      <c r="B170" s="27"/>
      <c r="C170" s="27"/>
      <c r="D170" s="27"/>
      <c r="E170" s="27"/>
      <c r="F170" s="27"/>
      <c r="G170" s="27"/>
      <c r="H170" s="27"/>
      <c r="I170" s="27"/>
      <c r="J170" s="27"/>
      <c r="K170" s="27"/>
    </row>
    <row r="171" spans="1:11" x14ac:dyDescent="0.25">
      <c r="A171" s="192"/>
      <c r="B171" s="27"/>
      <c r="C171" s="27"/>
      <c r="D171" s="27"/>
      <c r="E171" s="27"/>
      <c r="F171" s="27"/>
      <c r="G171" s="27"/>
      <c r="H171" s="27"/>
      <c r="I171" s="27"/>
      <c r="J171" s="27"/>
      <c r="K171" s="27"/>
    </row>
    <row r="172" spans="1:11" x14ac:dyDescent="0.25">
      <c r="A172" s="192"/>
      <c r="B172" s="27"/>
      <c r="C172" s="27"/>
      <c r="D172" s="27"/>
      <c r="E172" s="27"/>
      <c r="F172" s="27"/>
      <c r="G172" s="27"/>
      <c r="H172" s="27"/>
      <c r="I172" s="27"/>
      <c r="J172" s="27"/>
      <c r="K172" s="27"/>
    </row>
    <row r="173" spans="1:11" x14ac:dyDescent="0.25">
      <c r="A173" s="192"/>
      <c r="B173" s="27"/>
      <c r="C173" s="27"/>
      <c r="D173" s="27"/>
      <c r="E173" s="27"/>
      <c r="F173" s="27"/>
      <c r="G173" s="27"/>
      <c r="H173" s="27"/>
      <c r="I173" s="27"/>
      <c r="J173" s="27"/>
      <c r="K173" s="27"/>
    </row>
    <row r="174" spans="1:11" x14ac:dyDescent="0.25">
      <c r="A174" s="192"/>
      <c r="B174" s="27"/>
      <c r="C174" s="27"/>
      <c r="D174" s="27"/>
      <c r="E174" s="27"/>
      <c r="F174" s="27"/>
      <c r="G174" s="27"/>
      <c r="H174" s="27"/>
      <c r="I174" s="27"/>
      <c r="J174" s="27"/>
      <c r="K174" s="27"/>
    </row>
    <row r="175" spans="1:11" x14ac:dyDescent="0.25">
      <c r="A175" s="192"/>
      <c r="B175" s="27"/>
      <c r="C175" s="27"/>
      <c r="D175" s="27"/>
      <c r="E175" s="27"/>
      <c r="F175" s="27"/>
      <c r="G175" s="27"/>
      <c r="H175" s="27"/>
      <c r="I175" s="27"/>
      <c r="J175" s="27"/>
      <c r="K175" s="27"/>
    </row>
    <row r="176" spans="1:11" x14ac:dyDescent="0.25">
      <c r="A176" s="192"/>
      <c r="B176" s="27"/>
      <c r="C176" s="27"/>
      <c r="D176" s="27"/>
      <c r="E176" s="27"/>
      <c r="F176" s="27"/>
      <c r="G176" s="27"/>
      <c r="H176" s="27"/>
      <c r="I176" s="27"/>
      <c r="J176" s="27"/>
      <c r="K176" s="27"/>
    </row>
    <row r="177" spans="1:11" x14ac:dyDescent="0.25">
      <c r="A177" s="192"/>
      <c r="B177" s="27"/>
      <c r="C177" s="27"/>
      <c r="D177" s="27"/>
      <c r="E177" s="27"/>
      <c r="F177" s="27"/>
      <c r="G177" s="27"/>
      <c r="H177" s="27"/>
      <c r="I177" s="27"/>
      <c r="J177" s="27"/>
      <c r="K177" s="27"/>
    </row>
    <row r="178" spans="1:11" x14ac:dyDescent="0.25">
      <c r="A178" s="192"/>
      <c r="B178" s="27"/>
      <c r="C178" s="27"/>
      <c r="D178" s="27"/>
      <c r="E178" s="27"/>
      <c r="F178" s="27"/>
      <c r="G178" s="27"/>
      <c r="H178" s="27"/>
      <c r="I178" s="27"/>
      <c r="J178" s="27"/>
      <c r="K178" s="27"/>
    </row>
    <row r="179" spans="1:11" x14ac:dyDescent="0.25">
      <c r="A179" s="192"/>
      <c r="B179" s="27"/>
      <c r="C179" s="27"/>
      <c r="D179" s="27"/>
      <c r="E179" s="27"/>
      <c r="F179" s="27"/>
      <c r="G179" s="27"/>
      <c r="H179" s="27"/>
      <c r="I179" s="27"/>
      <c r="J179" s="27"/>
      <c r="K179" s="27"/>
    </row>
    <row r="180" spans="1:11" x14ac:dyDescent="0.25">
      <c r="A180" s="192"/>
      <c r="B180" s="27"/>
      <c r="C180" s="27"/>
      <c r="D180" s="27"/>
      <c r="E180" s="27"/>
      <c r="F180" s="27"/>
      <c r="G180" s="27"/>
      <c r="H180" s="27"/>
      <c r="I180" s="27"/>
      <c r="J180" s="27"/>
      <c r="K180" s="27"/>
    </row>
    <row r="181" spans="1:11" x14ac:dyDescent="0.25">
      <c r="A181" s="192"/>
      <c r="B181" s="27"/>
      <c r="C181" s="27"/>
      <c r="D181" s="27"/>
      <c r="E181" s="27"/>
      <c r="F181" s="27"/>
      <c r="G181" s="27"/>
      <c r="H181" s="27"/>
      <c r="I181" s="27"/>
      <c r="J181" s="27"/>
      <c r="K181" s="27"/>
    </row>
    <row r="182" spans="1:11" x14ac:dyDescent="0.25">
      <c r="A182" s="192"/>
      <c r="B182" s="27"/>
      <c r="C182" s="27"/>
      <c r="D182" s="27"/>
      <c r="E182" s="27"/>
      <c r="F182" s="27"/>
      <c r="G182" s="27"/>
      <c r="H182" s="27"/>
      <c r="I182" s="27"/>
      <c r="J182" s="27"/>
      <c r="K182" s="27"/>
    </row>
    <row r="183" spans="1:11" x14ac:dyDescent="0.25">
      <c r="A183" s="192"/>
      <c r="B183" s="27"/>
      <c r="C183" s="27"/>
      <c r="D183" s="27"/>
      <c r="E183" s="27"/>
      <c r="F183" s="27"/>
      <c r="G183" s="27"/>
      <c r="H183" s="27"/>
      <c r="I183" s="27"/>
      <c r="J183" s="27"/>
      <c r="K183" s="27"/>
    </row>
    <row r="184" spans="1:11" x14ac:dyDescent="0.25">
      <c r="A184" s="192"/>
      <c r="B184" s="27"/>
      <c r="C184" s="27"/>
      <c r="D184" s="27"/>
      <c r="E184" s="27"/>
      <c r="F184" s="27"/>
      <c r="G184" s="27"/>
      <c r="H184" s="27"/>
      <c r="I184" s="27"/>
      <c r="J184" s="27"/>
      <c r="K184" s="27"/>
    </row>
    <row r="185" spans="1:11" x14ac:dyDescent="0.25">
      <c r="A185" s="192"/>
      <c r="B185" s="27"/>
      <c r="C185" s="27"/>
      <c r="D185" s="27"/>
      <c r="E185" s="27"/>
      <c r="F185" s="27"/>
      <c r="G185" s="27"/>
      <c r="H185" s="27"/>
      <c r="I185" s="27"/>
      <c r="J185" s="27"/>
      <c r="K185" s="27"/>
    </row>
    <row r="186" spans="1:11" x14ac:dyDescent="0.25">
      <c r="A186" s="192"/>
      <c r="B186" s="27"/>
      <c r="C186" s="27"/>
      <c r="D186" s="27"/>
      <c r="E186" s="27"/>
      <c r="F186" s="27"/>
      <c r="G186" s="27"/>
      <c r="H186" s="27"/>
      <c r="I186" s="27"/>
      <c r="J186" s="27"/>
      <c r="K186" s="27"/>
    </row>
    <row r="187" spans="1:11" x14ac:dyDescent="0.25">
      <c r="A187" s="192"/>
      <c r="B187" s="27"/>
      <c r="C187" s="27"/>
      <c r="D187" s="27"/>
      <c r="E187" s="27"/>
      <c r="F187" s="27"/>
      <c r="G187" s="27"/>
      <c r="H187" s="27"/>
      <c r="I187" s="27"/>
      <c r="J187" s="27"/>
      <c r="K187" s="27"/>
    </row>
    <row r="188" spans="1:11" x14ac:dyDescent="0.25">
      <c r="A188" s="192"/>
      <c r="B188" s="27"/>
      <c r="C188" s="27"/>
      <c r="D188" s="27"/>
      <c r="E188" s="27"/>
      <c r="F188" s="27"/>
      <c r="G188" s="27"/>
      <c r="H188" s="27"/>
      <c r="I188" s="27"/>
      <c r="J188" s="27"/>
      <c r="K188" s="27"/>
    </row>
    <row r="189" spans="1:11" x14ac:dyDescent="0.25">
      <c r="A189" s="192"/>
      <c r="B189" s="27"/>
      <c r="C189" s="27"/>
      <c r="D189" s="27"/>
      <c r="E189" s="27"/>
      <c r="F189" s="27"/>
      <c r="G189" s="27"/>
      <c r="H189" s="27"/>
      <c r="I189" s="27"/>
      <c r="J189" s="27"/>
      <c r="K189" s="27"/>
    </row>
    <row r="190" spans="1:11" x14ac:dyDescent="0.25">
      <c r="A190" s="192"/>
      <c r="B190" s="27"/>
      <c r="C190" s="27"/>
      <c r="D190" s="27"/>
      <c r="E190" s="27"/>
      <c r="F190" s="27"/>
      <c r="G190" s="27"/>
      <c r="H190" s="27"/>
      <c r="I190" s="27"/>
      <c r="J190" s="27"/>
      <c r="K190" s="27"/>
    </row>
    <row r="191" spans="1:11" x14ac:dyDescent="0.25">
      <c r="A191" s="192"/>
      <c r="B191" s="27"/>
      <c r="C191" s="27"/>
      <c r="D191" s="27"/>
      <c r="E191" s="27"/>
      <c r="F191" s="27"/>
      <c r="G191" s="27"/>
      <c r="H191" s="27"/>
      <c r="I191" s="27"/>
      <c r="J191" s="27"/>
      <c r="K191" s="27"/>
    </row>
    <row r="192" spans="1:11" x14ac:dyDescent="0.25">
      <c r="A192" s="192"/>
      <c r="B192" s="27"/>
      <c r="C192" s="27"/>
      <c r="D192" s="27"/>
      <c r="E192" s="27"/>
      <c r="F192" s="27"/>
      <c r="G192" s="27"/>
      <c r="H192" s="27"/>
      <c r="I192" s="27"/>
      <c r="J192" s="27"/>
      <c r="K192" s="27"/>
    </row>
    <row r="193" spans="1:11" x14ac:dyDescent="0.25">
      <c r="A193" s="192"/>
      <c r="B193" s="27"/>
      <c r="C193" s="27"/>
      <c r="D193" s="27"/>
      <c r="E193" s="27"/>
      <c r="F193" s="27"/>
      <c r="G193" s="27"/>
      <c r="H193" s="27"/>
      <c r="I193" s="27"/>
      <c r="J193" s="27"/>
      <c r="K193" s="27"/>
    </row>
    <row r="194" spans="1:11" x14ac:dyDescent="0.25">
      <c r="A194" s="192"/>
      <c r="B194" s="27"/>
      <c r="C194" s="27"/>
      <c r="D194" s="27"/>
      <c r="E194" s="27"/>
      <c r="F194" s="27"/>
      <c r="G194" s="27"/>
      <c r="H194" s="27"/>
      <c r="I194" s="27"/>
      <c r="J194" s="27"/>
      <c r="K194" s="27"/>
    </row>
    <row r="195" spans="1:11" x14ac:dyDescent="0.25">
      <c r="A195" s="192"/>
      <c r="B195" s="27"/>
      <c r="C195" s="27"/>
      <c r="D195" s="27"/>
      <c r="E195" s="27"/>
      <c r="F195" s="27"/>
      <c r="G195" s="27"/>
      <c r="H195" s="27"/>
      <c r="I195" s="27"/>
      <c r="J195" s="27"/>
      <c r="K195" s="27"/>
    </row>
    <row r="196" spans="1:11" x14ac:dyDescent="0.25">
      <c r="A196" s="192"/>
      <c r="B196" s="27"/>
      <c r="C196" s="27"/>
      <c r="D196" s="27"/>
      <c r="E196" s="27"/>
      <c r="F196" s="27"/>
      <c r="G196" s="27"/>
      <c r="H196" s="27"/>
      <c r="I196" s="27"/>
      <c r="J196" s="27"/>
      <c r="K196" s="27"/>
    </row>
    <row r="197" spans="1:11" x14ac:dyDescent="0.25">
      <c r="A197" s="192"/>
      <c r="B197" s="27"/>
      <c r="C197" s="27"/>
      <c r="D197" s="27"/>
      <c r="E197" s="27"/>
      <c r="F197" s="27"/>
      <c r="G197" s="27"/>
      <c r="H197" s="27"/>
      <c r="I197" s="27"/>
      <c r="J197" s="27"/>
      <c r="K197" s="27"/>
    </row>
    <row r="198" spans="1:11" x14ac:dyDescent="0.25">
      <c r="A198" s="192"/>
      <c r="B198" s="27"/>
      <c r="C198" s="27"/>
      <c r="D198" s="27"/>
      <c r="E198" s="27"/>
      <c r="F198" s="27"/>
      <c r="G198" s="27"/>
      <c r="H198" s="27"/>
      <c r="I198" s="27"/>
      <c r="J198" s="27"/>
      <c r="K198" s="27"/>
    </row>
    <row r="199" spans="1:11" x14ac:dyDescent="0.25">
      <c r="A199" s="192"/>
      <c r="B199" s="27"/>
      <c r="C199" s="27"/>
      <c r="D199" s="27"/>
      <c r="E199" s="27"/>
      <c r="F199" s="27"/>
      <c r="G199" s="27"/>
      <c r="H199" s="27"/>
      <c r="I199" s="27"/>
      <c r="J199" s="27"/>
      <c r="K199" s="27"/>
    </row>
    <row r="200" spans="1:11" x14ac:dyDescent="0.25">
      <c r="A200" s="192"/>
      <c r="B200" s="27"/>
      <c r="C200" s="27"/>
      <c r="D200" s="27"/>
      <c r="E200" s="27"/>
      <c r="F200" s="27"/>
      <c r="G200" s="27"/>
      <c r="H200" s="27"/>
      <c r="I200" s="27"/>
      <c r="J200" s="27"/>
      <c r="K200" s="27"/>
    </row>
    <row r="201" spans="1:11" x14ac:dyDescent="0.25">
      <c r="A201" s="192"/>
      <c r="B201" s="27"/>
      <c r="C201" s="27"/>
      <c r="D201" s="27"/>
      <c r="E201" s="27"/>
      <c r="F201" s="27"/>
      <c r="G201" s="27"/>
      <c r="H201" s="27"/>
      <c r="I201" s="27"/>
      <c r="J201" s="27"/>
      <c r="K201" s="27"/>
    </row>
    <row r="202" spans="1:11" x14ac:dyDescent="0.25">
      <c r="A202" s="192"/>
      <c r="B202" s="27"/>
      <c r="C202" s="27"/>
      <c r="D202" s="27"/>
      <c r="E202" s="27"/>
      <c r="F202" s="27"/>
      <c r="G202" s="27"/>
      <c r="H202" s="27"/>
      <c r="I202" s="27"/>
      <c r="J202" s="27"/>
      <c r="K202" s="27"/>
    </row>
    <row r="203" spans="1:11" x14ac:dyDescent="0.25">
      <c r="A203" s="192"/>
      <c r="B203" s="27"/>
      <c r="C203" s="27"/>
      <c r="D203" s="27"/>
      <c r="E203" s="27"/>
      <c r="F203" s="27"/>
      <c r="G203" s="27"/>
      <c r="H203" s="27"/>
      <c r="I203" s="27"/>
      <c r="J203" s="27"/>
      <c r="K203" s="27"/>
    </row>
    <row r="204" spans="1:11" x14ac:dyDescent="0.25">
      <c r="A204" s="192"/>
      <c r="B204" s="27"/>
      <c r="C204" s="27"/>
      <c r="D204" s="27"/>
      <c r="E204" s="27"/>
      <c r="F204" s="27"/>
      <c r="G204" s="27"/>
      <c r="H204" s="27"/>
      <c r="I204" s="27"/>
      <c r="J204" s="27"/>
      <c r="K204" s="27"/>
    </row>
    <row r="205" spans="1:11" x14ac:dyDescent="0.25">
      <c r="A205" s="192"/>
      <c r="B205" s="27"/>
      <c r="C205" s="27"/>
      <c r="D205" s="27"/>
      <c r="E205" s="27"/>
      <c r="F205" s="27"/>
      <c r="G205" s="27"/>
      <c r="H205" s="27"/>
      <c r="I205" s="27"/>
      <c r="J205" s="27"/>
      <c r="K205" s="27"/>
    </row>
    <row r="206" spans="1:11" x14ac:dyDescent="0.25">
      <c r="A206" s="192"/>
      <c r="B206" s="27"/>
      <c r="C206" s="27"/>
      <c r="D206" s="27"/>
      <c r="E206" s="27"/>
      <c r="F206" s="27"/>
      <c r="G206" s="27"/>
      <c r="H206" s="27"/>
      <c r="I206" s="27"/>
      <c r="J206" s="27"/>
      <c r="K206" s="27"/>
    </row>
    <row r="207" spans="1:11" x14ac:dyDescent="0.25">
      <c r="A207" s="192"/>
      <c r="B207" s="27"/>
      <c r="C207" s="27"/>
      <c r="D207" s="27"/>
      <c r="E207" s="27"/>
      <c r="F207" s="27"/>
      <c r="G207" s="27"/>
      <c r="H207" s="27"/>
      <c r="I207" s="27"/>
      <c r="J207" s="27"/>
      <c r="K207" s="27"/>
    </row>
    <row r="208" spans="1:11" x14ac:dyDescent="0.25">
      <c r="A208" s="192"/>
      <c r="B208" s="27"/>
      <c r="C208" s="27"/>
      <c r="D208" s="27"/>
      <c r="E208" s="27"/>
      <c r="F208" s="27"/>
      <c r="G208" s="27"/>
      <c r="H208" s="27"/>
      <c r="I208" s="27"/>
      <c r="J208" s="27"/>
      <c r="K208" s="27"/>
    </row>
    <row r="209" spans="1:11" x14ac:dyDescent="0.25">
      <c r="A209" s="192"/>
      <c r="B209" s="27"/>
      <c r="C209" s="27"/>
      <c r="D209" s="27"/>
      <c r="E209" s="27"/>
      <c r="F209" s="27"/>
      <c r="G209" s="27"/>
      <c r="H209" s="27"/>
      <c r="I209" s="27"/>
      <c r="J209" s="27"/>
      <c r="K209" s="27"/>
    </row>
    <row r="210" spans="1:11" x14ac:dyDescent="0.25">
      <c r="A210" s="192"/>
      <c r="B210" s="27"/>
      <c r="C210" s="27"/>
      <c r="D210" s="27"/>
      <c r="E210" s="27"/>
      <c r="F210" s="27"/>
      <c r="G210" s="27"/>
      <c r="H210" s="27"/>
      <c r="I210" s="27"/>
      <c r="J210" s="27"/>
      <c r="K210" s="27"/>
    </row>
    <row r="211" spans="1:11" x14ac:dyDescent="0.25">
      <c r="A211" s="192"/>
      <c r="B211" s="27"/>
      <c r="C211" s="27"/>
      <c r="D211" s="27"/>
      <c r="E211" s="27"/>
      <c r="F211" s="27"/>
      <c r="G211" s="27"/>
      <c r="H211" s="27"/>
      <c r="I211" s="27"/>
      <c r="J211" s="27"/>
      <c r="K211" s="27"/>
    </row>
    <row r="212" spans="1:11" x14ac:dyDescent="0.25">
      <c r="A212" s="192"/>
      <c r="B212" s="27"/>
      <c r="C212" s="27"/>
      <c r="D212" s="27"/>
      <c r="E212" s="27"/>
      <c r="F212" s="27"/>
      <c r="G212" s="27"/>
      <c r="H212" s="27"/>
      <c r="I212" s="27"/>
      <c r="J212" s="27"/>
      <c r="K212" s="27"/>
    </row>
    <row r="213" spans="1:11" x14ac:dyDescent="0.25">
      <c r="A213" s="192"/>
      <c r="B213" s="27"/>
      <c r="C213" s="27"/>
      <c r="D213" s="27"/>
      <c r="E213" s="27"/>
      <c r="F213" s="27"/>
      <c r="G213" s="27"/>
      <c r="H213" s="27"/>
      <c r="I213" s="27"/>
      <c r="J213" s="27"/>
      <c r="K213" s="27"/>
    </row>
    <row r="214" spans="1:11" x14ac:dyDescent="0.25">
      <c r="A214" s="192"/>
      <c r="B214" s="27"/>
      <c r="C214" s="27"/>
      <c r="D214" s="27"/>
      <c r="E214" s="27"/>
      <c r="F214" s="27"/>
      <c r="G214" s="27"/>
      <c r="H214" s="27"/>
      <c r="I214" s="27"/>
      <c r="J214" s="27"/>
      <c r="K214" s="27"/>
    </row>
    <row r="215" spans="1:11" x14ac:dyDescent="0.25">
      <c r="A215" s="192"/>
      <c r="B215" s="27"/>
      <c r="C215" s="27"/>
      <c r="D215" s="27"/>
      <c r="E215" s="27"/>
      <c r="F215" s="27"/>
      <c r="G215" s="27"/>
      <c r="H215" s="27"/>
      <c r="I215" s="27"/>
      <c r="J215" s="27"/>
      <c r="K215" s="27"/>
    </row>
    <row r="216" spans="1:11" x14ac:dyDescent="0.25">
      <c r="A216" s="192"/>
      <c r="B216" s="27"/>
      <c r="C216" s="27"/>
      <c r="D216" s="27"/>
      <c r="E216" s="27"/>
      <c r="F216" s="27"/>
      <c r="G216" s="27"/>
      <c r="H216" s="27"/>
      <c r="I216" s="27"/>
      <c r="J216" s="27"/>
      <c r="K216" s="27"/>
    </row>
    <row r="217" spans="1:11" x14ac:dyDescent="0.25">
      <c r="A217" s="192"/>
      <c r="B217" s="27"/>
      <c r="C217" s="27"/>
      <c r="D217" s="27"/>
      <c r="E217" s="27"/>
      <c r="F217" s="27"/>
      <c r="G217" s="27"/>
      <c r="H217" s="27"/>
      <c r="I217" s="27"/>
      <c r="J217" s="27"/>
      <c r="K217" s="27"/>
    </row>
    <row r="218" spans="1:11" x14ac:dyDescent="0.25">
      <c r="A218" s="192"/>
      <c r="B218" s="27"/>
      <c r="C218" s="27"/>
      <c r="D218" s="27"/>
      <c r="E218" s="27"/>
      <c r="F218" s="27"/>
      <c r="G218" s="27"/>
      <c r="H218" s="27"/>
      <c r="I218" s="27"/>
      <c r="J218" s="27"/>
      <c r="K218" s="27"/>
    </row>
    <row r="219" spans="1:11" x14ac:dyDescent="0.25">
      <c r="A219" s="192"/>
      <c r="B219" s="27"/>
      <c r="C219" s="27"/>
      <c r="D219" s="27"/>
      <c r="E219" s="27"/>
      <c r="F219" s="27"/>
      <c r="G219" s="27"/>
      <c r="H219" s="27"/>
      <c r="I219" s="27"/>
      <c r="J219" s="27"/>
      <c r="K219" s="27"/>
    </row>
    <row r="220" spans="1:11" x14ac:dyDescent="0.25">
      <c r="A220" s="192"/>
      <c r="B220" s="27"/>
      <c r="C220" s="27"/>
      <c r="D220" s="27"/>
      <c r="E220" s="27"/>
      <c r="F220" s="27"/>
      <c r="G220" s="27"/>
      <c r="H220" s="27"/>
      <c r="I220" s="27"/>
      <c r="J220" s="27"/>
      <c r="K220" s="27"/>
    </row>
    <row r="221" spans="1:11" x14ac:dyDescent="0.25">
      <c r="A221" s="192"/>
      <c r="B221" s="27"/>
      <c r="C221" s="27"/>
      <c r="D221" s="27"/>
      <c r="E221" s="27"/>
      <c r="F221" s="27"/>
      <c r="G221" s="27"/>
      <c r="H221" s="27"/>
      <c r="I221" s="27"/>
      <c r="J221" s="27"/>
      <c r="K221" s="27"/>
    </row>
    <row r="222" spans="1:11" x14ac:dyDescent="0.25">
      <c r="A222" s="192"/>
      <c r="B222" s="27"/>
      <c r="C222" s="27"/>
      <c r="D222" s="27"/>
      <c r="E222" s="27"/>
      <c r="F222" s="27"/>
      <c r="G222" s="27"/>
      <c r="H222" s="27"/>
      <c r="I222" s="27"/>
      <c r="J222" s="27"/>
      <c r="K222" s="27"/>
    </row>
    <row r="223" spans="1:11" x14ac:dyDescent="0.25">
      <c r="A223" s="192"/>
      <c r="B223" s="27"/>
      <c r="C223" s="27"/>
      <c r="D223" s="27"/>
      <c r="E223" s="27"/>
      <c r="F223" s="27"/>
      <c r="G223" s="27"/>
      <c r="H223" s="27"/>
      <c r="I223" s="27"/>
      <c r="J223" s="27"/>
      <c r="K223" s="27"/>
    </row>
    <row r="224" spans="1:11" x14ac:dyDescent="0.25">
      <c r="A224" s="192"/>
      <c r="B224" s="27"/>
      <c r="C224" s="27"/>
      <c r="D224" s="27"/>
      <c r="E224" s="27"/>
      <c r="F224" s="27"/>
      <c r="G224" s="27"/>
      <c r="H224" s="27"/>
      <c r="I224" s="27"/>
      <c r="J224" s="27"/>
      <c r="K224" s="27"/>
    </row>
    <row r="225" spans="1:11" x14ac:dyDescent="0.25">
      <c r="A225" s="192"/>
      <c r="B225" s="27"/>
      <c r="C225" s="27"/>
      <c r="D225" s="27"/>
      <c r="E225" s="27"/>
      <c r="F225" s="27"/>
      <c r="G225" s="27"/>
      <c r="H225" s="27"/>
      <c r="I225" s="27"/>
      <c r="J225" s="27"/>
      <c r="K225" s="27"/>
    </row>
    <row r="226" spans="1:11" x14ac:dyDescent="0.25">
      <c r="A226" s="192"/>
      <c r="B226" s="27"/>
      <c r="C226" s="27"/>
      <c r="D226" s="27"/>
      <c r="E226" s="27"/>
      <c r="F226" s="27"/>
      <c r="G226" s="27"/>
      <c r="H226" s="27"/>
      <c r="I226" s="27"/>
      <c r="J226" s="27"/>
      <c r="K226" s="27"/>
    </row>
    <row r="227" spans="1:11" x14ac:dyDescent="0.25">
      <c r="A227" s="192"/>
      <c r="B227" s="27"/>
      <c r="C227" s="27"/>
      <c r="D227" s="27"/>
      <c r="E227" s="27"/>
      <c r="F227" s="27"/>
      <c r="G227" s="27"/>
      <c r="H227" s="27"/>
      <c r="I227" s="27"/>
      <c r="J227" s="27"/>
      <c r="K227" s="27"/>
    </row>
    <row r="228" spans="1:11" x14ac:dyDescent="0.25">
      <c r="A228" s="192"/>
      <c r="B228" s="27"/>
      <c r="C228" s="27"/>
      <c r="D228" s="27"/>
      <c r="E228" s="27"/>
      <c r="F228" s="27"/>
      <c r="G228" s="27"/>
      <c r="H228" s="27"/>
      <c r="I228" s="27"/>
      <c r="J228" s="27"/>
      <c r="K228" s="27"/>
    </row>
    <row r="229" spans="1:11" x14ac:dyDescent="0.25">
      <c r="A229" s="192"/>
      <c r="B229" s="27"/>
      <c r="C229" s="27"/>
      <c r="D229" s="27"/>
      <c r="E229" s="27"/>
      <c r="F229" s="27"/>
      <c r="G229" s="27"/>
      <c r="H229" s="27"/>
      <c r="I229" s="27"/>
      <c r="J229" s="27"/>
      <c r="K229" s="27"/>
    </row>
    <row r="230" spans="1:11" x14ac:dyDescent="0.25">
      <c r="A230" s="192"/>
      <c r="B230" s="27"/>
      <c r="C230" s="27"/>
      <c r="D230" s="27"/>
      <c r="E230" s="27"/>
      <c r="F230" s="27"/>
      <c r="G230" s="27"/>
      <c r="H230" s="27"/>
      <c r="I230" s="27"/>
      <c r="J230" s="27"/>
      <c r="K230" s="27"/>
    </row>
    <row r="231" spans="1:11" x14ac:dyDescent="0.25">
      <c r="A231" s="192"/>
      <c r="B231" s="27"/>
      <c r="C231" s="27"/>
      <c r="D231" s="27"/>
      <c r="E231" s="27"/>
      <c r="F231" s="27"/>
      <c r="G231" s="27"/>
      <c r="H231" s="27"/>
      <c r="I231" s="27"/>
      <c r="J231" s="27"/>
      <c r="K231" s="27"/>
    </row>
    <row r="232" spans="1:11" x14ac:dyDescent="0.25">
      <c r="A232" s="192"/>
      <c r="B232" s="27"/>
      <c r="C232" s="27"/>
      <c r="D232" s="27"/>
      <c r="E232" s="27"/>
      <c r="F232" s="27"/>
      <c r="G232" s="27"/>
      <c r="H232" s="27"/>
      <c r="I232" s="27"/>
      <c r="J232" s="27"/>
      <c r="K232" s="27"/>
    </row>
    <row r="233" spans="1:11" x14ac:dyDescent="0.25">
      <c r="A233" s="192"/>
      <c r="B233" s="27"/>
      <c r="C233" s="27"/>
      <c r="D233" s="27"/>
      <c r="E233" s="27"/>
      <c r="F233" s="27"/>
      <c r="G233" s="27"/>
      <c r="H233" s="27"/>
      <c r="I233" s="27"/>
      <c r="J233" s="27"/>
      <c r="K233" s="27"/>
    </row>
    <row r="234" spans="1:11" x14ac:dyDescent="0.25">
      <c r="A234" s="192"/>
      <c r="B234" s="27"/>
      <c r="C234" s="27"/>
      <c r="D234" s="27"/>
      <c r="E234" s="27"/>
      <c r="F234" s="27"/>
      <c r="G234" s="27"/>
      <c r="H234" s="27"/>
      <c r="I234" s="27"/>
      <c r="J234" s="27"/>
      <c r="K234" s="27"/>
    </row>
    <row r="235" spans="1:11" x14ac:dyDescent="0.25">
      <c r="A235" s="192"/>
      <c r="B235" s="27"/>
      <c r="C235" s="27"/>
      <c r="D235" s="27"/>
      <c r="E235" s="27"/>
      <c r="F235" s="27"/>
      <c r="G235" s="27"/>
      <c r="H235" s="27"/>
      <c r="I235" s="27"/>
      <c r="J235" s="27"/>
      <c r="K235" s="27"/>
    </row>
    <row r="236" spans="1:11" x14ac:dyDescent="0.25">
      <c r="A236" s="192"/>
      <c r="B236" s="27"/>
      <c r="C236" s="27"/>
      <c r="D236" s="27"/>
      <c r="E236" s="27"/>
      <c r="F236" s="27"/>
      <c r="G236" s="27"/>
      <c r="H236" s="27"/>
      <c r="I236" s="27"/>
      <c r="J236" s="27"/>
      <c r="K236" s="27"/>
    </row>
    <row r="237" spans="1:11" x14ac:dyDescent="0.25">
      <c r="A237" s="192"/>
      <c r="B237" s="27"/>
      <c r="C237" s="27"/>
      <c r="D237" s="27"/>
      <c r="E237" s="27"/>
      <c r="F237" s="27"/>
      <c r="G237" s="27"/>
      <c r="H237" s="27"/>
      <c r="I237" s="27"/>
      <c r="J237" s="27"/>
      <c r="K237" s="27"/>
    </row>
    <row r="238" spans="1:11" x14ac:dyDescent="0.25">
      <c r="A238" s="192"/>
      <c r="B238" s="27"/>
      <c r="C238" s="27"/>
      <c r="D238" s="27"/>
      <c r="E238" s="27"/>
      <c r="F238" s="27"/>
      <c r="G238" s="27"/>
      <c r="H238" s="27"/>
      <c r="I238" s="27"/>
      <c r="J238" s="27"/>
      <c r="K238" s="27"/>
    </row>
    <row r="239" spans="1:11" x14ac:dyDescent="0.25">
      <c r="A239" s="192"/>
      <c r="B239" s="27"/>
      <c r="C239" s="27"/>
      <c r="D239" s="27"/>
      <c r="E239" s="27"/>
      <c r="F239" s="27"/>
      <c r="G239" s="27"/>
      <c r="H239" s="27"/>
      <c r="I239" s="27"/>
      <c r="J239" s="27"/>
      <c r="K239" s="27"/>
    </row>
    <row r="240" spans="1:11" x14ac:dyDescent="0.25">
      <c r="A240" s="192"/>
      <c r="B240" s="27"/>
      <c r="C240" s="27"/>
      <c r="D240" s="27"/>
      <c r="E240" s="27"/>
      <c r="F240" s="27"/>
      <c r="G240" s="27"/>
      <c r="H240" s="27"/>
      <c r="I240" s="27"/>
      <c r="J240" s="27"/>
      <c r="K240" s="27"/>
    </row>
    <row r="241" spans="1:11" x14ac:dyDescent="0.25">
      <c r="A241" s="192"/>
      <c r="B241" s="27"/>
      <c r="C241" s="27"/>
      <c r="D241" s="27"/>
      <c r="E241" s="27"/>
      <c r="F241" s="27"/>
      <c r="G241" s="27"/>
      <c r="H241" s="27"/>
      <c r="I241" s="27"/>
      <c r="J241" s="27"/>
      <c r="K241" s="27"/>
    </row>
    <row r="242" spans="1:11" x14ac:dyDescent="0.25">
      <c r="A242" s="192"/>
      <c r="B242" s="27"/>
      <c r="C242" s="27"/>
      <c r="D242" s="27"/>
      <c r="E242" s="27"/>
      <c r="F242" s="27"/>
      <c r="G242" s="27"/>
      <c r="H242" s="27"/>
      <c r="I242" s="27"/>
      <c r="J242" s="27"/>
      <c r="K242" s="27"/>
    </row>
    <row r="243" spans="1:11" x14ac:dyDescent="0.25">
      <c r="A243" s="192"/>
      <c r="B243" s="27"/>
      <c r="C243" s="27"/>
      <c r="D243" s="27"/>
      <c r="E243" s="27"/>
      <c r="F243" s="27"/>
      <c r="G243" s="27"/>
      <c r="H243" s="27"/>
      <c r="I243" s="27"/>
      <c r="J243" s="27"/>
      <c r="K243" s="27"/>
    </row>
    <row r="244" spans="1:11" x14ac:dyDescent="0.25">
      <c r="A244" s="192"/>
      <c r="B244" s="27"/>
      <c r="C244" s="27"/>
      <c r="D244" s="27"/>
      <c r="E244" s="27"/>
      <c r="F244" s="27"/>
      <c r="G244" s="27"/>
      <c r="H244" s="27"/>
      <c r="I244" s="27"/>
      <c r="J244" s="27"/>
      <c r="K244" s="27"/>
    </row>
    <row r="245" spans="1:11" x14ac:dyDescent="0.25">
      <c r="A245" s="192"/>
      <c r="B245" s="27"/>
      <c r="C245" s="27"/>
      <c r="D245" s="27"/>
      <c r="E245" s="27"/>
      <c r="F245" s="27"/>
      <c r="G245" s="27"/>
      <c r="H245" s="27"/>
      <c r="I245" s="27"/>
      <c r="J245" s="27"/>
      <c r="K245" s="27"/>
    </row>
    <row r="246" spans="1:11" x14ac:dyDescent="0.25">
      <c r="A246" s="192"/>
      <c r="B246" s="27"/>
      <c r="C246" s="27"/>
      <c r="D246" s="27"/>
      <c r="E246" s="27"/>
      <c r="F246" s="27"/>
      <c r="G246" s="27"/>
      <c r="H246" s="27"/>
      <c r="I246" s="27"/>
      <c r="J246" s="27"/>
      <c r="K246" s="27"/>
    </row>
    <row r="247" spans="1:11" x14ac:dyDescent="0.25">
      <c r="A247" s="192"/>
      <c r="B247" s="27"/>
      <c r="C247" s="27"/>
      <c r="D247" s="27"/>
      <c r="E247" s="27"/>
      <c r="F247" s="27"/>
      <c r="G247" s="27"/>
      <c r="H247" s="27"/>
      <c r="I247" s="27"/>
      <c r="J247" s="27"/>
      <c r="K247" s="27"/>
    </row>
  </sheetData>
  <sheetProtection algorithmName="SHA-512" hashValue="gboKgp/ZFgxS4K2Pvqemh/yTxcN4pjPwjTgshNEDlBZXgVDGjMcXx40DHzYnn9CGT08ZdntoM+k1IjqX4ymtRw==" saltValue="HKGvRsNt09hc6E0jyQ5wZw==" spinCount="100000" sheet="1" objects="1" scenarios="1"/>
  <mergeCells count="8">
    <mergeCell ref="N75:V75"/>
    <mergeCell ref="A5:J5"/>
    <mergeCell ref="M5:V5"/>
    <mergeCell ref="N74:V74"/>
    <mergeCell ref="A1:AC1"/>
    <mergeCell ref="A67:W67"/>
    <mergeCell ref="M37:M66"/>
    <mergeCell ref="M7:M36"/>
  </mergeCells>
  <conditionalFormatting sqref="N69:V69">
    <cfRule type="cellIs" dxfId="101" priority="6" operator="equal">
      <formula>$W$69</formula>
    </cfRule>
  </conditionalFormatting>
  <conditionalFormatting sqref="N70:V70">
    <cfRule type="cellIs" dxfId="100" priority="2" operator="equal">
      <formula>$W$70</formula>
    </cfRule>
    <cfRule type="cellIs" dxfId="99" priority="5" operator="equal">
      <formula>#REF!</formula>
    </cfRule>
  </conditionalFormatting>
  <conditionalFormatting sqref="N71:V71">
    <cfRule type="cellIs" dxfId="98" priority="1" operator="equal">
      <formula>$W$71</formula>
    </cfRule>
    <cfRule type="cellIs" dxfId="97" priority="3" operator="equal">
      <formula>#REF!</formula>
    </cfRule>
    <cfRule type="cellIs" dxfId="96" priority="4" operator="equal">
      <formula>#REF!</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FA894B-C6D8-4D62-8C25-29E8415BEBB7}">
  <sheetPr codeName="Feuil37">
    <tabColor rgb="FF002060"/>
  </sheetPr>
  <dimension ref="A1:AC120"/>
  <sheetViews>
    <sheetView topLeftCell="E13" zoomScale="85" zoomScaleNormal="85" workbookViewId="0">
      <selection activeCell="N22" sqref="N22:V22"/>
    </sheetView>
  </sheetViews>
  <sheetFormatPr baseColWidth="10" defaultRowHeight="15" x14ac:dyDescent="0.25"/>
  <cols>
    <col min="1" max="1" width="16.7109375" style="27" bestFit="1" customWidth="1"/>
    <col min="2" max="10" width="12.7109375" style="27" bestFit="1" customWidth="1"/>
    <col min="11" max="11" width="11" style="27" bestFit="1" customWidth="1"/>
    <col min="12" max="12" width="5.5703125" customWidth="1"/>
    <col min="13" max="13" width="19.28515625" bestFit="1" customWidth="1"/>
    <col min="14" max="22" width="12.7109375" style="135" bestFit="1" customWidth="1"/>
    <col min="23" max="23" width="10.7109375" style="135" customWidth="1"/>
    <col min="26" max="26" width="17.7109375" style="27" customWidth="1"/>
    <col min="27" max="27" width="8.7109375" style="27" customWidth="1"/>
    <col min="28" max="28" width="10.7109375" style="27" customWidth="1"/>
    <col min="29" max="29" width="9.7109375" style="27" customWidth="1"/>
  </cols>
  <sheetData>
    <row r="1" spans="1:29" ht="23.25" x14ac:dyDescent="0.35">
      <c r="A1" s="380" t="str">
        <f>Mesures_Four!G27</f>
        <v>535°C</v>
      </c>
      <c r="B1" s="381"/>
      <c r="C1" s="381"/>
      <c r="D1" s="381"/>
      <c r="E1" s="381"/>
      <c r="F1" s="381"/>
      <c r="G1" s="381"/>
      <c r="H1" s="381"/>
      <c r="I1" s="381"/>
      <c r="J1" s="381"/>
      <c r="K1" s="381"/>
      <c r="L1" s="381"/>
      <c r="M1" s="381"/>
      <c r="N1" s="381"/>
      <c r="O1" s="381"/>
      <c r="P1" s="381"/>
      <c r="Q1" s="381"/>
      <c r="R1" s="381"/>
      <c r="S1" s="381"/>
      <c r="T1" s="381"/>
      <c r="U1" s="381"/>
      <c r="V1" s="381"/>
      <c r="W1" s="381"/>
      <c r="X1" s="381"/>
      <c r="Y1" s="381"/>
      <c r="Z1" s="381"/>
      <c r="AA1" s="381"/>
      <c r="AB1" s="381"/>
      <c r="AC1" s="381"/>
    </row>
    <row r="2" spans="1:29" x14ac:dyDescent="0.25">
      <c r="A2" s="146"/>
      <c r="B2" s="135"/>
      <c r="C2" s="135"/>
      <c r="D2" s="135"/>
      <c r="E2" s="135"/>
      <c r="F2" s="135"/>
      <c r="G2" s="135"/>
      <c r="H2" s="135"/>
      <c r="I2" s="135"/>
      <c r="J2" s="135"/>
      <c r="M2" s="212" t="s">
        <v>87</v>
      </c>
      <c r="N2" s="44">
        <f>Mesures_Four!G40</f>
        <v>0.24</v>
      </c>
      <c r="O2" s="44">
        <f>Mesures_Four!G41</f>
        <v>0.12</v>
      </c>
      <c r="P2" s="44">
        <f>Mesures_Four!G42</f>
        <v>0.25</v>
      </c>
      <c r="Q2" s="44">
        <f>Mesures_Four!G43</f>
        <v>0.3</v>
      </c>
      <c r="R2" s="44">
        <f>Mesures_Four!G44</f>
        <v>0.22</v>
      </c>
      <c r="S2" s="44">
        <f>Mesures_Four!G45</f>
        <v>0.43</v>
      </c>
      <c r="T2" s="44">
        <f>Mesures_Four!G46</f>
        <v>0.21</v>
      </c>
      <c r="U2" s="44">
        <f>Mesures_Four!G47</f>
        <v>0.23</v>
      </c>
      <c r="V2" s="44">
        <f>Mesures_Four!G48</f>
        <v>0.35</v>
      </c>
      <c r="W2" s="211"/>
      <c r="X2" s="211"/>
      <c r="Y2" s="159"/>
    </row>
    <row r="3" spans="1:29" x14ac:dyDescent="0.25">
      <c r="B3" s="135"/>
      <c r="C3" s="135"/>
      <c r="D3" s="135"/>
      <c r="E3" s="135"/>
      <c r="F3" s="135"/>
      <c r="G3" s="135"/>
      <c r="H3" s="135"/>
      <c r="I3" s="135"/>
      <c r="J3" s="135"/>
      <c r="M3" s="212" t="s">
        <v>23</v>
      </c>
      <c r="N3" s="44">
        <f>Mesures_Four!G28</f>
        <v>-0.12</v>
      </c>
      <c r="O3" s="44">
        <f>Mesures_Four!G29</f>
        <v>-0.12</v>
      </c>
      <c r="P3" s="44">
        <f>Mesures_Four!G30</f>
        <v>-0.12</v>
      </c>
      <c r="Q3" s="44">
        <f>Mesures_Four!G31</f>
        <v>-0.12</v>
      </c>
      <c r="R3" s="44">
        <f>Mesures_Four!G32</f>
        <v>-0.12</v>
      </c>
      <c r="S3" s="44">
        <f>Mesures_Four!G33</f>
        <v>-0.12</v>
      </c>
      <c r="T3" s="44">
        <f>Mesures_Four!G34</f>
        <v>-0.12</v>
      </c>
      <c r="U3" s="44">
        <f>Mesures_Four!G35</f>
        <v>-0.12</v>
      </c>
      <c r="V3" s="44">
        <f>Mesures_Four!G36</f>
        <v>-0.12</v>
      </c>
      <c r="W3" s="211"/>
      <c r="X3" s="159"/>
      <c r="Y3" s="159"/>
    </row>
    <row r="4" spans="1:29" x14ac:dyDescent="0.25">
      <c r="B4" s="135"/>
      <c r="C4" s="135"/>
      <c r="D4" s="135"/>
      <c r="E4" s="135"/>
      <c r="F4" s="135"/>
      <c r="G4" s="135"/>
      <c r="H4" s="135"/>
      <c r="I4" s="135"/>
      <c r="J4" s="135"/>
      <c r="M4" s="23"/>
      <c r="N4" s="211"/>
      <c r="O4" s="211"/>
      <c r="P4" s="211"/>
      <c r="Q4" s="211"/>
      <c r="R4" s="211"/>
      <c r="S4" s="211"/>
      <c r="T4" s="211"/>
      <c r="U4" s="211"/>
      <c r="V4" s="211"/>
      <c r="W4" s="211"/>
      <c r="X4" s="159"/>
      <c r="Y4" s="159"/>
    </row>
    <row r="5" spans="1:29" x14ac:dyDescent="0.25">
      <c r="A5" s="375" t="s">
        <v>344</v>
      </c>
      <c r="B5" s="375"/>
      <c r="C5" s="375"/>
      <c r="D5" s="375"/>
      <c r="E5" s="375"/>
      <c r="F5" s="375"/>
      <c r="G5" s="375"/>
      <c r="H5" s="375"/>
      <c r="I5" s="375"/>
      <c r="J5" s="375"/>
      <c r="M5" s="375" t="s">
        <v>88</v>
      </c>
      <c r="N5" s="375"/>
      <c r="O5" s="375"/>
      <c r="P5" s="375"/>
      <c r="Q5" s="375"/>
      <c r="R5" s="375"/>
      <c r="S5" s="375"/>
      <c r="T5" s="375"/>
      <c r="U5" s="375"/>
      <c r="V5" s="375"/>
      <c r="AA5"/>
      <c r="AB5"/>
      <c r="AC5"/>
    </row>
    <row r="6" spans="1:29" x14ac:dyDescent="0.25">
      <c r="A6" s="215" t="str" cm="1">
        <f t="array" ref="A6:J51">tab_transfert535[#All]</f>
        <v>Date/Heure</v>
      </c>
      <c r="B6" s="202" t="str">
        <v>Connecteur 1</v>
      </c>
      <c r="C6" s="202" t="str">
        <v>Connecteur 2</v>
      </c>
      <c r="D6" s="202" t="str">
        <v>Connecteur 3</v>
      </c>
      <c r="E6" s="202" t="str">
        <v>Connecteur 4</v>
      </c>
      <c r="F6" s="202" t="str">
        <v>Connecteur 5</v>
      </c>
      <c r="G6" s="202" t="str">
        <v>Connecteur 6</v>
      </c>
      <c r="H6" s="202" t="str">
        <v>Connecteur 7</v>
      </c>
      <c r="I6" s="202" t="str">
        <v>Connecteur 8</v>
      </c>
      <c r="J6" s="202" t="str">
        <v>Connecteur 9</v>
      </c>
      <c r="K6" s="202" t="s">
        <v>343</v>
      </c>
      <c r="M6" s="27"/>
      <c r="N6" s="202" t="str" cm="1">
        <f t="array" ref="N6:V6">tab_transfert535[[#Headers],[Connecteur 1]:[Connecteur 9]]</f>
        <v>Connecteur 1</v>
      </c>
      <c r="O6" s="216" t="str">
        <v>Connecteur 2</v>
      </c>
      <c r="P6" s="216" t="str">
        <v>Connecteur 3</v>
      </c>
      <c r="Q6" s="216" t="str">
        <v>Connecteur 4</v>
      </c>
      <c r="R6" s="216" t="str">
        <v>Connecteur 5</v>
      </c>
      <c r="S6" s="216" t="str">
        <v>Connecteur 6</v>
      </c>
      <c r="T6" s="216" t="str">
        <v>Connecteur 7</v>
      </c>
      <c r="U6" s="216" t="str">
        <v>Connecteur 8</v>
      </c>
      <c r="V6" s="216" t="str">
        <v>Connecteur 9</v>
      </c>
      <c r="W6" s="202" t="str" cm="1">
        <f t="array" ref="W6:W51">tab_four535[[#All],[Consigne T°]]</f>
        <v>Consigne T°</v>
      </c>
      <c r="Z6" s="202" t="str" cm="1">
        <f t="array" ref="Z6:AC51">tab_four535[[#All],[Date/Heure]:[Pt Chaud]]</f>
        <v>Date/Heure</v>
      </c>
      <c r="AA6" s="202" t="str">
        <v>Pt Froid</v>
      </c>
      <c r="AB6" s="202" t="str">
        <v>Regulation</v>
      </c>
      <c r="AC6" s="202" t="str">
        <v>Pt Chaud</v>
      </c>
    </row>
    <row r="7" spans="1:29" ht="14.45" customHeight="1" x14ac:dyDescent="0.25">
      <c r="A7" s="23" t="str">
        <v>13/02/2024  07:00</v>
      </c>
      <c r="B7">
        <v>492.76</v>
      </c>
      <c r="C7">
        <v>491.31</v>
      </c>
      <c r="D7">
        <v>490.8</v>
      </c>
      <c r="E7">
        <v>493.46</v>
      </c>
      <c r="F7">
        <v>493.45</v>
      </c>
      <c r="G7">
        <v>496.02</v>
      </c>
      <c r="H7">
        <v>487.86</v>
      </c>
      <c r="I7">
        <v>496.34</v>
      </c>
      <c r="J7">
        <v>493.07</v>
      </c>
      <c r="K7" s="217"/>
      <c r="M7" s="378" t="s">
        <v>342</v>
      </c>
      <c r="N7" s="206" cm="1">
        <f t="array" ref="N7:V51">tab_transfert535[[Connecteur 1]:[Connecteur 9]]+N2:V2+N3:V3</f>
        <v>492.88</v>
      </c>
      <c r="O7" s="206">
        <v>491.31</v>
      </c>
      <c r="P7" s="206">
        <v>490.93</v>
      </c>
      <c r="Q7" s="206">
        <v>493.64</v>
      </c>
      <c r="R7" s="206">
        <v>493.55</v>
      </c>
      <c r="S7" s="206">
        <v>496.33</v>
      </c>
      <c r="T7" s="206">
        <v>487.95</v>
      </c>
      <c r="U7" s="206">
        <v>496.45</v>
      </c>
      <c r="V7" s="206">
        <v>493.3</v>
      </c>
      <c r="W7" s="214">
        <v>535</v>
      </c>
      <c r="Z7" s="23" t="str">
        <v>13/02/2024  07:00</v>
      </c>
      <c r="AA7">
        <v>489.6</v>
      </c>
      <c r="AB7">
        <v>486.9</v>
      </c>
      <c r="AC7">
        <v>486.5</v>
      </c>
    </row>
    <row r="8" spans="1:29" ht="14.45" customHeight="1" x14ac:dyDescent="0.25">
      <c r="A8" s="23" t="str">
        <v>13/02/2024  07:01</v>
      </c>
      <c r="B8">
        <v>495.21</v>
      </c>
      <c r="C8">
        <v>493.72</v>
      </c>
      <c r="D8">
        <v>493.16</v>
      </c>
      <c r="E8">
        <v>495.83</v>
      </c>
      <c r="F8">
        <v>495.73</v>
      </c>
      <c r="G8">
        <v>498.3</v>
      </c>
      <c r="H8">
        <v>490.18</v>
      </c>
      <c r="I8">
        <v>498.68</v>
      </c>
      <c r="J8">
        <v>495.37</v>
      </c>
      <c r="K8" s="217"/>
      <c r="M8" s="378"/>
      <c r="N8" s="206">
        <v>495.33</v>
      </c>
      <c r="O8" s="206">
        <v>493.72</v>
      </c>
      <c r="P8" s="206">
        <v>493.29</v>
      </c>
      <c r="Q8" s="206">
        <v>496.01</v>
      </c>
      <c r="R8" s="206">
        <v>495.83000000000004</v>
      </c>
      <c r="S8" s="206">
        <v>498.61</v>
      </c>
      <c r="T8" s="206">
        <v>490.27</v>
      </c>
      <c r="U8" s="206">
        <v>498.79</v>
      </c>
      <c r="V8" s="206">
        <v>495.6</v>
      </c>
      <c r="W8" s="214">
        <v>535</v>
      </c>
      <c r="Z8" s="23" t="str">
        <v>13/02/2024  07:01</v>
      </c>
      <c r="AA8">
        <v>491.9</v>
      </c>
      <c r="AB8">
        <v>489.4</v>
      </c>
      <c r="AC8">
        <v>488.8</v>
      </c>
    </row>
    <row r="9" spans="1:29" ht="14.45" customHeight="1" x14ac:dyDescent="0.25">
      <c r="A9" s="23" t="str">
        <v>13/02/2024  07:02</v>
      </c>
      <c r="B9">
        <v>497.7</v>
      </c>
      <c r="C9">
        <v>496.12</v>
      </c>
      <c r="D9">
        <v>495.56</v>
      </c>
      <c r="E9">
        <v>498.16</v>
      </c>
      <c r="F9">
        <v>498.03</v>
      </c>
      <c r="G9">
        <v>500.51</v>
      </c>
      <c r="H9">
        <v>492.41</v>
      </c>
      <c r="I9">
        <v>501.11</v>
      </c>
      <c r="J9">
        <v>497.81</v>
      </c>
      <c r="K9" s="217"/>
      <c r="M9" s="378"/>
      <c r="N9" s="206">
        <v>497.82</v>
      </c>
      <c r="O9" s="206">
        <v>496.12</v>
      </c>
      <c r="P9" s="206">
        <v>495.69</v>
      </c>
      <c r="Q9" s="206">
        <v>498.34000000000003</v>
      </c>
      <c r="R9" s="206">
        <v>498.13</v>
      </c>
      <c r="S9" s="206">
        <v>500.82</v>
      </c>
      <c r="T9" s="206">
        <v>492.5</v>
      </c>
      <c r="U9" s="206">
        <v>501.22</v>
      </c>
      <c r="V9" s="206">
        <v>498.04</v>
      </c>
      <c r="W9" s="214">
        <v>535</v>
      </c>
      <c r="Z9" s="23" t="str">
        <v>13/02/2024  07:02</v>
      </c>
      <c r="AA9">
        <v>494.3</v>
      </c>
      <c r="AB9">
        <v>491.8</v>
      </c>
      <c r="AC9">
        <v>491.2</v>
      </c>
    </row>
    <row r="10" spans="1:29" ht="14.45" customHeight="1" x14ac:dyDescent="0.25">
      <c r="A10" s="23" t="str">
        <v>13/02/2024  07:03</v>
      </c>
      <c r="B10">
        <v>499.98</v>
      </c>
      <c r="C10">
        <v>498.48</v>
      </c>
      <c r="D10">
        <v>497.95</v>
      </c>
      <c r="E10">
        <v>500.54</v>
      </c>
      <c r="F10">
        <v>500.45</v>
      </c>
      <c r="G10">
        <v>502.95</v>
      </c>
      <c r="H10">
        <v>495.04</v>
      </c>
      <c r="I10">
        <v>503.57</v>
      </c>
      <c r="J10">
        <v>500.15</v>
      </c>
      <c r="K10" s="217"/>
      <c r="M10" s="378"/>
      <c r="N10" s="206">
        <v>500.1</v>
      </c>
      <c r="O10" s="206">
        <v>498.48</v>
      </c>
      <c r="P10" s="206">
        <v>498.08</v>
      </c>
      <c r="Q10" s="206">
        <v>500.72</v>
      </c>
      <c r="R10" s="206">
        <v>500.55</v>
      </c>
      <c r="S10" s="206">
        <v>503.26</v>
      </c>
      <c r="T10" s="206">
        <v>495.13</v>
      </c>
      <c r="U10" s="206">
        <v>503.68</v>
      </c>
      <c r="V10" s="206">
        <v>500.38</v>
      </c>
      <c r="W10" s="214">
        <v>535</v>
      </c>
      <c r="Z10" s="23" t="str">
        <v>13/02/2024  07:03</v>
      </c>
      <c r="AA10">
        <v>496.6</v>
      </c>
      <c r="AB10">
        <v>494.2</v>
      </c>
      <c r="AC10">
        <v>493.5</v>
      </c>
    </row>
    <row r="11" spans="1:29" ht="14.45" customHeight="1" x14ac:dyDescent="0.25">
      <c r="A11" s="23" t="str">
        <v>13/02/2024  07:04</v>
      </c>
      <c r="B11">
        <v>502.39</v>
      </c>
      <c r="C11">
        <v>500.96</v>
      </c>
      <c r="D11">
        <v>500.28</v>
      </c>
      <c r="E11">
        <v>502.86</v>
      </c>
      <c r="F11">
        <v>502.7</v>
      </c>
      <c r="G11">
        <v>505.16</v>
      </c>
      <c r="H11">
        <v>497.1</v>
      </c>
      <c r="I11">
        <v>505.74</v>
      </c>
      <c r="J11">
        <v>502.62</v>
      </c>
      <c r="K11" s="217"/>
      <c r="M11" s="378"/>
      <c r="N11" s="206">
        <v>502.51</v>
      </c>
      <c r="O11" s="206">
        <v>500.96</v>
      </c>
      <c r="P11" s="206">
        <v>500.40999999999997</v>
      </c>
      <c r="Q11" s="206">
        <v>503.04</v>
      </c>
      <c r="R11" s="206">
        <v>502.8</v>
      </c>
      <c r="S11" s="206">
        <v>505.47</v>
      </c>
      <c r="T11" s="206">
        <v>497.19</v>
      </c>
      <c r="U11" s="206">
        <v>505.85</v>
      </c>
      <c r="V11" s="206">
        <v>502.85</v>
      </c>
      <c r="W11" s="214">
        <v>535</v>
      </c>
      <c r="Z11" s="23" t="str">
        <v>13/02/2024  07:04</v>
      </c>
      <c r="AA11">
        <v>498.9</v>
      </c>
      <c r="AB11">
        <v>496.6</v>
      </c>
      <c r="AC11">
        <v>495.9</v>
      </c>
    </row>
    <row r="12" spans="1:29" ht="14.45" customHeight="1" x14ac:dyDescent="0.25">
      <c r="A12" s="23" t="str">
        <v>13/02/2024  07:05</v>
      </c>
      <c r="B12">
        <v>504.72</v>
      </c>
      <c r="C12">
        <v>503.26</v>
      </c>
      <c r="D12">
        <v>502.63</v>
      </c>
      <c r="E12">
        <v>505.17</v>
      </c>
      <c r="F12">
        <v>504.95</v>
      </c>
      <c r="G12">
        <v>507.56</v>
      </c>
      <c r="H12">
        <v>499.84</v>
      </c>
      <c r="I12">
        <v>508.16</v>
      </c>
      <c r="J12">
        <v>504.88</v>
      </c>
      <c r="K12" s="217"/>
      <c r="M12" s="378"/>
      <c r="N12" s="206">
        <v>504.84000000000003</v>
      </c>
      <c r="O12" s="206">
        <v>503.26</v>
      </c>
      <c r="P12" s="206">
        <v>502.76</v>
      </c>
      <c r="Q12" s="206">
        <v>505.35</v>
      </c>
      <c r="R12" s="206">
        <v>505.05</v>
      </c>
      <c r="S12" s="206">
        <v>507.87</v>
      </c>
      <c r="T12" s="206">
        <v>499.92999999999995</v>
      </c>
      <c r="U12" s="206">
        <v>508.27000000000004</v>
      </c>
      <c r="V12" s="206">
        <v>505.11</v>
      </c>
      <c r="W12" s="214">
        <v>535</v>
      </c>
      <c r="Z12" s="23" t="str">
        <v>13/02/2024  07:05</v>
      </c>
      <c r="AA12">
        <v>501.2</v>
      </c>
      <c r="AB12">
        <v>499</v>
      </c>
      <c r="AC12">
        <v>498.2</v>
      </c>
    </row>
    <row r="13" spans="1:29" ht="14.45" customHeight="1" x14ac:dyDescent="0.25">
      <c r="A13" s="23" t="str">
        <v>13/02/2024  07:06</v>
      </c>
      <c r="B13">
        <v>506.99</v>
      </c>
      <c r="C13">
        <v>505.48</v>
      </c>
      <c r="D13">
        <v>504.93</v>
      </c>
      <c r="E13">
        <v>507.47</v>
      </c>
      <c r="F13">
        <v>507.23</v>
      </c>
      <c r="G13">
        <v>509.79</v>
      </c>
      <c r="H13">
        <v>501.93</v>
      </c>
      <c r="I13">
        <v>510.39</v>
      </c>
      <c r="J13">
        <v>507.2</v>
      </c>
      <c r="K13" s="217"/>
      <c r="M13" s="378"/>
      <c r="N13" s="206">
        <v>507.11</v>
      </c>
      <c r="O13" s="206">
        <v>505.48</v>
      </c>
      <c r="P13" s="206">
        <v>505.06</v>
      </c>
      <c r="Q13" s="206">
        <v>507.65000000000003</v>
      </c>
      <c r="R13" s="206">
        <v>507.33000000000004</v>
      </c>
      <c r="S13" s="206">
        <v>510.1</v>
      </c>
      <c r="T13" s="206">
        <v>502.02</v>
      </c>
      <c r="U13" s="206">
        <v>510.5</v>
      </c>
      <c r="V13" s="206">
        <v>507.43</v>
      </c>
      <c r="W13" s="214">
        <v>535</v>
      </c>
      <c r="Z13" s="23" t="str">
        <v>13/02/2024  07:06</v>
      </c>
      <c r="AA13">
        <v>503.4</v>
      </c>
      <c r="AB13">
        <v>501.2</v>
      </c>
      <c r="AC13">
        <v>500.4</v>
      </c>
    </row>
    <row r="14" spans="1:29" ht="14.45" customHeight="1" x14ac:dyDescent="0.25">
      <c r="A14" s="23" t="str">
        <v>13/02/2024  07:07</v>
      </c>
      <c r="B14">
        <v>509.34</v>
      </c>
      <c r="C14">
        <v>507.98</v>
      </c>
      <c r="D14">
        <v>507.28</v>
      </c>
      <c r="E14">
        <v>509.73</v>
      </c>
      <c r="F14">
        <v>509.45</v>
      </c>
      <c r="G14">
        <v>512.17999999999995</v>
      </c>
      <c r="H14">
        <v>504.19</v>
      </c>
      <c r="I14">
        <v>512.67999999999995</v>
      </c>
      <c r="J14">
        <v>509.45</v>
      </c>
      <c r="K14" s="217"/>
      <c r="M14" s="378"/>
      <c r="N14" s="206">
        <v>509.46</v>
      </c>
      <c r="O14" s="206">
        <v>507.98</v>
      </c>
      <c r="P14" s="206">
        <v>507.40999999999997</v>
      </c>
      <c r="Q14" s="206">
        <v>509.91</v>
      </c>
      <c r="R14" s="206">
        <v>509.55</v>
      </c>
      <c r="S14" s="206">
        <v>512.4899999999999</v>
      </c>
      <c r="T14" s="206">
        <v>504.28</v>
      </c>
      <c r="U14" s="206">
        <v>512.79</v>
      </c>
      <c r="V14" s="206">
        <v>509.68</v>
      </c>
      <c r="W14" s="214">
        <v>535</v>
      </c>
      <c r="Z14" s="23" t="str">
        <v>13/02/2024  07:07</v>
      </c>
      <c r="AA14">
        <v>505.6</v>
      </c>
      <c r="AB14">
        <v>503.5</v>
      </c>
      <c r="AC14">
        <v>502.7</v>
      </c>
    </row>
    <row r="15" spans="1:29" ht="14.45" customHeight="1" x14ac:dyDescent="0.25">
      <c r="A15" s="23" t="str">
        <v>13/02/2024  07:08</v>
      </c>
      <c r="B15">
        <v>511.66</v>
      </c>
      <c r="C15">
        <v>510.15</v>
      </c>
      <c r="D15">
        <v>509.56</v>
      </c>
      <c r="E15">
        <v>512.09</v>
      </c>
      <c r="F15">
        <v>511.94</v>
      </c>
      <c r="G15">
        <v>514.36</v>
      </c>
      <c r="H15">
        <v>506.52</v>
      </c>
      <c r="I15">
        <v>514.77</v>
      </c>
      <c r="J15">
        <v>511.83</v>
      </c>
      <c r="K15" s="217"/>
      <c r="M15" s="378"/>
      <c r="N15" s="206">
        <v>511.78000000000003</v>
      </c>
      <c r="O15" s="206">
        <v>510.15</v>
      </c>
      <c r="P15" s="206">
        <v>509.69</v>
      </c>
      <c r="Q15" s="206">
        <v>512.27</v>
      </c>
      <c r="R15" s="206">
        <v>512.04</v>
      </c>
      <c r="S15" s="206">
        <v>514.66999999999996</v>
      </c>
      <c r="T15" s="206">
        <v>506.60999999999996</v>
      </c>
      <c r="U15" s="206">
        <v>514.88</v>
      </c>
      <c r="V15" s="206">
        <v>512.05999999999995</v>
      </c>
      <c r="W15" s="214">
        <v>535</v>
      </c>
      <c r="Z15" s="23" t="str">
        <v>13/02/2024  07:08</v>
      </c>
      <c r="AA15">
        <v>507.9</v>
      </c>
      <c r="AB15">
        <v>505.9</v>
      </c>
      <c r="AC15">
        <v>505</v>
      </c>
    </row>
    <row r="16" spans="1:29" ht="14.45" customHeight="1" x14ac:dyDescent="0.25">
      <c r="A16" s="23" t="str">
        <v>13/02/2024  07:09</v>
      </c>
      <c r="B16">
        <v>513.89</v>
      </c>
      <c r="C16">
        <v>512.41</v>
      </c>
      <c r="D16">
        <v>511.9</v>
      </c>
      <c r="E16">
        <v>514.28</v>
      </c>
      <c r="F16">
        <v>513.95000000000005</v>
      </c>
      <c r="G16">
        <v>516.65</v>
      </c>
      <c r="H16">
        <v>508.87</v>
      </c>
      <c r="I16">
        <v>517.13</v>
      </c>
      <c r="J16">
        <v>513.99</v>
      </c>
      <c r="K16" s="217"/>
      <c r="M16" s="378"/>
      <c r="N16" s="206">
        <v>514.01</v>
      </c>
      <c r="O16" s="206">
        <v>512.41</v>
      </c>
      <c r="P16" s="206">
        <v>512.03</v>
      </c>
      <c r="Q16" s="206">
        <v>514.45999999999992</v>
      </c>
      <c r="R16" s="206">
        <v>514.05000000000007</v>
      </c>
      <c r="S16" s="206">
        <v>516.95999999999992</v>
      </c>
      <c r="T16" s="206">
        <v>508.96</v>
      </c>
      <c r="U16" s="206">
        <v>517.24</v>
      </c>
      <c r="V16" s="206">
        <v>514.22</v>
      </c>
      <c r="W16" s="214">
        <v>535</v>
      </c>
      <c r="Z16" s="23" t="str">
        <v>13/02/2024  07:09</v>
      </c>
      <c r="AA16">
        <v>510</v>
      </c>
      <c r="AB16">
        <v>508.1</v>
      </c>
      <c r="AC16">
        <v>507.2</v>
      </c>
    </row>
    <row r="17" spans="1:29" ht="14.45" customHeight="1" x14ac:dyDescent="0.25">
      <c r="A17" s="23" t="str">
        <v>13/02/2024  07:10</v>
      </c>
      <c r="B17">
        <v>516.13</v>
      </c>
      <c r="C17">
        <v>514.71</v>
      </c>
      <c r="D17">
        <v>514.07000000000005</v>
      </c>
      <c r="E17">
        <v>516.5</v>
      </c>
      <c r="F17">
        <v>516.29</v>
      </c>
      <c r="G17">
        <v>518.75</v>
      </c>
      <c r="H17">
        <v>510.82</v>
      </c>
      <c r="I17">
        <v>519.27</v>
      </c>
      <c r="J17">
        <v>516.29</v>
      </c>
      <c r="K17" s="217"/>
      <c r="M17" s="378"/>
      <c r="N17" s="206">
        <v>516.25</v>
      </c>
      <c r="O17" s="206">
        <v>514.71</v>
      </c>
      <c r="P17" s="206">
        <v>514.20000000000005</v>
      </c>
      <c r="Q17" s="206">
        <v>516.67999999999995</v>
      </c>
      <c r="R17" s="206">
        <v>516.39</v>
      </c>
      <c r="S17" s="206">
        <v>519.05999999999995</v>
      </c>
      <c r="T17" s="206">
        <v>510.90999999999997</v>
      </c>
      <c r="U17" s="206">
        <v>519.38</v>
      </c>
      <c r="V17" s="206">
        <v>516.52</v>
      </c>
      <c r="W17" s="214">
        <v>535</v>
      </c>
      <c r="Z17" s="23" t="str">
        <v>13/02/2024  07:10</v>
      </c>
      <c r="AA17">
        <v>512.29999999999995</v>
      </c>
      <c r="AB17">
        <v>510.4</v>
      </c>
      <c r="AC17">
        <v>509.4</v>
      </c>
    </row>
    <row r="18" spans="1:29" ht="14.45" customHeight="1" x14ac:dyDescent="0.25">
      <c r="A18" s="23" t="str">
        <v>13/02/2024  07:11</v>
      </c>
      <c r="B18">
        <v>518.30999999999995</v>
      </c>
      <c r="C18">
        <v>516.96</v>
      </c>
      <c r="D18">
        <v>516.41999999999996</v>
      </c>
      <c r="E18">
        <v>518.78</v>
      </c>
      <c r="F18">
        <v>518.63</v>
      </c>
      <c r="G18">
        <v>520.98</v>
      </c>
      <c r="H18">
        <v>513.5</v>
      </c>
      <c r="I18">
        <v>521.53</v>
      </c>
      <c r="J18">
        <v>518.52</v>
      </c>
      <c r="K18" s="217"/>
      <c r="M18" s="378"/>
      <c r="N18" s="206">
        <v>518.42999999999995</v>
      </c>
      <c r="O18" s="206">
        <v>516.96</v>
      </c>
      <c r="P18" s="206">
        <v>516.54999999999995</v>
      </c>
      <c r="Q18" s="206">
        <v>518.95999999999992</v>
      </c>
      <c r="R18" s="206">
        <v>518.73</v>
      </c>
      <c r="S18" s="206">
        <v>521.29</v>
      </c>
      <c r="T18" s="206">
        <v>513.59</v>
      </c>
      <c r="U18" s="206">
        <v>521.64</v>
      </c>
      <c r="V18" s="206">
        <v>518.75</v>
      </c>
      <c r="W18" s="214">
        <v>535</v>
      </c>
      <c r="Z18" s="23" t="str">
        <v>13/02/2024  07:11</v>
      </c>
      <c r="AA18">
        <v>514.5</v>
      </c>
      <c r="AB18">
        <v>512.70000000000005</v>
      </c>
      <c r="AC18">
        <v>511.6</v>
      </c>
    </row>
    <row r="19" spans="1:29" ht="14.45" customHeight="1" x14ac:dyDescent="0.25">
      <c r="A19" s="23" t="str">
        <v>13/02/2024  07:12</v>
      </c>
      <c r="B19">
        <v>520.54</v>
      </c>
      <c r="C19">
        <v>519.15</v>
      </c>
      <c r="D19">
        <v>518.58000000000004</v>
      </c>
      <c r="E19">
        <v>520.98</v>
      </c>
      <c r="F19">
        <v>520.87</v>
      </c>
      <c r="G19">
        <v>523.4</v>
      </c>
      <c r="H19">
        <v>515.70000000000005</v>
      </c>
      <c r="I19">
        <v>523.64</v>
      </c>
      <c r="J19">
        <v>520.71</v>
      </c>
      <c r="K19" s="217"/>
      <c r="M19" s="378"/>
      <c r="N19" s="206">
        <v>520.66</v>
      </c>
      <c r="O19" s="206">
        <v>519.15</v>
      </c>
      <c r="P19" s="206">
        <v>518.71</v>
      </c>
      <c r="Q19" s="206">
        <v>521.16</v>
      </c>
      <c r="R19" s="206">
        <v>520.97</v>
      </c>
      <c r="S19" s="206">
        <v>523.70999999999992</v>
      </c>
      <c r="T19" s="206">
        <v>515.79000000000008</v>
      </c>
      <c r="U19" s="206">
        <v>523.75</v>
      </c>
      <c r="V19" s="206">
        <v>520.94000000000005</v>
      </c>
      <c r="W19" s="214">
        <v>535</v>
      </c>
      <c r="Z19" s="23" t="str">
        <v>13/02/2024  07:12</v>
      </c>
      <c r="AA19">
        <v>516.70000000000005</v>
      </c>
      <c r="AB19">
        <v>514.9</v>
      </c>
      <c r="AC19">
        <v>513.9</v>
      </c>
    </row>
    <row r="20" spans="1:29" ht="14.45" customHeight="1" x14ac:dyDescent="0.25">
      <c r="A20" s="23" t="str">
        <v>13/02/2024  07:13</v>
      </c>
      <c r="B20">
        <v>522.84</v>
      </c>
      <c r="C20">
        <v>521.48</v>
      </c>
      <c r="D20">
        <v>520.83000000000004</v>
      </c>
      <c r="E20">
        <v>523.16999999999996</v>
      </c>
      <c r="F20">
        <v>523</v>
      </c>
      <c r="G20">
        <v>525.57000000000005</v>
      </c>
      <c r="H20">
        <v>517.80999999999995</v>
      </c>
      <c r="I20">
        <v>525.96</v>
      </c>
      <c r="J20">
        <v>522.88</v>
      </c>
      <c r="K20" s="217"/>
      <c r="M20" s="378"/>
      <c r="N20" s="206">
        <v>522.96</v>
      </c>
      <c r="O20" s="206">
        <v>521.48</v>
      </c>
      <c r="P20" s="206">
        <v>520.96</v>
      </c>
      <c r="Q20" s="206">
        <v>523.34999999999991</v>
      </c>
      <c r="R20" s="206">
        <v>523.1</v>
      </c>
      <c r="S20" s="206">
        <v>525.88</v>
      </c>
      <c r="T20" s="206">
        <v>517.9</v>
      </c>
      <c r="U20" s="206">
        <v>526.07000000000005</v>
      </c>
      <c r="V20" s="206">
        <v>523.11</v>
      </c>
      <c r="W20" s="214">
        <v>535</v>
      </c>
      <c r="Z20" s="23" t="str">
        <v>13/02/2024  07:13</v>
      </c>
      <c r="AA20">
        <v>518.79999999999995</v>
      </c>
      <c r="AB20">
        <v>517.20000000000005</v>
      </c>
      <c r="AC20">
        <v>516</v>
      </c>
    </row>
    <row r="21" spans="1:29" ht="14.45" customHeight="1" x14ac:dyDescent="0.25">
      <c r="A21" s="23" t="str">
        <v>13/02/2024  07:14</v>
      </c>
      <c r="B21">
        <v>524.95000000000005</v>
      </c>
      <c r="C21">
        <v>523.72</v>
      </c>
      <c r="D21">
        <v>523.04999999999995</v>
      </c>
      <c r="E21">
        <v>525.36</v>
      </c>
      <c r="F21">
        <v>525.37</v>
      </c>
      <c r="G21">
        <v>527.41</v>
      </c>
      <c r="H21">
        <v>519.94000000000005</v>
      </c>
      <c r="I21">
        <v>528.04999999999995</v>
      </c>
      <c r="J21">
        <v>525.12</v>
      </c>
      <c r="K21" s="217"/>
      <c r="M21" s="378"/>
      <c r="N21" s="206">
        <v>525.07000000000005</v>
      </c>
      <c r="O21" s="206">
        <v>523.72</v>
      </c>
      <c r="P21" s="206">
        <v>523.17999999999995</v>
      </c>
      <c r="Q21" s="206">
        <v>525.54</v>
      </c>
      <c r="R21" s="206">
        <v>525.47</v>
      </c>
      <c r="S21" s="206">
        <v>527.71999999999991</v>
      </c>
      <c r="T21" s="206">
        <v>520.03000000000009</v>
      </c>
      <c r="U21" s="206">
        <v>528.16</v>
      </c>
      <c r="V21" s="206">
        <v>525.35</v>
      </c>
      <c r="W21" s="214">
        <v>535</v>
      </c>
      <c r="Z21" s="23" t="str">
        <v>13/02/2024  07:14</v>
      </c>
      <c r="AA21">
        <v>521</v>
      </c>
      <c r="AB21">
        <v>519.5</v>
      </c>
      <c r="AC21">
        <v>518.20000000000005</v>
      </c>
    </row>
    <row r="22" spans="1:29" ht="14.45" customHeight="1" x14ac:dyDescent="0.25">
      <c r="A22" s="23" t="str">
        <v>13/02/2024  07:15</v>
      </c>
      <c r="B22">
        <v>527.17999999999995</v>
      </c>
      <c r="C22">
        <v>525.74</v>
      </c>
      <c r="D22">
        <v>525.25</v>
      </c>
      <c r="E22">
        <v>527.6</v>
      </c>
      <c r="F22">
        <v>527.34</v>
      </c>
      <c r="G22">
        <v>529.70000000000005</v>
      </c>
      <c r="H22">
        <v>522.28</v>
      </c>
      <c r="I22">
        <v>530.20000000000005</v>
      </c>
      <c r="J22">
        <v>527.32000000000005</v>
      </c>
      <c r="K22" s="217"/>
      <c r="M22" s="377" t="s">
        <v>341</v>
      </c>
      <c r="N22" s="204">
        <v>527.29999999999995</v>
      </c>
      <c r="O22" s="204">
        <v>525.74</v>
      </c>
      <c r="P22" s="204">
        <v>525.38</v>
      </c>
      <c r="Q22" s="204">
        <v>527.78</v>
      </c>
      <c r="R22" s="204">
        <v>527.44000000000005</v>
      </c>
      <c r="S22" s="204">
        <v>530.01</v>
      </c>
      <c r="T22" s="204">
        <v>522.37</v>
      </c>
      <c r="U22" s="204">
        <v>530.31000000000006</v>
      </c>
      <c r="V22" s="204">
        <v>527.55000000000007</v>
      </c>
      <c r="W22" s="214">
        <v>535</v>
      </c>
      <c r="Z22" s="23" t="str">
        <v>13/02/2024  07:15</v>
      </c>
      <c r="AA22">
        <v>523.1</v>
      </c>
      <c r="AB22">
        <v>521.6</v>
      </c>
      <c r="AC22">
        <v>520.4</v>
      </c>
    </row>
    <row r="23" spans="1:29" ht="14.45" customHeight="1" x14ac:dyDescent="0.25">
      <c r="A23" s="23" t="str">
        <v>13/02/2024  07:16</v>
      </c>
      <c r="B23">
        <v>529.38</v>
      </c>
      <c r="C23">
        <v>527.87</v>
      </c>
      <c r="D23">
        <v>527.42999999999995</v>
      </c>
      <c r="E23">
        <v>529.62</v>
      </c>
      <c r="F23">
        <v>529.44000000000005</v>
      </c>
      <c r="G23">
        <v>531.76</v>
      </c>
      <c r="H23">
        <v>524.32000000000005</v>
      </c>
      <c r="I23">
        <v>532.34</v>
      </c>
      <c r="J23">
        <v>529.5</v>
      </c>
      <c r="K23" s="217"/>
      <c r="M23" s="377"/>
      <c r="N23" s="204">
        <v>529.5</v>
      </c>
      <c r="O23" s="204">
        <v>527.87</v>
      </c>
      <c r="P23" s="204">
        <v>527.55999999999995</v>
      </c>
      <c r="Q23" s="204">
        <v>529.79999999999995</v>
      </c>
      <c r="R23" s="204">
        <v>529.54000000000008</v>
      </c>
      <c r="S23" s="204">
        <v>532.06999999999994</v>
      </c>
      <c r="T23" s="204">
        <v>524.41000000000008</v>
      </c>
      <c r="U23" s="204">
        <v>532.45000000000005</v>
      </c>
      <c r="V23" s="204">
        <v>529.73</v>
      </c>
      <c r="W23" s="214">
        <v>535</v>
      </c>
      <c r="Z23" s="23" t="str">
        <v>13/02/2024  07:16</v>
      </c>
      <c r="AA23">
        <v>525.29999999999995</v>
      </c>
      <c r="AB23">
        <v>523.70000000000005</v>
      </c>
      <c r="AC23">
        <v>522.5</v>
      </c>
    </row>
    <row r="24" spans="1:29" ht="14.45" customHeight="1" x14ac:dyDescent="0.25">
      <c r="A24" s="23" t="str">
        <v>13/02/2024  07:17</v>
      </c>
      <c r="B24">
        <v>531.36</v>
      </c>
      <c r="C24">
        <v>530.21</v>
      </c>
      <c r="D24">
        <v>529.52</v>
      </c>
      <c r="E24">
        <v>531.70000000000005</v>
      </c>
      <c r="F24">
        <v>531.52</v>
      </c>
      <c r="G24">
        <v>533.80999999999995</v>
      </c>
      <c r="H24">
        <v>526.65</v>
      </c>
      <c r="I24">
        <v>534.27</v>
      </c>
      <c r="J24">
        <v>531.58000000000004</v>
      </c>
      <c r="K24" s="217"/>
      <c r="M24" s="377"/>
      <c r="N24" s="204">
        <v>531.48</v>
      </c>
      <c r="O24" s="204">
        <v>530.21</v>
      </c>
      <c r="P24" s="204">
        <v>529.65</v>
      </c>
      <c r="Q24" s="204">
        <v>531.88</v>
      </c>
      <c r="R24" s="204">
        <v>531.62</v>
      </c>
      <c r="S24" s="204">
        <v>534.11999999999989</v>
      </c>
      <c r="T24" s="204">
        <v>526.74</v>
      </c>
      <c r="U24" s="204">
        <v>534.38</v>
      </c>
      <c r="V24" s="204">
        <v>531.81000000000006</v>
      </c>
      <c r="W24" s="214">
        <v>535</v>
      </c>
      <c r="Z24" s="23" t="str">
        <v>13/02/2024  07:17</v>
      </c>
      <c r="AA24">
        <v>527.4</v>
      </c>
      <c r="AB24">
        <v>526</v>
      </c>
      <c r="AC24">
        <v>524.6</v>
      </c>
    </row>
    <row r="25" spans="1:29" ht="14.45" customHeight="1" x14ac:dyDescent="0.25">
      <c r="A25" s="23" t="str">
        <v>13/02/2024  07:18</v>
      </c>
      <c r="B25">
        <v>532.80999999999995</v>
      </c>
      <c r="C25">
        <v>531.63</v>
      </c>
      <c r="D25">
        <v>531.11</v>
      </c>
      <c r="E25">
        <v>533.13</v>
      </c>
      <c r="F25">
        <v>533.02</v>
      </c>
      <c r="G25">
        <v>535.11</v>
      </c>
      <c r="H25">
        <v>528.54</v>
      </c>
      <c r="I25">
        <v>535.55999999999995</v>
      </c>
      <c r="J25">
        <v>533.09</v>
      </c>
      <c r="K25" s="217"/>
      <c r="M25" s="377"/>
      <c r="N25" s="204">
        <v>532.92999999999995</v>
      </c>
      <c r="O25" s="204">
        <v>531.63</v>
      </c>
      <c r="P25" s="204">
        <v>531.24</v>
      </c>
      <c r="Q25" s="204">
        <v>533.30999999999995</v>
      </c>
      <c r="R25" s="204">
        <v>533.12</v>
      </c>
      <c r="S25" s="204">
        <v>535.41999999999996</v>
      </c>
      <c r="T25" s="204">
        <v>528.63</v>
      </c>
      <c r="U25" s="204">
        <v>535.66999999999996</v>
      </c>
      <c r="V25" s="204">
        <v>533.32000000000005</v>
      </c>
      <c r="W25" s="214">
        <v>535</v>
      </c>
      <c r="Z25" s="23" t="str">
        <v>13/02/2024  07:18</v>
      </c>
      <c r="AA25">
        <v>529.20000000000005</v>
      </c>
      <c r="AB25">
        <v>528</v>
      </c>
      <c r="AC25">
        <v>526.70000000000005</v>
      </c>
    </row>
    <row r="26" spans="1:29" ht="14.45" customHeight="1" x14ac:dyDescent="0.25">
      <c r="A26" s="23" t="str">
        <v>13/02/2024  07:19</v>
      </c>
      <c r="B26">
        <v>534.07000000000005</v>
      </c>
      <c r="C26">
        <v>532.97</v>
      </c>
      <c r="D26">
        <v>532.4</v>
      </c>
      <c r="E26">
        <v>534.22</v>
      </c>
      <c r="F26">
        <v>533.82000000000005</v>
      </c>
      <c r="G26">
        <v>536.13</v>
      </c>
      <c r="H26">
        <v>529.97</v>
      </c>
      <c r="I26">
        <v>536.45000000000005</v>
      </c>
      <c r="J26">
        <v>534.17999999999995</v>
      </c>
      <c r="K26" s="217"/>
      <c r="M26" s="377"/>
      <c r="N26" s="204">
        <v>534.19000000000005</v>
      </c>
      <c r="O26" s="204">
        <v>532.97</v>
      </c>
      <c r="P26" s="204">
        <v>532.53</v>
      </c>
      <c r="Q26" s="204">
        <v>534.4</v>
      </c>
      <c r="R26" s="204">
        <v>533.92000000000007</v>
      </c>
      <c r="S26" s="204">
        <v>536.43999999999994</v>
      </c>
      <c r="T26" s="204">
        <v>530.06000000000006</v>
      </c>
      <c r="U26" s="204">
        <v>536.56000000000006</v>
      </c>
      <c r="V26" s="204">
        <v>534.41</v>
      </c>
      <c r="W26" s="214">
        <v>535</v>
      </c>
      <c r="Z26" s="23" t="str">
        <v>13/02/2024  07:19</v>
      </c>
      <c r="AA26">
        <v>530.5</v>
      </c>
      <c r="AB26">
        <v>529.70000000000005</v>
      </c>
      <c r="AC26">
        <v>528.29999999999995</v>
      </c>
    </row>
    <row r="27" spans="1:29" ht="14.45" customHeight="1" x14ac:dyDescent="0.25">
      <c r="A27" s="23" t="str">
        <v>13/02/2024  07:20</v>
      </c>
      <c r="B27">
        <v>535.15</v>
      </c>
      <c r="C27">
        <v>534.1</v>
      </c>
      <c r="D27">
        <v>533.63</v>
      </c>
      <c r="E27">
        <v>535.25</v>
      </c>
      <c r="F27">
        <v>535.13</v>
      </c>
      <c r="G27">
        <v>537.11</v>
      </c>
      <c r="H27">
        <v>531.4</v>
      </c>
      <c r="I27">
        <v>537.4</v>
      </c>
      <c r="J27">
        <v>535.23</v>
      </c>
      <c r="K27" s="217"/>
      <c r="M27" s="377"/>
      <c r="N27" s="204">
        <v>535.27</v>
      </c>
      <c r="O27" s="204">
        <v>534.1</v>
      </c>
      <c r="P27" s="204">
        <v>533.76</v>
      </c>
      <c r="Q27" s="204">
        <v>535.42999999999995</v>
      </c>
      <c r="R27" s="204">
        <v>535.23</v>
      </c>
      <c r="S27" s="204">
        <v>537.41999999999996</v>
      </c>
      <c r="T27" s="204">
        <v>531.49</v>
      </c>
      <c r="U27" s="204">
        <v>537.51</v>
      </c>
      <c r="V27" s="204">
        <v>535.46</v>
      </c>
      <c r="W27" s="214">
        <v>535</v>
      </c>
      <c r="Z27" s="23" t="str">
        <v>13/02/2024  07:20</v>
      </c>
      <c r="AA27">
        <v>531.6</v>
      </c>
      <c r="AB27">
        <v>531.20000000000005</v>
      </c>
      <c r="AC27">
        <v>529.70000000000005</v>
      </c>
    </row>
    <row r="28" spans="1:29" ht="14.45" customHeight="1" x14ac:dyDescent="0.25">
      <c r="A28" s="23" t="str">
        <v>13/02/2024  07:21</v>
      </c>
      <c r="B28">
        <v>535.82000000000005</v>
      </c>
      <c r="C28">
        <v>535</v>
      </c>
      <c r="D28">
        <v>534.5</v>
      </c>
      <c r="E28">
        <v>535.88</v>
      </c>
      <c r="F28">
        <v>535.66999999999996</v>
      </c>
      <c r="G28">
        <v>537.77</v>
      </c>
      <c r="H28">
        <v>532.49</v>
      </c>
      <c r="I28">
        <v>537.73</v>
      </c>
      <c r="J28">
        <v>535.97</v>
      </c>
      <c r="K28" s="217"/>
      <c r="M28" s="377"/>
      <c r="N28" s="204">
        <v>535.94000000000005</v>
      </c>
      <c r="O28" s="204">
        <v>535</v>
      </c>
      <c r="P28" s="204">
        <v>534.63</v>
      </c>
      <c r="Q28" s="204">
        <v>536.05999999999995</v>
      </c>
      <c r="R28" s="204">
        <v>535.77</v>
      </c>
      <c r="S28" s="204">
        <v>538.07999999999993</v>
      </c>
      <c r="T28" s="204">
        <v>532.58000000000004</v>
      </c>
      <c r="U28" s="204">
        <v>537.84</v>
      </c>
      <c r="V28" s="204">
        <v>536.20000000000005</v>
      </c>
      <c r="W28" s="214">
        <v>535</v>
      </c>
      <c r="Z28" s="23" t="str">
        <v>13/02/2024  07:21</v>
      </c>
      <c r="AA28">
        <v>532.6</v>
      </c>
      <c r="AB28">
        <v>532.4</v>
      </c>
      <c r="AC28">
        <v>530.9</v>
      </c>
    </row>
    <row r="29" spans="1:29" ht="14.45" customHeight="1" x14ac:dyDescent="0.25">
      <c r="A29" s="23" t="str">
        <v>13/02/2024  07:22</v>
      </c>
      <c r="B29">
        <v>536.41</v>
      </c>
      <c r="C29">
        <v>535.66</v>
      </c>
      <c r="D29">
        <v>535.16999999999996</v>
      </c>
      <c r="E29">
        <v>536.41</v>
      </c>
      <c r="F29">
        <v>536.1</v>
      </c>
      <c r="G29">
        <v>538.26</v>
      </c>
      <c r="H29">
        <v>533.05999999999995</v>
      </c>
      <c r="I29">
        <v>538.04</v>
      </c>
      <c r="J29">
        <v>536.46</v>
      </c>
      <c r="K29" s="217"/>
      <c r="M29" s="377"/>
      <c r="N29" s="204">
        <v>536.53</v>
      </c>
      <c r="O29" s="204">
        <v>535.66</v>
      </c>
      <c r="P29" s="204">
        <v>535.29999999999995</v>
      </c>
      <c r="Q29" s="204">
        <v>536.58999999999992</v>
      </c>
      <c r="R29" s="204">
        <v>536.20000000000005</v>
      </c>
      <c r="S29" s="204">
        <v>538.56999999999994</v>
      </c>
      <c r="T29" s="204">
        <v>533.15</v>
      </c>
      <c r="U29" s="204">
        <v>538.15</v>
      </c>
      <c r="V29" s="204">
        <v>536.69000000000005</v>
      </c>
      <c r="W29" s="214">
        <v>535</v>
      </c>
      <c r="Z29" s="23" t="str">
        <v>13/02/2024  07:22</v>
      </c>
      <c r="AA29">
        <v>533.20000000000005</v>
      </c>
      <c r="AB29">
        <v>533.4</v>
      </c>
      <c r="AC29">
        <v>531.9</v>
      </c>
    </row>
    <row r="30" spans="1:29" ht="14.45" customHeight="1" x14ac:dyDescent="0.25">
      <c r="A30" s="23" t="str">
        <v>13/02/2024  07:23</v>
      </c>
      <c r="B30">
        <v>536.73</v>
      </c>
      <c r="C30">
        <v>536.07000000000005</v>
      </c>
      <c r="D30">
        <v>535.65</v>
      </c>
      <c r="E30">
        <v>536.57000000000005</v>
      </c>
      <c r="F30">
        <v>536.45000000000005</v>
      </c>
      <c r="G30">
        <v>538.32000000000005</v>
      </c>
      <c r="H30">
        <v>533.66999999999996</v>
      </c>
      <c r="I30">
        <v>538.09</v>
      </c>
      <c r="J30">
        <v>536.74</v>
      </c>
      <c r="K30" s="217"/>
      <c r="M30" s="377"/>
      <c r="N30" s="204">
        <v>536.85</v>
      </c>
      <c r="O30" s="204">
        <v>536.07000000000005</v>
      </c>
      <c r="P30" s="204">
        <v>535.78</v>
      </c>
      <c r="Q30" s="204">
        <v>536.75</v>
      </c>
      <c r="R30" s="204">
        <v>536.55000000000007</v>
      </c>
      <c r="S30" s="204">
        <v>538.63</v>
      </c>
      <c r="T30" s="204">
        <v>533.76</v>
      </c>
      <c r="U30" s="204">
        <v>538.20000000000005</v>
      </c>
      <c r="V30" s="204">
        <v>536.97</v>
      </c>
      <c r="W30" s="214">
        <v>535</v>
      </c>
      <c r="Z30" s="23" t="str">
        <v>13/02/2024  07:23</v>
      </c>
      <c r="AA30">
        <v>533.5</v>
      </c>
      <c r="AB30">
        <v>534.20000000000005</v>
      </c>
      <c r="AC30">
        <v>532.6</v>
      </c>
    </row>
    <row r="31" spans="1:29" ht="14.45" customHeight="1" x14ac:dyDescent="0.25">
      <c r="A31" s="23" t="str">
        <v>13/02/2024  07:24</v>
      </c>
      <c r="B31">
        <v>536.96</v>
      </c>
      <c r="C31">
        <v>536.41</v>
      </c>
      <c r="D31">
        <v>535.99</v>
      </c>
      <c r="E31">
        <v>536.78</v>
      </c>
      <c r="F31">
        <v>536.34</v>
      </c>
      <c r="G31">
        <v>538.49</v>
      </c>
      <c r="H31">
        <v>534.28</v>
      </c>
      <c r="I31">
        <v>538.01</v>
      </c>
      <c r="J31">
        <v>536.91999999999996</v>
      </c>
      <c r="K31" s="217"/>
      <c r="M31" s="377"/>
      <c r="N31" s="204">
        <v>537.08000000000004</v>
      </c>
      <c r="O31" s="204">
        <v>536.41</v>
      </c>
      <c r="P31" s="204">
        <v>536.12</v>
      </c>
      <c r="Q31" s="204">
        <v>536.95999999999992</v>
      </c>
      <c r="R31" s="204">
        <v>536.44000000000005</v>
      </c>
      <c r="S31" s="204">
        <v>538.79999999999995</v>
      </c>
      <c r="T31" s="204">
        <v>534.37</v>
      </c>
      <c r="U31" s="204">
        <v>538.12</v>
      </c>
      <c r="V31" s="204">
        <v>537.15</v>
      </c>
      <c r="W31" s="214">
        <v>535</v>
      </c>
      <c r="Z31" s="23" t="str">
        <v>13/02/2024  07:24</v>
      </c>
      <c r="AA31">
        <v>533.70000000000005</v>
      </c>
      <c r="AB31">
        <v>534.70000000000005</v>
      </c>
      <c r="AC31">
        <v>533</v>
      </c>
    </row>
    <row r="32" spans="1:29" ht="14.45" customHeight="1" x14ac:dyDescent="0.25">
      <c r="A32" s="23" t="str">
        <v>13/02/2024  07:25</v>
      </c>
      <c r="B32">
        <v>537.11</v>
      </c>
      <c r="C32">
        <v>536.66999999999996</v>
      </c>
      <c r="D32">
        <v>536.21</v>
      </c>
      <c r="E32">
        <v>536.80999999999995</v>
      </c>
      <c r="F32">
        <v>536.55999999999995</v>
      </c>
      <c r="G32">
        <v>538.48</v>
      </c>
      <c r="H32">
        <v>534.67999999999995</v>
      </c>
      <c r="I32">
        <v>537.97</v>
      </c>
      <c r="J32">
        <v>537.01</v>
      </c>
      <c r="K32" s="217"/>
      <c r="M32" s="377"/>
      <c r="N32" s="204">
        <v>537.23</v>
      </c>
      <c r="O32" s="204">
        <v>536.66999999999996</v>
      </c>
      <c r="P32" s="204">
        <v>536.34</v>
      </c>
      <c r="Q32" s="204">
        <v>536.9899999999999</v>
      </c>
      <c r="R32" s="204">
        <v>536.66</v>
      </c>
      <c r="S32" s="204">
        <v>538.79</v>
      </c>
      <c r="T32" s="204">
        <v>534.77</v>
      </c>
      <c r="U32" s="204">
        <v>538.08000000000004</v>
      </c>
      <c r="V32" s="204">
        <v>537.24</v>
      </c>
      <c r="W32" s="214">
        <v>535</v>
      </c>
      <c r="Z32" s="23" t="str">
        <v>13/02/2024  07:25</v>
      </c>
      <c r="AA32">
        <v>533.79999999999995</v>
      </c>
      <c r="AB32">
        <v>535</v>
      </c>
      <c r="AC32">
        <v>533.4</v>
      </c>
    </row>
    <row r="33" spans="1:29" ht="14.45" customHeight="1" x14ac:dyDescent="0.25">
      <c r="A33" s="23" t="str">
        <v>13/02/2024  07:26</v>
      </c>
      <c r="B33">
        <v>537.22</v>
      </c>
      <c r="C33">
        <v>536.86</v>
      </c>
      <c r="D33">
        <v>536.44000000000005</v>
      </c>
      <c r="E33">
        <v>536.96</v>
      </c>
      <c r="F33">
        <v>536.62</v>
      </c>
      <c r="G33">
        <v>538.64</v>
      </c>
      <c r="H33">
        <v>534.91999999999996</v>
      </c>
      <c r="I33">
        <v>538.07000000000005</v>
      </c>
      <c r="J33">
        <v>537.16</v>
      </c>
      <c r="K33" s="217"/>
      <c r="M33" s="377"/>
      <c r="N33" s="204">
        <v>537.34</v>
      </c>
      <c r="O33" s="204">
        <v>536.86</v>
      </c>
      <c r="P33" s="204">
        <v>536.57000000000005</v>
      </c>
      <c r="Q33" s="204">
        <v>537.14</v>
      </c>
      <c r="R33" s="204">
        <v>536.72</v>
      </c>
      <c r="S33" s="204">
        <v>538.94999999999993</v>
      </c>
      <c r="T33" s="204">
        <v>535.01</v>
      </c>
      <c r="U33" s="204">
        <v>538.18000000000006</v>
      </c>
      <c r="V33" s="204">
        <v>537.39</v>
      </c>
      <c r="W33" s="214">
        <v>535</v>
      </c>
      <c r="Z33" s="23" t="str">
        <v>13/02/2024  07:26</v>
      </c>
      <c r="AA33">
        <v>533.79999999999995</v>
      </c>
      <c r="AB33">
        <v>535.1</v>
      </c>
      <c r="AC33">
        <v>533.5</v>
      </c>
    </row>
    <row r="34" spans="1:29" ht="14.45" customHeight="1" x14ac:dyDescent="0.25">
      <c r="A34" s="23" t="str">
        <v>13/02/2024  07:27</v>
      </c>
      <c r="B34">
        <v>537.25</v>
      </c>
      <c r="C34">
        <v>536.89</v>
      </c>
      <c r="D34">
        <v>536.49</v>
      </c>
      <c r="E34">
        <v>536.87</v>
      </c>
      <c r="F34">
        <v>536.45000000000005</v>
      </c>
      <c r="G34">
        <v>538.35</v>
      </c>
      <c r="H34">
        <v>535</v>
      </c>
      <c r="I34">
        <v>537.74</v>
      </c>
      <c r="J34">
        <v>537.08000000000004</v>
      </c>
      <c r="K34" s="217"/>
      <c r="M34" s="377"/>
      <c r="N34" s="204">
        <v>537.37</v>
      </c>
      <c r="O34" s="204">
        <v>536.89</v>
      </c>
      <c r="P34" s="204">
        <v>536.62</v>
      </c>
      <c r="Q34" s="204">
        <v>537.04999999999995</v>
      </c>
      <c r="R34" s="204">
        <v>536.55000000000007</v>
      </c>
      <c r="S34" s="204">
        <v>538.66</v>
      </c>
      <c r="T34" s="204">
        <v>535.09</v>
      </c>
      <c r="U34" s="204">
        <v>537.85</v>
      </c>
      <c r="V34" s="204">
        <v>537.31000000000006</v>
      </c>
      <c r="W34" s="214">
        <v>535</v>
      </c>
      <c r="Z34" s="23" t="str">
        <v>13/02/2024  07:27</v>
      </c>
      <c r="AA34">
        <v>533.79999999999995</v>
      </c>
      <c r="AB34">
        <v>535.4</v>
      </c>
      <c r="AC34">
        <v>533.70000000000005</v>
      </c>
    </row>
    <row r="35" spans="1:29" ht="14.45" customHeight="1" x14ac:dyDescent="0.25">
      <c r="A35" s="23" t="str">
        <v>13/02/2024  07:28</v>
      </c>
      <c r="B35">
        <v>537.21</v>
      </c>
      <c r="C35">
        <v>536.9</v>
      </c>
      <c r="D35">
        <v>536.55999999999995</v>
      </c>
      <c r="E35">
        <v>536.87</v>
      </c>
      <c r="F35">
        <v>536.41</v>
      </c>
      <c r="G35">
        <v>538.29</v>
      </c>
      <c r="H35">
        <v>535.15</v>
      </c>
      <c r="I35">
        <v>537.67999999999995</v>
      </c>
      <c r="J35">
        <v>537.05999999999995</v>
      </c>
      <c r="K35" s="217"/>
      <c r="M35" s="377"/>
      <c r="N35" s="204">
        <v>537.33000000000004</v>
      </c>
      <c r="O35" s="204">
        <v>536.9</v>
      </c>
      <c r="P35" s="204">
        <v>536.68999999999994</v>
      </c>
      <c r="Q35" s="204">
        <v>537.04999999999995</v>
      </c>
      <c r="R35" s="204">
        <v>536.51</v>
      </c>
      <c r="S35" s="204">
        <v>538.59999999999991</v>
      </c>
      <c r="T35" s="204">
        <v>535.24</v>
      </c>
      <c r="U35" s="204">
        <v>537.79</v>
      </c>
      <c r="V35" s="204">
        <v>537.29</v>
      </c>
      <c r="W35" s="214">
        <v>535</v>
      </c>
      <c r="Z35" s="23" t="str">
        <v>13/02/2024  07:28</v>
      </c>
      <c r="AA35">
        <v>533.70000000000005</v>
      </c>
      <c r="AB35">
        <v>535.4</v>
      </c>
      <c r="AC35">
        <v>533.79999999999995</v>
      </c>
    </row>
    <row r="36" spans="1:29" ht="14.45" customHeight="1" x14ac:dyDescent="0.25">
      <c r="A36" s="23" t="str">
        <v>13/02/2024  07:29</v>
      </c>
      <c r="B36">
        <v>537.25</v>
      </c>
      <c r="C36">
        <v>536.97</v>
      </c>
      <c r="D36">
        <v>536.6</v>
      </c>
      <c r="E36">
        <v>536.77</v>
      </c>
      <c r="F36">
        <v>536.39</v>
      </c>
      <c r="G36">
        <v>538.22</v>
      </c>
      <c r="H36">
        <v>535.13</v>
      </c>
      <c r="I36">
        <v>537.41</v>
      </c>
      <c r="J36">
        <v>536.94000000000005</v>
      </c>
      <c r="K36" s="217"/>
      <c r="M36" s="377"/>
      <c r="N36" s="204">
        <v>537.37</v>
      </c>
      <c r="O36" s="204">
        <v>536.97</v>
      </c>
      <c r="P36" s="204">
        <v>536.73</v>
      </c>
      <c r="Q36" s="204">
        <v>536.94999999999993</v>
      </c>
      <c r="R36" s="204">
        <v>536.49</v>
      </c>
      <c r="S36" s="204">
        <v>538.53</v>
      </c>
      <c r="T36" s="204">
        <v>535.22</v>
      </c>
      <c r="U36" s="204">
        <v>537.52</v>
      </c>
      <c r="V36" s="204">
        <v>537.17000000000007</v>
      </c>
      <c r="W36" s="214">
        <v>535</v>
      </c>
      <c r="Z36" s="23" t="str">
        <v>13/02/2024  07:29</v>
      </c>
      <c r="AA36">
        <v>533.6</v>
      </c>
      <c r="AB36">
        <v>535.4</v>
      </c>
      <c r="AC36">
        <v>533.79999999999995</v>
      </c>
    </row>
    <row r="37" spans="1:29" ht="14.45" customHeight="1" x14ac:dyDescent="0.25">
      <c r="A37" s="23" t="str">
        <v>13/02/2024  07:30</v>
      </c>
      <c r="B37">
        <v>537.26</v>
      </c>
      <c r="C37">
        <v>537.17999999999995</v>
      </c>
      <c r="D37">
        <v>536.64</v>
      </c>
      <c r="E37">
        <v>536.79</v>
      </c>
      <c r="F37">
        <v>536.55999999999995</v>
      </c>
      <c r="G37">
        <v>538.20000000000005</v>
      </c>
      <c r="H37">
        <v>535.12</v>
      </c>
      <c r="I37">
        <v>537.33000000000004</v>
      </c>
      <c r="J37">
        <v>536.92999999999995</v>
      </c>
      <c r="K37" s="217"/>
      <c r="M37" s="377"/>
      <c r="N37" s="204">
        <v>537.38</v>
      </c>
      <c r="O37" s="204">
        <v>537.17999999999995</v>
      </c>
      <c r="P37" s="204">
        <v>536.77</v>
      </c>
      <c r="Q37" s="204">
        <v>536.96999999999991</v>
      </c>
      <c r="R37" s="204">
        <v>536.66</v>
      </c>
      <c r="S37" s="204">
        <v>538.51</v>
      </c>
      <c r="T37" s="204">
        <v>535.21</v>
      </c>
      <c r="U37" s="204">
        <v>537.44000000000005</v>
      </c>
      <c r="V37" s="204">
        <v>537.16</v>
      </c>
      <c r="W37" s="214">
        <v>535</v>
      </c>
      <c r="Z37" s="23" t="str">
        <v>13/02/2024  07:30</v>
      </c>
      <c r="AA37">
        <v>533.5</v>
      </c>
      <c r="AB37">
        <v>535.4</v>
      </c>
      <c r="AC37">
        <v>533.9</v>
      </c>
    </row>
    <row r="38" spans="1:29" ht="14.45" customHeight="1" x14ac:dyDescent="0.25">
      <c r="A38" s="23" t="str">
        <v>13/02/2024  07:31</v>
      </c>
      <c r="B38">
        <v>537.23</v>
      </c>
      <c r="C38">
        <v>537.16999999999996</v>
      </c>
      <c r="D38">
        <v>536.66</v>
      </c>
      <c r="E38">
        <v>536.78</v>
      </c>
      <c r="F38">
        <v>536.57000000000005</v>
      </c>
      <c r="G38">
        <v>538.14</v>
      </c>
      <c r="H38">
        <v>535.12</v>
      </c>
      <c r="I38">
        <v>537.28</v>
      </c>
      <c r="J38">
        <v>536.96</v>
      </c>
      <c r="K38" s="217"/>
      <c r="M38" s="377"/>
      <c r="N38" s="204">
        <v>537.35</v>
      </c>
      <c r="O38" s="204">
        <v>537.16999999999996</v>
      </c>
      <c r="P38" s="204">
        <v>536.79</v>
      </c>
      <c r="Q38" s="204">
        <v>536.95999999999992</v>
      </c>
      <c r="R38" s="204">
        <v>536.67000000000007</v>
      </c>
      <c r="S38" s="204">
        <v>538.44999999999993</v>
      </c>
      <c r="T38" s="204">
        <v>535.21</v>
      </c>
      <c r="U38" s="204">
        <v>537.39</v>
      </c>
      <c r="V38" s="204">
        <v>537.19000000000005</v>
      </c>
      <c r="W38" s="214">
        <v>535</v>
      </c>
      <c r="Z38" s="23" t="str">
        <v>13/02/2024  07:31</v>
      </c>
      <c r="AA38">
        <v>533.5</v>
      </c>
      <c r="AB38">
        <v>535.4</v>
      </c>
      <c r="AC38">
        <v>533.79999999999995</v>
      </c>
    </row>
    <row r="39" spans="1:29" ht="14.45" customHeight="1" x14ac:dyDescent="0.25">
      <c r="A39" s="23" t="str">
        <v>13/02/2024  07:32</v>
      </c>
      <c r="B39">
        <v>537.36</v>
      </c>
      <c r="C39">
        <v>537.19000000000005</v>
      </c>
      <c r="D39">
        <v>536.78</v>
      </c>
      <c r="E39">
        <v>536.88</v>
      </c>
      <c r="F39">
        <v>536.22</v>
      </c>
      <c r="G39">
        <v>538.11</v>
      </c>
      <c r="H39">
        <v>535.19000000000005</v>
      </c>
      <c r="I39">
        <v>537.39</v>
      </c>
      <c r="J39">
        <v>537.02</v>
      </c>
      <c r="K39" s="217"/>
      <c r="M39" s="377"/>
      <c r="N39" s="204">
        <v>537.48</v>
      </c>
      <c r="O39" s="204">
        <v>537.19000000000005</v>
      </c>
      <c r="P39" s="204">
        <v>536.91</v>
      </c>
      <c r="Q39" s="204">
        <v>537.05999999999995</v>
      </c>
      <c r="R39" s="204">
        <v>536.32000000000005</v>
      </c>
      <c r="S39" s="204">
        <v>538.41999999999996</v>
      </c>
      <c r="T39" s="204">
        <v>535.28000000000009</v>
      </c>
      <c r="U39" s="204">
        <v>537.5</v>
      </c>
      <c r="V39" s="204">
        <v>537.25</v>
      </c>
      <c r="W39" s="214">
        <v>535</v>
      </c>
      <c r="Z39" s="23" t="str">
        <v>13/02/2024  07:32</v>
      </c>
      <c r="AA39">
        <v>533.4</v>
      </c>
      <c r="AB39">
        <v>535.29999999999995</v>
      </c>
      <c r="AC39">
        <v>533.79999999999995</v>
      </c>
    </row>
    <row r="40" spans="1:29" ht="14.45" customHeight="1" x14ac:dyDescent="0.25">
      <c r="A40" s="23" t="str">
        <v>13/02/2024  07:33</v>
      </c>
      <c r="B40">
        <v>537.35</v>
      </c>
      <c r="C40">
        <v>537.14</v>
      </c>
      <c r="D40">
        <v>536.77</v>
      </c>
      <c r="E40">
        <v>536.87</v>
      </c>
      <c r="F40">
        <v>536.23</v>
      </c>
      <c r="G40">
        <v>538.09</v>
      </c>
      <c r="H40">
        <v>535.21</v>
      </c>
      <c r="I40">
        <v>537.29</v>
      </c>
      <c r="J40">
        <v>537.01</v>
      </c>
      <c r="K40" s="217"/>
      <c r="M40" s="377"/>
      <c r="N40" s="204">
        <v>537.47</v>
      </c>
      <c r="O40" s="204">
        <v>537.14</v>
      </c>
      <c r="P40" s="204">
        <v>536.9</v>
      </c>
      <c r="Q40" s="204">
        <v>537.04999999999995</v>
      </c>
      <c r="R40" s="204">
        <v>536.33000000000004</v>
      </c>
      <c r="S40" s="204">
        <v>538.4</v>
      </c>
      <c r="T40" s="204">
        <v>535.30000000000007</v>
      </c>
      <c r="U40" s="204">
        <v>537.4</v>
      </c>
      <c r="V40" s="204">
        <v>537.24</v>
      </c>
      <c r="W40" s="214">
        <v>535</v>
      </c>
      <c r="Z40" s="23" t="str">
        <v>13/02/2024  07:33</v>
      </c>
      <c r="AA40">
        <v>533.4</v>
      </c>
      <c r="AB40">
        <v>535.29999999999995</v>
      </c>
      <c r="AC40">
        <v>533.79999999999995</v>
      </c>
    </row>
    <row r="41" spans="1:29" ht="14.45" customHeight="1" x14ac:dyDescent="0.25">
      <c r="A41" s="23" t="str">
        <v>13/02/2024  07:34</v>
      </c>
      <c r="B41">
        <v>537.24</v>
      </c>
      <c r="C41">
        <v>537.27</v>
      </c>
      <c r="D41">
        <v>536.74</v>
      </c>
      <c r="E41">
        <v>536.74</v>
      </c>
      <c r="F41">
        <v>536.25</v>
      </c>
      <c r="G41">
        <v>537.99</v>
      </c>
      <c r="H41">
        <v>535.16</v>
      </c>
      <c r="I41">
        <v>537.17999999999995</v>
      </c>
      <c r="J41">
        <v>536.88</v>
      </c>
      <c r="K41" s="217"/>
      <c r="M41" s="377"/>
      <c r="N41" s="204">
        <v>537.36</v>
      </c>
      <c r="O41" s="204">
        <v>537.27</v>
      </c>
      <c r="P41" s="204">
        <v>536.87</v>
      </c>
      <c r="Q41" s="204">
        <v>536.91999999999996</v>
      </c>
      <c r="R41" s="204">
        <v>536.35</v>
      </c>
      <c r="S41" s="204">
        <v>538.29999999999995</v>
      </c>
      <c r="T41" s="204">
        <v>535.25</v>
      </c>
      <c r="U41" s="204">
        <v>537.29</v>
      </c>
      <c r="V41" s="204">
        <v>537.11</v>
      </c>
      <c r="W41" s="214">
        <v>535</v>
      </c>
      <c r="Z41" s="23" t="str">
        <v>13/02/2024  07:34</v>
      </c>
      <c r="AA41">
        <v>533.4</v>
      </c>
      <c r="AB41">
        <v>535.29999999999995</v>
      </c>
      <c r="AC41">
        <v>533.79999999999995</v>
      </c>
    </row>
    <row r="42" spans="1:29" ht="14.45" customHeight="1" x14ac:dyDescent="0.25">
      <c r="A42" s="23" t="str">
        <v>13/02/2024  07:35</v>
      </c>
      <c r="B42">
        <v>537.39</v>
      </c>
      <c r="C42">
        <v>537.17999999999995</v>
      </c>
      <c r="D42">
        <v>536.85</v>
      </c>
      <c r="E42">
        <v>536.91</v>
      </c>
      <c r="F42">
        <v>536.20000000000005</v>
      </c>
      <c r="G42">
        <v>537.95000000000005</v>
      </c>
      <c r="H42">
        <v>535.16999999999996</v>
      </c>
      <c r="I42">
        <v>537.16</v>
      </c>
      <c r="J42">
        <v>537</v>
      </c>
      <c r="K42" s="217"/>
      <c r="M42" s="377"/>
      <c r="N42" s="204">
        <v>537.51</v>
      </c>
      <c r="O42" s="204">
        <v>537.17999999999995</v>
      </c>
      <c r="P42" s="204">
        <v>536.98</v>
      </c>
      <c r="Q42" s="204">
        <v>537.08999999999992</v>
      </c>
      <c r="R42" s="204">
        <v>536.30000000000007</v>
      </c>
      <c r="S42" s="204">
        <v>538.26</v>
      </c>
      <c r="T42" s="204">
        <v>535.26</v>
      </c>
      <c r="U42" s="204">
        <v>537.27</v>
      </c>
      <c r="V42" s="204">
        <v>537.23</v>
      </c>
      <c r="W42" s="214">
        <v>535</v>
      </c>
      <c r="Z42" s="23" t="str">
        <v>13/02/2024  07:35</v>
      </c>
      <c r="AA42">
        <v>533.4</v>
      </c>
      <c r="AB42">
        <v>535.20000000000005</v>
      </c>
      <c r="AC42">
        <v>533.79999999999995</v>
      </c>
    </row>
    <row r="43" spans="1:29" ht="14.45" customHeight="1" x14ac:dyDescent="0.25">
      <c r="A43" s="23" t="str">
        <v>13/02/2024  07:36</v>
      </c>
      <c r="B43">
        <v>537.29</v>
      </c>
      <c r="C43">
        <v>537.19000000000005</v>
      </c>
      <c r="D43">
        <v>536.82000000000005</v>
      </c>
      <c r="E43">
        <v>536.78</v>
      </c>
      <c r="F43">
        <v>536.28</v>
      </c>
      <c r="G43">
        <v>538.01</v>
      </c>
      <c r="H43">
        <v>535.17999999999995</v>
      </c>
      <c r="I43">
        <v>537.16999999999996</v>
      </c>
      <c r="J43">
        <v>536.94000000000005</v>
      </c>
      <c r="K43" s="217"/>
      <c r="M43" s="377"/>
      <c r="N43" s="204">
        <v>537.41</v>
      </c>
      <c r="O43" s="204">
        <v>537.19000000000005</v>
      </c>
      <c r="P43" s="204">
        <v>536.95000000000005</v>
      </c>
      <c r="Q43" s="204">
        <v>536.95999999999992</v>
      </c>
      <c r="R43" s="204">
        <v>536.38</v>
      </c>
      <c r="S43" s="204">
        <v>538.31999999999994</v>
      </c>
      <c r="T43" s="204">
        <v>535.27</v>
      </c>
      <c r="U43" s="204">
        <v>537.28</v>
      </c>
      <c r="V43" s="204">
        <v>537.17000000000007</v>
      </c>
      <c r="W43" s="214">
        <v>535</v>
      </c>
      <c r="Z43" s="23" t="str">
        <v>13/02/2024  07:36</v>
      </c>
      <c r="AA43">
        <v>533.29999999999995</v>
      </c>
      <c r="AB43">
        <v>535.29999999999995</v>
      </c>
      <c r="AC43">
        <v>533.79999999999995</v>
      </c>
    </row>
    <row r="44" spans="1:29" ht="14.45" customHeight="1" x14ac:dyDescent="0.25">
      <c r="A44" s="23" t="str">
        <v>13/02/2024  07:37</v>
      </c>
      <c r="B44">
        <v>537.32000000000005</v>
      </c>
      <c r="C44">
        <v>537.26</v>
      </c>
      <c r="D44">
        <v>536.85</v>
      </c>
      <c r="E44">
        <v>536.80999999999995</v>
      </c>
      <c r="F44">
        <v>536.15</v>
      </c>
      <c r="G44">
        <v>537.86</v>
      </c>
      <c r="H44">
        <v>535.20000000000005</v>
      </c>
      <c r="I44">
        <v>537.17999999999995</v>
      </c>
      <c r="J44">
        <v>536.91</v>
      </c>
      <c r="K44" s="217"/>
      <c r="M44" s="377"/>
      <c r="N44" s="204">
        <v>537.44000000000005</v>
      </c>
      <c r="O44" s="204">
        <v>537.26</v>
      </c>
      <c r="P44" s="204">
        <v>536.98</v>
      </c>
      <c r="Q44" s="204">
        <v>536.9899999999999</v>
      </c>
      <c r="R44" s="204">
        <v>536.25</v>
      </c>
      <c r="S44" s="204">
        <v>538.16999999999996</v>
      </c>
      <c r="T44" s="204">
        <v>535.29000000000008</v>
      </c>
      <c r="U44" s="204">
        <v>537.29</v>
      </c>
      <c r="V44" s="204">
        <v>537.14</v>
      </c>
      <c r="W44" s="214">
        <v>535</v>
      </c>
      <c r="Z44" s="23" t="str">
        <v>13/02/2024  07:37</v>
      </c>
      <c r="AA44">
        <v>533.29999999999995</v>
      </c>
      <c r="AB44">
        <v>535.20000000000005</v>
      </c>
      <c r="AC44">
        <v>533.79999999999995</v>
      </c>
    </row>
    <row r="45" spans="1:29" ht="14.45" customHeight="1" x14ac:dyDescent="0.25">
      <c r="A45" s="23" t="str">
        <v>13/02/2024  07:38</v>
      </c>
      <c r="B45">
        <v>537.29999999999995</v>
      </c>
      <c r="C45">
        <v>537.22</v>
      </c>
      <c r="D45">
        <v>536.84</v>
      </c>
      <c r="E45">
        <v>536.77</v>
      </c>
      <c r="F45">
        <v>536.21</v>
      </c>
      <c r="G45">
        <v>537.83000000000004</v>
      </c>
      <c r="H45">
        <v>535.15</v>
      </c>
      <c r="I45">
        <v>537.03</v>
      </c>
      <c r="J45">
        <v>536.85</v>
      </c>
      <c r="K45" s="217"/>
      <c r="M45" s="377"/>
      <c r="N45" s="204">
        <v>537.41999999999996</v>
      </c>
      <c r="O45" s="204">
        <v>537.22</v>
      </c>
      <c r="P45" s="204">
        <v>536.97</v>
      </c>
      <c r="Q45" s="204">
        <v>536.94999999999993</v>
      </c>
      <c r="R45" s="204">
        <v>536.31000000000006</v>
      </c>
      <c r="S45" s="204">
        <v>538.14</v>
      </c>
      <c r="T45" s="204">
        <v>535.24</v>
      </c>
      <c r="U45" s="204">
        <v>537.14</v>
      </c>
      <c r="V45" s="204">
        <v>537.08000000000004</v>
      </c>
      <c r="W45" s="214">
        <v>535</v>
      </c>
      <c r="Z45" s="23" t="str">
        <v>13/02/2024  07:38</v>
      </c>
      <c r="AA45">
        <v>533.29999999999995</v>
      </c>
      <c r="AB45">
        <v>535.20000000000005</v>
      </c>
      <c r="AC45">
        <v>533.70000000000005</v>
      </c>
    </row>
    <row r="46" spans="1:29" ht="14.45" customHeight="1" x14ac:dyDescent="0.25">
      <c r="A46" s="23" t="str">
        <v>13/02/2024  07:39</v>
      </c>
      <c r="B46">
        <v>537.41999999999996</v>
      </c>
      <c r="C46">
        <v>537.32000000000005</v>
      </c>
      <c r="D46">
        <v>536.91999999999996</v>
      </c>
      <c r="E46">
        <v>536.89</v>
      </c>
      <c r="F46">
        <v>536.03</v>
      </c>
      <c r="G46">
        <v>537.87</v>
      </c>
      <c r="H46">
        <v>535.16</v>
      </c>
      <c r="I46">
        <v>537.08000000000004</v>
      </c>
      <c r="J46">
        <v>536.98</v>
      </c>
      <c r="K46" s="217"/>
      <c r="M46" s="377"/>
      <c r="N46" s="204">
        <v>537.54</v>
      </c>
      <c r="O46" s="204">
        <v>537.32000000000005</v>
      </c>
      <c r="P46" s="204">
        <v>537.04999999999995</v>
      </c>
      <c r="Q46" s="204">
        <v>537.06999999999994</v>
      </c>
      <c r="R46" s="204">
        <v>536.13</v>
      </c>
      <c r="S46" s="204">
        <v>538.17999999999995</v>
      </c>
      <c r="T46" s="204">
        <v>535.25</v>
      </c>
      <c r="U46" s="204">
        <v>537.19000000000005</v>
      </c>
      <c r="V46" s="204">
        <v>537.21</v>
      </c>
      <c r="W46" s="214">
        <v>535</v>
      </c>
      <c r="Z46" s="23" t="str">
        <v>13/02/2024  07:39</v>
      </c>
      <c r="AA46">
        <v>533.29999999999995</v>
      </c>
      <c r="AB46">
        <v>535.1</v>
      </c>
      <c r="AC46">
        <v>533.70000000000005</v>
      </c>
    </row>
    <row r="47" spans="1:29" ht="14.45" customHeight="1" x14ac:dyDescent="0.25">
      <c r="A47" s="23" t="str">
        <v>13/02/2024  07:40</v>
      </c>
      <c r="B47">
        <v>537.4</v>
      </c>
      <c r="C47">
        <v>537.26</v>
      </c>
      <c r="D47">
        <v>536.91999999999996</v>
      </c>
      <c r="E47">
        <v>536.86</v>
      </c>
      <c r="F47">
        <v>536.1</v>
      </c>
      <c r="G47">
        <v>537.9</v>
      </c>
      <c r="H47">
        <v>535.15</v>
      </c>
      <c r="I47">
        <v>537.04999999999995</v>
      </c>
      <c r="J47">
        <v>536.88</v>
      </c>
      <c r="K47" s="217"/>
      <c r="M47" s="377"/>
      <c r="N47" s="204">
        <v>537.52</v>
      </c>
      <c r="O47" s="204">
        <v>537.26</v>
      </c>
      <c r="P47" s="204">
        <v>537.04999999999995</v>
      </c>
      <c r="Q47" s="204">
        <v>537.04</v>
      </c>
      <c r="R47" s="204">
        <v>536.20000000000005</v>
      </c>
      <c r="S47" s="204">
        <v>538.20999999999992</v>
      </c>
      <c r="T47" s="204">
        <v>535.24</v>
      </c>
      <c r="U47" s="204">
        <v>537.16</v>
      </c>
      <c r="V47" s="204">
        <v>537.11</v>
      </c>
      <c r="W47" s="214">
        <v>535</v>
      </c>
      <c r="Z47" s="23" t="str">
        <v>13/02/2024  07:40</v>
      </c>
      <c r="AA47">
        <v>533.29999999999995</v>
      </c>
      <c r="AB47">
        <v>535.1</v>
      </c>
      <c r="AC47">
        <v>533.79999999999995</v>
      </c>
    </row>
    <row r="48" spans="1:29" ht="14.45" customHeight="1" x14ac:dyDescent="0.25">
      <c r="A48" s="23" t="str">
        <v>13/02/2024  07:41</v>
      </c>
      <c r="B48">
        <v>537.44000000000005</v>
      </c>
      <c r="C48">
        <v>537.29</v>
      </c>
      <c r="D48">
        <v>536.95000000000005</v>
      </c>
      <c r="E48">
        <v>536.91</v>
      </c>
      <c r="F48">
        <v>536.03</v>
      </c>
      <c r="G48">
        <v>537.87</v>
      </c>
      <c r="H48">
        <v>535.15</v>
      </c>
      <c r="I48">
        <v>537.12</v>
      </c>
      <c r="J48">
        <v>536.99</v>
      </c>
      <c r="K48" s="217"/>
      <c r="M48" s="377"/>
      <c r="N48" s="204">
        <v>537.56000000000006</v>
      </c>
      <c r="O48" s="204">
        <v>537.29</v>
      </c>
      <c r="P48" s="204">
        <v>537.08000000000004</v>
      </c>
      <c r="Q48" s="204">
        <v>537.08999999999992</v>
      </c>
      <c r="R48" s="204">
        <v>536.13</v>
      </c>
      <c r="S48" s="204">
        <v>538.17999999999995</v>
      </c>
      <c r="T48" s="204">
        <v>535.24</v>
      </c>
      <c r="U48" s="204">
        <v>537.23</v>
      </c>
      <c r="V48" s="204">
        <v>537.22</v>
      </c>
      <c r="W48" s="214">
        <v>535</v>
      </c>
      <c r="Z48" s="23" t="str">
        <v>13/02/2024  07:41</v>
      </c>
      <c r="AA48">
        <v>533.29999999999995</v>
      </c>
      <c r="AB48">
        <v>535.1</v>
      </c>
      <c r="AC48">
        <v>533.70000000000005</v>
      </c>
    </row>
    <row r="49" spans="1:29" ht="14.45" customHeight="1" x14ac:dyDescent="0.25">
      <c r="A49" s="23" t="str">
        <v>13/02/2024  07:42</v>
      </c>
      <c r="B49">
        <v>537.48</v>
      </c>
      <c r="C49">
        <v>537.30999999999995</v>
      </c>
      <c r="D49">
        <v>536.98</v>
      </c>
      <c r="E49">
        <v>536.99</v>
      </c>
      <c r="F49">
        <v>536.23</v>
      </c>
      <c r="G49">
        <v>538</v>
      </c>
      <c r="H49">
        <v>535.22</v>
      </c>
      <c r="I49">
        <v>537.29999999999995</v>
      </c>
      <c r="J49">
        <v>537.05999999999995</v>
      </c>
      <c r="K49" s="217"/>
      <c r="M49" s="377"/>
      <c r="N49" s="204">
        <v>537.6</v>
      </c>
      <c r="O49" s="204">
        <v>537.30999999999995</v>
      </c>
      <c r="P49" s="204">
        <v>537.11</v>
      </c>
      <c r="Q49" s="204">
        <v>537.16999999999996</v>
      </c>
      <c r="R49" s="204">
        <v>536.33000000000004</v>
      </c>
      <c r="S49" s="204">
        <v>538.30999999999995</v>
      </c>
      <c r="T49" s="204">
        <v>535.31000000000006</v>
      </c>
      <c r="U49" s="204">
        <v>537.41</v>
      </c>
      <c r="V49" s="204">
        <v>537.29</v>
      </c>
      <c r="W49" s="214">
        <v>535</v>
      </c>
      <c r="Z49" s="23" t="str">
        <v>13/02/2024  07:42</v>
      </c>
      <c r="AA49">
        <v>533.29999999999995</v>
      </c>
      <c r="AB49">
        <v>535.1</v>
      </c>
      <c r="AC49">
        <v>533.70000000000005</v>
      </c>
    </row>
    <row r="50" spans="1:29" ht="14.45" customHeight="1" x14ac:dyDescent="0.25">
      <c r="A50" s="23" t="str">
        <v>13/02/2024  07:43</v>
      </c>
      <c r="B50">
        <v>537.42999999999995</v>
      </c>
      <c r="C50">
        <v>537.32000000000005</v>
      </c>
      <c r="D50">
        <v>536.96</v>
      </c>
      <c r="E50">
        <v>536.9</v>
      </c>
      <c r="F50">
        <v>536.1</v>
      </c>
      <c r="G50">
        <v>537.86</v>
      </c>
      <c r="H50">
        <v>535.19000000000005</v>
      </c>
      <c r="I50">
        <v>537.04999999999995</v>
      </c>
      <c r="J50">
        <v>536.96</v>
      </c>
      <c r="K50" s="217"/>
      <c r="M50" s="377"/>
      <c r="N50" s="204">
        <v>537.54999999999995</v>
      </c>
      <c r="O50" s="204">
        <v>537.32000000000005</v>
      </c>
      <c r="P50" s="204">
        <v>537.09</v>
      </c>
      <c r="Q50" s="204">
        <v>537.07999999999993</v>
      </c>
      <c r="R50" s="204">
        <v>536.20000000000005</v>
      </c>
      <c r="S50" s="204">
        <v>538.16999999999996</v>
      </c>
      <c r="T50" s="204">
        <v>535.28000000000009</v>
      </c>
      <c r="U50" s="204">
        <v>537.16</v>
      </c>
      <c r="V50" s="204">
        <v>537.19000000000005</v>
      </c>
      <c r="W50" s="214">
        <v>535</v>
      </c>
      <c r="Z50" s="23" t="str">
        <v>13/02/2024  07:43</v>
      </c>
      <c r="AA50">
        <v>533.4</v>
      </c>
      <c r="AB50">
        <v>535.20000000000005</v>
      </c>
      <c r="AC50">
        <v>533.70000000000005</v>
      </c>
    </row>
    <row r="51" spans="1:29" ht="14.45" customHeight="1" x14ac:dyDescent="0.25">
      <c r="A51" s="23" t="str">
        <v>13/02/2024  07:44</v>
      </c>
      <c r="B51">
        <v>537.33000000000004</v>
      </c>
      <c r="C51">
        <v>537.27</v>
      </c>
      <c r="D51">
        <v>536.87</v>
      </c>
      <c r="E51">
        <v>536.71</v>
      </c>
      <c r="F51">
        <v>535.99</v>
      </c>
      <c r="G51">
        <v>537.75</v>
      </c>
      <c r="H51">
        <v>535.16</v>
      </c>
      <c r="I51">
        <v>536.87</v>
      </c>
      <c r="J51">
        <v>536.76</v>
      </c>
      <c r="K51" s="217"/>
      <c r="M51" s="377"/>
      <c r="N51" s="204">
        <v>537.45000000000005</v>
      </c>
      <c r="O51" s="204">
        <v>537.27</v>
      </c>
      <c r="P51" s="204">
        <v>537</v>
      </c>
      <c r="Q51" s="204">
        <v>536.89</v>
      </c>
      <c r="R51" s="204">
        <v>536.09</v>
      </c>
      <c r="S51" s="204">
        <v>538.05999999999995</v>
      </c>
      <c r="T51" s="204">
        <v>535.25</v>
      </c>
      <c r="U51" s="204">
        <v>536.98</v>
      </c>
      <c r="V51" s="204">
        <v>536.99</v>
      </c>
      <c r="W51" s="214">
        <v>535</v>
      </c>
      <c r="Z51" s="23" t="str">
        <v>13/02/2024  07:44</v>
      </c>
      <c r="AA51">
        <v>533.29999999999995</v>
      </c>
      <c r="AB51">
        <v>535.20000000000005</v>
      </c>
      <c r="AC51">
        <v>533.79999999999995</v>
      </c>
    </row>
    <row r="52" spans="1:29" ht="14.45" customHeight="1" x14ac:dyDescent="0.25">
      <c r="A52" s="379"/>
      <c r="B52" s="379"/>
      <c r="C52" s="379"/>
      <c r="D52" s="379"/>
      <c r="E52" s="379"/>
      <c r="F52" s="379"/>
      <c r="G52" s="379"/>
      <c r="H52" s="379"/>
      <c r="I52" s="379"/>
      <c r="J52" s="379"/>
      <c r="K52" s="379"/>
      <c r="L52" s="379"/>
      <c r="M52" s="379"/>
      <c r="N52" s="379"/>
      <c r="O52" s="379"/>
      <c r="P52" s="379"/>
      <c r="Q52" s="379"/>
      <c r="R52" s="379"/>
      <c r="S52" s="379"/>
      <c r="T52" s="379"/>
      <c r="U52" s="379"/>
      <c r="V52" s="379"/>
      <c r="W52" s="379"/>
      <c r="Z52" s="23"/>
      <c r="AA52"/>
      <c r="AB52"/>
      <c r="AC52"/>
    </row>
    <row r="53" spans="1:29" ht="14.45" customHeight="1" x14ac:dyDescent="0.25">
      <c r="A53" s="23"/>
      <c r="B53"/>
      <c r="C53"/>
      <c r="D53"/>
      <c r="E53"/>
      <c r="F53"/>
      <c r="G53"/>
      <c r="H53"/>
      <c r="I53"/>
      <c r="J53"/>
      <c r="K53" s="217"/>
      <c r="M53" s="146"/>
      <c r="N53" s="146"/>
      <c r="O53" s="146"/>
      <c r="P53" s="146"/>
      <c r="Q53" s="146"/>
      <c r="R53" s="146"/>
      <c r="S53" s="146"/>
      <c r="T53" s="146"/>
      <c r="U53" s="146"/>
      <c r="V53" s="146"/>
      <c r="W53" s="146"/>
      <c r="Z53" s="23"/>
      <c r="AA53"/>
      <c r="AB53"/>
      <c r="AC53"/>
    </row>
    <row r="54" spans="1:29" ht="14.45" customHeight="1" x14ac:dyDescent="0.25">
      <c r="A54" s="23"/>
      <c r="B54"/>
      <c r="C54"/>
      <c r="D54"/>
      <c r="E54"/>
      <c r="F54"/>
      <c r="G54"/>
      <c r="H54"/>
      <c r="I54"/>
      <c r="J54"/>
      <c r="K54" s="217"/>
      <c r="M54" s="92" t="s">
        <v>90</v>
      </c>
      <c r="N54" s="218">
        <f>MAX(tab_transfert535[Connecteur 1])+N$2+N$3</f>
        <v>537.6</v>
      </c>
      <c r="O54" s="218">
        <f>MAX(tab_transfert535[Connecteur 2])+O$2+O$3</f>
        <v>537.32000000000005</v>
      </c>
      <c r="P54" s="218">
        <f>MAX(tab_transfert535[Connecteur 3])+P$2+P$3</f>
        <v>537.11</v>
      </c>
      <c r="Q54" s="218">
        <f>MAX(tab_transfert535[Connecteur 4])+Q$2+Q$3</f>
        <v>537.16999999999996</v>
      </c>
      <c r="R54" s="218">
        <f>MAX(tab_transfert535[Connecteur 5])+R$2+R$3</f>
        <v>536.72</v>
      </c>
      <c r="S54" s="218">
        <f>MAX(tab_transfert535[Connecteur 6])+S$2+S$3</f>
        <v>538.94999999999993</v>
      </c>
      <c r="T54" s="218">
        <f>MAX(tab_transfert535[Connecteur 7])+T$2+T$3</f>
        <v>535.31000000000006</v>
      </c>
      <c r="U54" s="218">
        <f>MAX(tab_transfert535[Connecteur 8])+U$2+U$3</f>
        <v>538.20000000000005</v>
      </c>
      <c r="V54" s="218">
        <f>MAX(tab_transfert535[Connecteur 9])+V$2+V$3</f>
        <v>537.39</v>
      </c>
      <c r="W54" s="201">
        <f>MAX(N54:V54)</f>
        <v>538.94999999999993</v>
      </c>
      <c r="Z54" s="23"/>
      <c r="AA54"/>
      <c r="AB54"/>
      <c r="AC54"/>
    </row>
    <row r="55" spans="1:29" ht="14.45" customHeight="1" x14ac:dyDescent="0.25">
      <c r="A55" s="23"/>
      <c r="B55"/>
      <c r="C55"/>
      <c r="D55"/>
      <c r="E55"/>
      <c r="F55"/>
      <c r="G55"/>
      <c r="H55"/>
      <c r="I55"/>
      <c r="J55"/>
      <c r="K55" s="217"/>
      <c r="M55" s="92" t="s">
        <v>91</v>
      </c>
      <c r="N55" s="218">
        <f ca="1">MAX(OFFSET(INDEX(tab_transfert535[Connecteur 1],1),COUNT(tab_transfert535[Connecteur 1])-30,0,30))+N$2+N$3</f>
        <v>537.6</v>
      </c>
      <c r="O55" s="218">
        <f ca="1">MAX(OFFSET(INDEX(tab_transfert535[Connecteur 2],1),COUNT(tab_transfert535[Connecteur 2])-30,0,30))+O$2+O$3</f>
        <v>537.32000000000005</v>
      </c>
      <c r="P55" s="218">
        <f ca="1">MAX(OFFSET(INDEX(tab_transfert535[Connecteur 3],1),COUNT(tab_transfert535[Connecteur 3])-30,0,30))+P$2+P$3</f>
        <v>537.11</v>
      </c>
      <c r="Q55" s="218">
        <f ca="1">MAX(OFFSET(INDEX(tab_transfert535[Connecteur 4],1),COUNT(tab_transfert535[Connecteur 4])-30,0,30))+Q$2+Q$3</f>
        <v>537.16999999999996</v>
      </c>
      <c r="R55" s="218">
        <f ca="1">MAX(OFFSET(INDEX(tab_transfert535[Connecteur 5],1),COUNT(tab_transfert535[Connecteur 5])-30,0,30))+R$2+R$3</f>
        <v>536.72</v>
      </c>
      <c r="S55" s="218">
        <f ca="1">MAX(OFFSET(INDEX(tab_transfert535[Connecteur 6],1),COUNT(tab_transfert535[Connecteur 6])-30,0,30))+S$2+S$3</f>
        <v>538.94999999999993</v>
      </c>
      <c r="T55" s="218">
        <f ca="1">MAX(OFFSET(INDEX(tab_transfert535[Connecteur 7],1),COUNT(tab_transfert535[Connecteur 7])-30,0,30))+T$2+T$3</f>
        <v>535.31000000000006</v>
      </c>
      <c r="U55" s="218">
        <f ca="1">MAX(OFFSET(INDEX(tab_transfert535[Connecteur 8],1),COUNT(tab_transfert535[Connecteur 8])-30,0,30))+U$2+U$3</f>
        <v>538.20000000000005</v>
      </c>
      <c r="V55" s="218">
        <f ca="1">MAX(OFFSET(INDEX(tab_transfert535[Connecteur 9],1),COUNT(tab_transfert535[Connecteur 9])-30,0,30))+V$2+V$3</f>
        <v>537.39</v>
      </c>
      <c r="W55" s="201">
        <f ca="1">MAX(N55:V55)</f>
        <v>538.94999999999993</v>
      </c>
      <c r="Z55" s="23"/>
      <c r="AA55"/>
      <c r="AB55"/>
      <c r="AC55"/>
    </row>
    <row r="56" spans="1:29" ht="14.45" customHeight="1" x14ac:dyDescent="0.25">
      <c r="A56" s="23"/>
      <c r="B56"/>
      <c r="C56"/>
      <c r="D56"/>
      <c r="E56"/>
      <c r="F56"/>
      <c r="G56"/>
      <c r="H56"/>
      <c r="I56"/>
      <c r="J56"/>
      <c r="K56" s="217"/>
      <c r="M56" s="92" t="s">
        <v>93</v>
      </c>
      <c r="N56" s="218">
        <f ca="1">MIN(OFFSET(INDEX(tab_transfert535[Connecteur 1],1),COUNT(tab_transfert535[Connecteur 1])-30,0,30))+N$2+N$3</f>
        <v>527.29999999999995</v>
      </c>
      <c r="O56" s="218">
        <f ca="1">MIN(OFFSET(INDEX(tab_transfert535[Connecteur 2],1),COUNT(tab_transfert535[Connecteur 2])-30,0,30))+O$2+O$3</f>
        <v>525.74</v>
      </c>
      <c r="P56" s="218">
        <f ca="1">MIN(OFFSET(INDEX(tab_transfert535[Connecteur 3],1),COUNT(tab_transfert535[Connecteur 3])-30,0,30))+P$2+P$3</f>
        <v>525.38</v>
      </c>
      <c r="Q56" s="218">
        <f ca="1">MIN(OFFSET(INDEX(tab_transfert535[Connecteur 4],1),COUNT(tab_transfert535[Connecteur 4])-30,0,30))+Q$2+Q$3</f>
        <v>527.78</v>
      </c>
      <c r="R56" s="218">
        <f ca="1">MIN(OFFSET(INDEX(tab_transfert535[Connecteur 5],1),COUNT(tab_transfert535[Connecteur 5])-30,0,30))+R$2+R$3</f>
        <v>527.44000000000005</v>
      </c>
      <c r="S56" s="218">
        <f ca="1">MIN(OFFSET(INDEX(tab_transfert535[Connecteur 6],1),COUNT(tab_transfert535[Connecteur 6])-30,0,30))+S$2+S$3</f>
        <v>530.01</v>
      </c>
      <c r="T56" s="218">
        <f ca="1">MIN(OFFSET(INDEX(tab_transfert535[Connecteur 7],1),COUNT(tab_transfert535[Connecteur 7])-30,0,30))+T$2+T$3</f>
        <v>522.37</v>
      </c>
      <c r="U56" s="218">
        <f ca="1">MIN(OFFSET(INDEX(tab_transfert535[Connecteur 8],1),COUNT(tab_transfert535[Connecteur 8])-30,0,30))+U$2+U$3</f>
        <v>530.31000000000006</v>
      </c>
      <c r="V56" s="218">
        <f ca="1">MIN(OFFSET(INDEX(tab_transfert535[Connecteur 9],1),COUNT(tab_transfert535[Connecteur 9])-30,0,30))+V$2+V$3</f>
        <v>527.55000000000007</v>
      </c>
      <c r="W56" s="201">
        <f ca="1">MIN(N56:V56)</f>
        <v>522.37</v>
      </c>
      <c r="Z56" s="23"/>
      <c r="AA56"/>
      <c r="AB56"/>
      <c r="AC56"/>
    </row>
    <row r="57" spans="1:29" ht="14.45" customHeight="1" x14ac:dyDescent="0.25">
      <c r="A57" s="23"/>
      <c r="B57"/>
      <c r="C57"/>
      <c r="D57"/>
      <c r="E57"/>
      <c r="F57"/>
      <c r="G57"/>
      <c r="H57"/>
      <c r="I57"/>
      <c r="J57"/>
      <c r="K57" s="217"/>
      <c r="M57" s="92" t="s">
        <v>95</v>
      </c>
      <c r="N57" s="218">
        <f ca="1">AVERAGE(OFFSET(INDEX(tab_transfert535[Connecteur 1],1),COUNT(tab_transfert535[Connecteur 1])-30,0,30))+N$2+N$3</f>
        <v>536.19166666666661</v>
      </c>
      <c r="O57" s="218">
        <f ca="1">AVERAGE(OFFSET(INDEX(tab_transfert535[Connecteur 2],1),COUNT(tab_transfert535[Connecteur 2])-30,0,30))+O$2+O$3</f>
        <v>535.61733333333325</v>
      </c>
      <c r="P57" s="218">
        <f ca="1">AVERAGE(OFFSET(INDEX(tab_transfert535[Connecteur 3],1),COUNT(tab_transfert535[Connecteur 3])-30,0,30))+P$2+P$3</f>
        <v>535.31333333333339</v>
      </c>
      <c r="Q57" s="218">
        <f ca="1">AVERAGE(OFFSET(INDEX(tab_transfert535[Connecteur 4],1),COUNT(tab_transfert535[Connecteur 4])-30,0,30))+Q$2+Q$3</f>
        <v>535.98099999999988</v>
      </c>
      <c r="R57" s="218">
        <f ca="1">AVERAGE(OFFSET(INDEX(tab_transfert535[Connecteur 5],1),COUNT(tab_transfert535[Connecteur 5])-30,0,30))+R$2+R$3</f>
        <v>535.44700000000012</v>
      </c>
      <c r="S57" s="218">
        <f ca="1">AVERAGE(OFFSET(INDEX(tab_transfert535[Connecteur 6],1),COUNT(tab_transfert535[Connecteur 6])-30,0,30))+S$2+S$3</f>
        <v>537.5723333333334</v>
      </c>
      <c r="T57" s="218">
        <f ca="1">AVERAGE(OFFSET(INDEX(tab_transfert535[Connecteur 7],1),COUNT(tab_transfert535[Connecteur 7])-30,0,30))+T$2+T$3</f>
        <v>533.39233333333345</v>
      </c>
      <c r="U57" s="218">
        <f ca="1">AVERAGE(OFFSET(INDEX(tab_transfert535[Connecteur 8],1),COUNT(tab_transfert535[Connecteur 8])-30,0,30))+U$2+U$3</f>
        <v>536.92466666666667</v>
      </c>
      <c r="V57" s="218">
        <f ca="1">AVERAGE(OFFSET(INDEX(tab_transfert535[Connecteur 9],1),COUNT(tab_transfert535[Connecteur 9])-30,0,30))+V$2+V$3</f>
        <v>536.10900000000004</v>
      </c>
      <c r="Z57" s="23"/>
      <c r="AA57"/>
      <c r="AB57"/>
      <c r="AC57"/>
    </row>
    <row r="58" spans="1:29" ht="14.45" customHeight="1" x14ac:dyDescent="0.25">
      <c r="A58" s="23"/>
      <c r="B58"/>
      <c r="C58"/>
      <c r="D58"/>
      <c r="E58"/>
      <c r="F58"/>
      <c r="G58"/>
      <c r="H58"/>
      <c r="I58"/>
      <c r="J58"/>
      <c r="K58" s="217"/>
      <c r="M58" s="92" t="s">
        <v>96</v>
      </c>
      <c r="N58" s="218">
        <f ca="1">N55-N56</f>
        <v>10.300000000000068</v>
      </c>
      <c r="O58" s="218">
        <f t="shared" ref="O58:V58" ca="1" si="0">O55-O56</f>
        <v>11.580000000000041</v>
      </c>
      <c r="P58" s="218">
        <f t="shared" ca="1" si="0"/>
        <v>11.730000000000018</v>
      </c>
      <c r="Q58" s="218">
        <f t="shared" ca="1" si="0"/>
        <v>9.3899999999999864</v>
      </c>
      <c r="R58" s="218">
        <f t="shared" ca="1" si="0"/>
        <v>9.2799999999999727</v>
      </c>
      <c r="S58" s="218">
        <f t="shared" ca="1" si="0"/>
        <v>8.9399999999999409</v>
      </c>
      <c r="T58" s="218">
        <f t="shared" ca="1" si="0"/>
        <v>12.940000000000055</v>
      </c>
      <c r="U58" s="218">
        <f t="shared" ca="1" si="0"/>
        <v>7.8899999999999864</v>
      </c>
      <c r="V58" s="218">
        <f t="shared" ca="1" si="0"/>
        <v>9.8399999999999181</v>
      </c>
      <c r="Z58" s="23"/>
      <c r="AA58"/>
      <c r="AB58"/>
      <c r="AC58"/>
    </row>
    <row r="59" spans="1:29" ht="14.45" customHeight="1" x14ac:dyDescent="0.25">
      <c r="A59" s="23"/>
      <c r="B59"/>
      <c r="C59"/>
      <c r="D59"/>
      <c r="E59"/>
      <c r="F59"/>
      <c r="G59"/>
      <c r="H59"/>
      <c r="I59"/>
      <c r="J59"/>
      <c r="K59" s="217"/>
      <c r="M59" s="92" t="s">
        <v>97</v>
      </c>
      <c r="N59" s="376">
        <f ca="1">ABS(MAX(N55:V55) - MIN(N56:V56))</f>
        <v>16.579999999999927</v>
      </c>
      <c r="O59" s="376"/>
      <c r="P59" s="376"/>
      <c r="Q59" s="376"/>
      <c r="R59" s="376"/>
      <c r="S59" s="376"/>
      <c r="T59" s="376"/>
      <c r="U59" s="376"/>
      <c r="V59" s="376"/>
      <c r="W59" s="135">
        <f ca="1">N59</f>
        <v>16.579999999999927</v>
      </c>
      <c r="Z59" s="23"/>
      <c r="AA59"/>
      <c r="AB59"/>
      <c r="AC59"/>
    </row>
    <row r="60" spans="1:29" ht="14.45" customHeight="1" x14ac:dyDescent="0.25">
      <c r="A60" s="23"/>
      <c r="B60"/>
      <c r="C60"/>
      <c r="D60"/>
      <c r="E60"/>
      <c r="F60"/>
      <c r="G60"/>
      <c r="H60"/>
      <c r="I60"/>
      <c r="J60"/>
      <c r="K60" s="217"/>
      <c r="M60" s="92" t="s">
        <v>98</v>
      </c>
      <c r="N60" s="376">
        <f ca="1">AVERAGE(N57:V57)</f>
        <v>535.83874074074083</v>
      </c>
      <c r="O60" s="376"/>
      <c r="P60" s="376"/>
      <c r="Q60" s="376"/>
      <c r="R60" s="376"/>
      <c r="S60" s="376"/>
      <c r="T60" s="376"/>
      <c r="U60" s="376"/>
      <c r="V60" s="376"/>
      <c r="W60" s="135">
        <f ca="1">N60</f>
        <v>535.83874074074083</v>
      </c>
      <c r="Z60" s="23"/>
      <c r="AA60"/>
      <c r="AB60"/>
      <c r="AC60"/>
    </row>
    <row r="61" spans="1:29" ht="14.45" customHeight="1" x14ac:dyDescent="0.25">
      <c r="A61" s="23"/>
      <c r="B61"/>
      <c r="C61"/>
      <c r="D61"/>
      <c r="E61"/>
      <c r="F61"/>
      <c r="G61"/>
      <c r="H61"/>
      <c r="I61"/>
      <c r="J61"/>
      <c r="K61" s="217"/>
      <c r="M61" s="197" t="s">
        <v>340</v>
      </c>
      <c r="N61" s="43" t="str" cm="1">
        <f t="array" ref="N61:V61">tab_transfert535[[#Headers],[Connecteur 1]:[Connecteur 9]]</f>
        <v>Connecteur 1</v>
      </c>
      <c r="O61" s="43" t="str">
        <v>Connecteur 2</v>
      </c>
      <c r="P61" s="43" t="str">
        <v>Connecteur 3</v>
      </c>
      <c r="Q61" s="43" t="str">
        <v>Connecteur 4</v>
      </c>
      <c r="R61" s="43" t="str">
        <v>Connecteur 5</v>
      </c>
      <c r="S61" s="43" t="str">
        <v>Connecteur 6</v>
      </c>
      <c r="T61" s="43" t="str">
        <v>Connecteur 7</v>
      </c>
      <c r="U61" s="43" t="str">
        <v>Connecteur 8</v>
      </c>
      <c r="V61" s="43" t="str">
        <v>Connecteur 9</v>
      </c>
      <c r="Z61" s="23"/>
      <c r="AA61"/>
      <c r="AB61"/>
      <c r="AC61"/>
    </row>
    <row r="62" spans="1:29" ht="14.45" customHeight="1" x14ac:dyDescent="0.25">
      <c r="A62" s="23"/>
      <c r="B62"/>
      <c r="C62"/>
      <c r="D62"/>
      <c r="E62"/>
      <c r="F62"/>
      <c r="G62"/>
      <c r="H62"/>
      <c r="I62"/>
      <c r="J62"/>
      <c r="K62" s="217"/>
      <c r="M62" s="194" t="s">
        <v>339</v>
      </c>
      <c r="N62" s="219">
        <f ca="1">_xlfn.STDEV.S(OFFSET(INDEX(tab_transfert535[Connecteur 1],1),COUNT(tab_transfert535[Connecteur 1])-30,0,30))</f>
        <v>2.5862595588508075</v>
      </c>
      <c r="O62" s="219">
        <f ca="1">_xlfn.STDEV.S(OFFSET(INDEX(tab_transfert535[Connecteur 2],1),COUNT(tab_transfert535[Connecteur 2])-30,0,30))</f>
        <v>2.9967993654533447</v>
      </c>
      <c r="P62" s="219">
        <f ca="1">_xlfn.STDEV.S(OFFSET(INDEX(tab_transfert535[Connecteur 3],1),COUNT(tab_transfert535[Connecteur 3])-30,0,30))</f>
        <v>3.0419065406910359</v>
      </c>
      <c r="Q62" s="219">
        <f ca="1">_xlfn.STDEV.S(OFFSET(INDEX(tab_transfert535[Connecteur 4],1),COUNT(tab_transfert535[Connecteur 4])-30,0,30))</f>
        <v>2.3192245285424731</v>
      </c>
      <c r="R62" s="219">
        <f ca="1">_xlfn.STDEV.S(OFFSET(INDEX(tab_transfert535[Connecteur 5],1),COUNT(tab_transfert535[Connecteur 5])-30,0,30))</f>
        <v>2.2160607330156283</v>
      </c>
      <c r="S62" s="219">
        <f ca="1">_xlfn.STDEV.S(OFFSET(INDEX(tab_transfert535[Connecteur 6],1),COUNT(tab_transfert535[Connecteur 6])-30,0,30))</f>
        <v>2.0620974981688009</v>
      </c>
      <c r="T62" s="219">
        <f ca="1">_xlfn.STDEV.S(OFFSET(INDEX(tab_transfert535[Connecteur 7],1),COUNT(tab_transfert535[Connecteur 7])-30,0,30))</f>
        <v>3.4842103774059039</v>
      </c>
      <c r="U62" s="219">
        <f ca="1">_xlfn.STDEV.S(OFFSET(INDEX(tab_transfert535[Connecteur 8],1),COUNT(tab_transfert535[Connecteur 8])-30,0,30))</f>
        <v>1.7087719593893662</v>
      </c>
      <c r="V62" s="219">
        <f ca="1">_xlfn.STDEV.S(OFFSET(INDEX(tab_transfert535[Connecteur 9],1),COUNT(tab_transfert535[Connecteur 9])-30,0,30))</f>
        <v>2.4183356345592859</v>
      </c>
      <c r="W62" s="195">
        <f ca="1">MAX(N62:V62)</f>
        <v>3.4842103774059039</v>
      </c>
      <c r="Z62" s="23"/>
      <c r="AA62"/>
      <c r="AB62"/>
      <c r="AC62"/>
    </row>
    <row r="63" spans="1:29" ht="14.45" customHeight="1" x14ac:dyDescent="0.25">
      <c r="A63" s="23"/>
      <c r="B63"/>
      <c r="C63"/>
      <c r="D63"/>
      <c r="E63"/>
      <c r="F63"/>
      <c r="G63"/>
      <c r="H63"/>
      <c r="I63"/>
      <c r="J63"/>
      <c r="K63" s="217"/>
      <c r="Z63" s="23"/>
      <c r="AA63"/>
      <c r="AB63"/>
      <c r="AC63"/>
    </row>
    <row r="64" spans="1:29" ht="14.45" customHeight="1" x14ac:dyDescent="0.25">
      <c r="A64" s="23"/>
      <c r="B64"/>
      <c r="C64"/>
      <c r="D64"/>
      <c r="E64"/>
      <c r="F64"/>
      <c r="G64"/>
      <c r="H64"/>
      <c r="I64"/>
      <c r="J64"/>
      <c r="K64" s="217"/>
      <c r="M64" s="194" t="s">
        <v>338</v>
      </c>
      <c r="N64" s="193">
        <f ca="1">W55-(OFFSET(INDEX(tab_four535[Consigne T°],1),COUNT(tab_four535[Consigne T°])-30,0,1))</f>
        <v>3.9499999999999318</v>
      </c>
      <c r="Z64" s="23"/>
      <c r="AA64"/>
      <c r="AB64"/>
      <c r="AC64"/>
    </row>
    <row r="65" spans="1:29" ht="14.45" customHeight="1" x14ac:dyDescent="0.25">
      <c r="A65" s="23"/>
      <c r="B65"/>
      <c r="C65"/>
      <c r="D65"/>
      <c r="E65"/>
      <c r="F65"/>
      <c r="G65"/>
      <c r="H65"/>
      <c r="I65"/>
      <c r="J65"/>
      <c r="K65" s="217"/>
      <c r="M65" s="194" t="s">
        <v>337</v>
      </c>
      <c r="N65" s="193">
        <f ca="1">W56-(OFFSET(INDEX(tab_four535[Consigne T°],1),COUNT(tab_four535[Consigne T°])-30,0,1))</f>
        <v>-12.629999999999995</v>
      </c>
      <c r="Z65" s="23"/>
      <c r="AA65"/>
      <c r="AB65"/>
      <c r="AC65"/>
    </row>
    <row r="66" spans="1:29" ht="14.45" customHeight="1" x14ac:dyDescent="0.25">
      <c r="A66" s="23"/>
      <c r="B66"/>
      <c r="C66"/>
      <c r="D66"/>
      <c r="E66"/>
      <c r="F66"/>
      <c r="G66"/>
      <c r="H66"/>
      <c r="I66"/>
      <c r="J66"/>
      <c r="K66" s="217"/>
      <c r="Z66" s="23"/>
      <c r="AA66"/>
      <c r="AB66"/>
      <c r="AC66"/>
    </row>
    <row r="67" spans="1:29" ht="14.45" customHeight="1" x14ac:dyDescent="0.25">
      <c r="A67" s="23"/>
      <c r="B67"/>
      <c r="C67"/>
      <c r="D67"/>
      <c r="E67"/>
      <c r="F67"/>
      <c r="G67"/>
      <c r="H67"/>
      <c r="I67"/>
      <c r="J67"/>
      <c r="K67" s="217"/>
      <c r="Z67" s="23"/>
      <c r="AA67"/>
      <c r="AB67"/>
      <c r="AC67"/>
    </row>
    <row r="68" spans="1:29" ht="14.45" customHeight="1" x14ac:dyDescent="0.25">
      <c r="A68" s="23"/>
      <c r="B68"/>
      <c r="C68"/>
      <c r="D68"/>
      <c r="E68"/>
      <c r="F68"/>
      <c r="G68"/>
      <c r="H68"/>
      <c r="I68"/>
      <c r="J68"/>
      <c r="K68" s="217"/>
      <c r="Z68" s="23"/>
      <c r="AA68"/>
      <c r="AB68"/>
      <c r="AC68"/>
    </row>
    <row r="69" spans="1:29" ht="14.45" customHeight="1" x14ac:dyDescent="0.25">
      <c r="A69" s="23"/>
      <c r="B69"/>
      <c r="C69"/>
      <c r="D69"/>
      <c r="E69"/>
      <c r="F69"/>
      <c r="G69"/>
      <c r="H69"/>
      <c r="I69"/>
      <c r="J69"/>
      <c r="K69" s="217"/>
      <c r="Z69" s="23"/>
      <c r="AA69"/>
      <c r="AB69"/>
      <c r="AC69"/>
    </row>
    <row r="70" spans="1:29" ht="14.45" customHeight="1" x14ac:dyDescent="0.25">
      <c r="A70" s="23"/>
      <c r="B70"/>
      <c r="C70"/>
      <c r="D70"/>
      <c r="E70"/>
      <c r="F70"/>
      <c r="G70"/>
      <c r="H70"/>
      <c r="I70"/>
      <c r="J70"/>
      <c r="K70" s="217"/>
      <c r="Z70" s="23"/>
      <c r="AA70"/>
      <c r="AB70"/>
      <c r="AC70"/>
    </row>
    <row r="71" spans="1:29" ht="14.45" customHeight="1" x14ac:dyDescent="0.25">
      <c r="A71" s="23"/>
      <c r="B71"/>
      <c r="C71"/>
      <c r="D71"/>
      <c r="E71"/>
      <c r="F71"/>
      <c r="G71"/>
      <c r="H71"/>
      <c r="I71"/>
      <c r="J71"/>
      <c r="K71" s="217"/>
      <c r="Z71" s="23"/>
      <c r="AA71"/>
      <c r="AB71"/>
      <c r="AC71"/>
    </row>
    <row r="72" spans="1:29" ht="14.45" customHeight="1" x14ac:dyDescent="0.25">
      <c r="A72" s="23"/>
      <c r="B72"/>
      <c r="C72"/>
      <c r="D72"/>
      <c r="E72"/>
      <c r="F72"/>
      <c r="G72"/>
      <c r="H72"/>
      <c r="I72"/>
      <c r="J72"/>
      <c r="K72" s="217"/>
      <c r="Z72" s="23"/>
      <c r="AA72"/>
      <c r="AB72"/>
      <c r="AC72"/>
    </row>
    <row r="73" spans="1:29" ht="14.45" customHeight="1" x14ac:dyDescent="0.25">
      <c r="A73" s="23"/>
      <c r="B73"/>
      <c r="C73"/>
      <c r="D73"/>
      <c r="E73"/>
      <c r="F73"/>
      <c r="G73"/>
      <c r="H73"/>
      <c r="I73"/>
      <c r="J73"/>
      <c r="K73" s="217"/>
      <c r="Z73" s="23"/>
      <c r="AA73"/>
      <c r="AB73"/>
      <c r="AC73"/>
    </row>
    <row r="74" spans="1:29" ht="14.45" customHeight="1" x14ac:dyDescent="0.25">
      <c r="A74" s="23"/>
      <c r="B74"/>
      <c r="C74"/>
      <c r="D74"/>
      <c r="E74"/>
      <c r="F74"/>
      <c r="G74"/>
      <c r="H74"/>
      <c r="I74"/>
      <c r="J74"/>
      <c r="K74" s="217"/>
      <c r="Z74" s="23"/>
      <c r="AA74"/>
      <c r="AB74"/>
      <c r="AC74"/>
    </row>
    <row r="75" spans="1:29" ht="14.45" customHeight="1" x14ac:dyDescent="0.25">
      <c r="A75" s="23"/>
      <c r="B75"/>
      <c r="C75"/>
      <c r="D75"/>
      <c r="E75"/>
      <c r="F75"/>
      <c r="G75"/>
      <c r="H75"/>
      <c r="I75"/>
      <c r="J75"/>
      <c r="K75" s="217"/>
      <c r="Z75" s="23"/>
      <c r="AA75"/>
      <c r="AB75"/>
      <c r="AC75"/>
    </row>
    <row r="76" spans="1:29" ht="14.45" customHeight="1" x14ac:dyDescent="0.25">
      <c r="A76" s="23"/>
      <c r="B76"/>
      <c r="C76"/>
      <c r="D76"/>
      <c r="E76"/>
      <c r="F76"/>
      <c r="G76"/>
      <c r="H76"/>
      <c r="I76"/>
      <c r="J76"/>
      <c r="K76" s="217"/>
      <c r="Z76" s="23"/>
      <c r="AA76"/>
      <c r="AB76"/>
      <c r="AC76"/>
    </row>
    <row r="77" spans="1:29" ht="14.45" customHeight="1" x14ac:dyDescent="0.25">
      <c r="A77" s="23"/>
      <c r="B77"/>
      <c r="C77"/>
      <c r="D77"/>
      <c r="E77"/>
      <c r="F77"/>
      <c r="G77"/>
      <c r="H77"/>
      <c r="I77"/>
      <c r="J77"/>
      <c r="K77" s="217"/>
      <c r="Z77" s="23"/>
      <c r="AA77"/>
      <c r="AB77"/>
      <c r="AC77"/>
    </row>
    <row r="78" spans="1:29" ht="14.45" customHeight="1" x14ac:dyDescent="0.25">
      <c r="A78" s="23"/>
      <c r="B78"/>
      <c r="C78"/>
      <c r="D78"/>
      <c r="E78"/>
      <c r="F78"/>
      <c r="G78"/>
      <c r="H78"/>
      <c r="I78"/>
      <c r="J78"/>
      <c r="K78" s="217"/>
      <c r="Z78" s="23"/>
      <c r="AA78"/>
      <c r="AB78"/>
      <c r="AC78"/>
    </row>
    <row r="79" spans="1:29" ht="14.45" customHeight="1" x14ac:dyDescent="0.25">
      <c r="A79" s="23"/>
      <c r="B79"/>
      <c r="C79"/>
      <c r="D79"/>
      <c r="E79"/>
      <c r="F79"/>
      <c r="G79"/>
      <c r="H79"/>
      <c r="I79"/>
      <c r="J79"/>
      <c r="K79" s="217"/>
      <c r="Z79" s="23"/>
      <c r="AA79"/>
      <c r="AB79"/>
      <c r="AC79"/>
    </row>
    <row r="80" spans="1:29" ht="14.45" customHeight="1" x14ac:dyDescent="0.25">
      <c r="A80" s="23"/>
      <c r="B80"/>
      <c r="C80"/>
      <c r="D80"/>
      <c r="E80"/>
      <c r="F80"/>
      <c r="G80"/>
      <c r="H80"/>
      <c r="I80"/>
      <c r="J80"/>
      <c r="K80" s="217"/>
      <c r="Z80" s="23"/>
      <c r="AA80"/>
      <c r="AB80"/>
      <c r="AC80"/>
    </row>
    <row r="81" spans="1:29" ht="14.45" customHeight="1" x14ac:dyDescent="0.25">
      <c r="A81" s="23"/>
      <c r="B81"/>
      <c r="C81"/>
      <c r="D81"/>
      <c r="E81"/>
      <c r="F81"/>
      <c r="G81"/>
      <c r="H81"/>
      <c r="I81"/>
      <c r="J81"/>
      <c r="K81" s="217"/>
      <c r="Z81" s="23"/>
      <c r="AA81"/>
      <c r="AB81"/>
      <c r="AC81"/>
    </row>
    <row r="82" spans="1:29" ht="14.45" customHeight="1" x14ac:dyDescent="0.25">
      <c r="A82" s="23"/>
      <c r="B82"/>
      <c r="C82"/>
      <c r="D82"/>
      <c r="E82"/>
      <c r="F82"/>
      <c r="G82"/>
      <c r="H82"/>
      <c r="I82"/>
      <c r="J82"/>
      <c r="K82" s="217"/>
      <c r="Z82" s="23"/>
      <c r="AA82"/>
      <c r="AB82"/>
      <c r="AC82"/>
    </row>
    <row r="83" spans="1:29" ht="14.45" customHeight="1" x14ac:dyDescent="0.25">
      <c r="A83" s="23"/>
      <c r="B83"/>
      <c r="C83"/>
      <c r="D83"/>
      <c r="E83"/>
      <c r="F83"/>
      <c r="G83"/>
      <c r="H83"/>
      <c r="I83"/>
      <c r="J83"/>
      <c r="K83" s="217"/>
      <c r="Z83" s="23"/>
      <c r="AA83"/>
      <c r="AB83"/>
      <c r="AC83"/>
    </row>
    <row r="84" spans="1:29" ht="14.45" customHeight="1" x14ac:dyDescent="0.25">
      <c r="A84" s="23"/>
      <c r="B84"/>
      <c r="C84"/>
      <c r="D84"/>
      <c r="E84"/>
      <c r="F84"/>
      <c r="G84"/>
      <c r="H84"/>
      <c r="I84"/>
      <c r="J84"/>
      <c r="K84" s="217"/>
      <c r="Z84" s="23"/>
      <c r="AA84"/>
      <c r="AB84"/>
      <c r="AC84"/>
    </row>
    <row r="85" spans="1:29" ht="14.45" customHeight="1" x14ac:dyDescent="0.25">
      <c r="A85" s="23"/>
      <c r="B85"/>
      <c r="C85"/>
      <c r="D85"/>
      <c r="E85"/>
      <c r="F85"/>
      <c r="G85"/>
      <c r="H85"/>
      <c r="I85"/>
      <c r="J85"/>
      <c r="K85" s="217"/>
      <c r="Z85" s="23"/>
      <c r="AA85"/>
      <c r="AB85"/>
      <c r="AC85"/>
    </row>
    <row r="86" spans="1:29" ht="14.45" customHeight="1" x14ac:dyDescent="0.25">
      <c r="A86" s="23"/>
      <c r="B86"/>
      <c r="C86"/>
      <c r="D86"/>
      <c r="E86"/>
      <c r="F86"/>
      <c r="G86"/>
      <c r="H86"/>
      <c r="I86"/>
      <c r="J86"/>
      <c r="K86" s="217"/>
      <c r="Z86" s="23"/>
      <c r="AA86"/>
      <c r="AB86"/>
      <c r="AC86"/>
    </row>
    <row r="87" spans="1:29" ht="14.45" customHeight="1" x14ac:dyDescent="0.25">
      <c r="A87" s="23"/>
      <c r="B87"/>
      <c r="C87"/>
      <c r="D87"/>
      <c r="E87"/>
      <c r="F87"/>
      <c r="G87"/>
      <c r="H87"/>
      <c r="I87"/>
      <c r="J87"/>
      <c r="K87" s="217"/>
      <c r="Z87" s="23"/>
      <c r="AA87"/>
      <c r="AB87"/>
      <c r="AC87"/>
    </row>
    <row r="88" spans="1:29" ht="14.45" customHeight="1" x14ac:dyDescent="0.25">
      <c r="A88" s="23"/>
      <c r="B88"/>
      <c r="C88"/>
      <c r="D88"/>
      <c r="E88"/>
      <c r="F88"/>
      <c r="G88"/>
      <c r="H88"/>
      <c r="I88"/>
      <c r="J88"/>
      <c r="K88" s="217"/>
      <c r="Z88" s="23"/>
      <c r="AA88"/>
      <c r="AB88"/>
      <c r="AC88"/>
    </row>
    <row r="89" spans="1:29" ht="14.45" customHeight="1" x14ac:dyDescent="0.25">
      <c r="A89" s="23"/>
      <c r="B89"/>
      <c r="C89"/>
      <c r="D89"/>
      <c r="E89"/>
      <c r="F89"/>
      <c r="G89"/>
      <c r="H89"/>
      <c r="I89"/>
      <c r="J89"/>
      <c r="K89" s="217"/>
      <c r="Z89" s="23"/>
      <c r="AA89"/>
      <c r="AB89"/>
      <c r="AC89"/>
    </row>
    <row r="90" spans="1:29" ht="14.45" customHeight="1" x14ac:dyDescent="0.25">
      <c r="A90" s="23"/>
      <c r="B90"/>
      <c r="C90"/>
      <c r="D90"/>
      <c r="E90"/>
      <c r="F90"/>
      <c r="G90"/>
      <c r="H90"/>
      <c r="I90"/>
      <c r="J90"/>
      <c r="K90" s="217"/>
      <c r="Z90" s="23"/>
      <c r="AA90"/>
      <c r="AB90"/>
      <c r="AC90"/>
    </row>
    <row r="91" spans="1:29" ht="14.45" customHeight="1" x14ac:dyDescent="0.25">
      <c r="A91" s="23"/>
      <c r="B91"/>
      <c r="C91"/>
      <c r="D91"/>
      <c r="E91"/>
      <c r="F91"/>
      <c r="G91"/>
      <c r="H91"/>
      <c r="I91"/>
      <c r="J91"/>
      <c r="K91" s="217"/>
      <c r="Z91" s="23"/>
      <c r="AA91"/>
      <c r="AB91"/>
      <c r="AC91"/>
    </row>
    <row r="92" spans="1:29" ht="14.45" customHeight="1" x14ac:dyDescent="0.25">
      <c r="A92" s="23"/>
      <c r="B92"/>
      <c r="C92"/>
      <c r="D92"/>
      <c r="E92"/>
      <c r="F92"/>
      <c r="G92"/>
      <c r="H92"/>
      <c r="I92"/>
      <c r="J92"/>
      <c r="K92" s="217"/>
      <c r="Z92" s="23"/>
      <c r="AA92"/>
      <c r="AB92"/>
      <c r="AC92"/>
    </row>
    <row r="93" spans="1:29" ht="14.45" customHeight="1" x14ac:dyDescent="0.25">
      <c r="A93" s="23"/>
      <c r="B93"/>
      <c r="C93"/>
      <c r="D93"/>
      <c r="E93"/>
      <c r="F93"/>
      <c r="G93"/>
      <c r="H93"/>
      <c r="I93"/>
      <c r="J93"/>
      <c r="K93" s="217"/>
      <c r="Z93" s="23"/>
      <c r="AA93"/>
      <c r="AB93"/>
      <c r="AC93"/>
    </row>
    <row r="94" spans="1:29" ht="14.45" customHeight="1" x14ac:dyDescent="0.25">
      <c r="A94" s="23"/>
      <c r="B94"/>
      <c r="C94"/>
      <c r="D94"/>
      <c r="E94"/>
      <c r="F94"/>
      <c r="G94"/>
      <c r="H94"/>
      <c r="I94"/>
      <c r="J94"/>
      <c r="K94" s="217"/>
      <c r="Z94" s="23"/>
      <c r="AA94"/>
      <c r="AB94"/>
      <c r="AC94"/>
    </row>
    <row r="95" spans="1:29" ht="14.45" customHeight="1" x14ac:dyDescent="0.25">
      <c r="A95" s="23"/>
      <c r="B95"/>
      <c r="C95"/>
      <c r="D95"/>
      <c r="E95"/>
      <c r="F95"/>
      <c r="G95"/>
      <c r="H95"/>
      <c r="I95"/>
      <c r="J95"/>
      <c r="K95" s="217"/>
      <c r="Z95" s="23"/>
      <c r="AA95"/>
      <c r="AB95"/>
      <c r="AC95"/>
    </row>
    <row r="96" spans="1:29" ht="14.45" customHeight="1" x14ac:dyDescent="0.25">
      <c r="A96" s="23"/>
      <c r="B96"/>
      <c r="C96"/>
      <c r="D96"/>
      <c r="E96"/>
      <c r="F96"/>
      <c r="G96"/>
      <c r="H96"/>
      <c r="I96"/>
      <c r="J96"/>
      <c r="K96" s="217"/>
      <c r="Z96" s="23"/>
      <c r="AA96"/>
      <c r="AB96"/>
      <c r="AC96"/>
    </row>
    <row r="97" spans="1:29" ht="14.45" customHeight="1" x14ac:dyDescent="0.25">
      <c r="A97" s="23"/>
      <c r="B97"/>
      <c r="C97"/>
      <c r="D97"/>
      <c r="E97"/>
      <c r="F97"/>
      <c r="G97"/>
      <c r="H97"/>
      <c r="I97"/>
      <c r="J97"/>
      <c r="K97" s="217"/>
      <c r="Z97" s="23"/>
      <c r="AA97"/>
      <c r="AB97"/>
      <c r="AC97"/>
    </row>
    <row r="98" spans="1:29" ht="14.45" customHeight="1" x14ac:dyDescent="0.25">
      <c r="A98" s="23"/>
      <c r="B98"/>
      <c r="C98"/>
      <c r="D98"/>
      <c r="E98"/>
      <c r="F98"/>
      <c r="G98"/>
      <c r="H98"/>
      <c r="I98"/>
      <c r="J98"/>
      <c r="K98" s="217"/>
      <c r="Z98" s="23"/>
      <c r="AA98"/>
      <c r="AB98"/>
      <c r="AC98"/>
    </row>
    <row r="99" spans="1:29" ht="14.45" customHeight="1" x14ac:dyDescent="0.25">
      <c r="A99" s="23"/>
      <c r="B99"/>
      <c r="C99"/>
      <c r="D99"/>
      <c r="E99"/>
      <c r="F99"/>
      <c r="G99"/>
      <c r="H99"/>
      <c r="I99"/>
      <c r="J99"/>
      <c r="K99" s="217"/>
      <c r="Z99" s="23"/>
      <c r="AA99"/>
      <c r="AB99"/>
      <c r="AC99"/>
    </row>
    <row r="100" spans="1:29" ht="14.45" customHeight="1" x14ac:dyDescent="0.25">
      <c r="A100" s="23"/>
      <c r="B100"/>
      <c r="C100"/>
      <c r="D100"/>
      <c r="E100"/>
      <c r="F100"/>
      <c r="G100"/>
      <c r="H100"/>
      <c r="I100"/>
      <c r="J100"/>
      <c r="K100" s="217"/>
      <c r="Z100" s="23"/>
      <c r="AA100"/>
      <c r="AB100"/>
      <c r="AC100"/>
    </row>
    <row r="101" spans="1:29" ht="14.45" customHeight="1" x14ac:dyDescent="0.25">
      <c r="A101" s="23"/>
      <c r="B101"/>
      <c r="C101"/>
      <c r="D101"/>
      <c r="E101"/>
      <c r="F101"/>
      <c r="G101"/>
      <c r="H101"/>
      <c r="I101"/>
      <c r="J101"/>
      <c r="K101" s="217"/>
      <c r="Z101" s="23"/>
      <c r="AA101"/>
      <c r="AB101"/>
      <c r="AC101"/>
    </row>
    <row r="102" spans="1:29" ht="14.45" customHeight="1" x14ac:dyDescent="0.25">
      <c r="A102" s="23"/>
      <c r="B102"/>
      <c r="C102"/>
      <c r="D102"/>
      <c r="E102"/>
      <c r="F102"/>
      <c r="G102"/>
      <c r="H102"/>
      <c r="I102"/>
      <c r="J102"/>
      <c r="K102" s="217"/>
      <c r="Z102" s="23"/>
      <c r="AA102"/>
      <c r="AB102"/>
      <c r="AC102"/>
    </row>
    <row r="103" spans="1:29" ht="14.45" customHeight="1" x14ac:dyDescent="0.25">
      <c r="A103" s="23"/>
      <c r="B103"/>
      <c r="C103"/>
      <c r="D103"/>
      <c r="E103"/>
      <c r="F103"/>
      <c r="G103"/>
      <c r="H103"/>
      <c r="I103"/>
      <c r="J103"/>
      <c r="K103" s="217"/>
      <c r="Z103" s="23"/>
      <c r="AA103"/>
      <c r="AB103"/>
      <c r="AC103"/>
    </row>
    <row r="104" spans="1:29" ht="14.45" customHeight="1" x14ac:dyDescent="0.25">
      <c r="A104" s="23"/>
      <c r="B104"/>
      <c r="C104"/>
      <c r="D104"/>
      <c r="E104"/>
      <c r="F104"/>
      <c r="G104"/>
      <c r="H104"/>
      <c r="I104"/>
      <c r="J104"/>
      <c r="K104" s="217"/>
      <c r="Z104" s="23"/>
      <c r="AA104"/>
      <c r="AB104"/>
      <c r="AC104"/>
    </row>
    <row r="105" spans="1:29" ht="14.45" customHeight="1" x14ac:dyDescent="0.25">
      <c r="A105" s="23"/>
      <c r="B105"/>
      <c r="C105"/>
      <c r="D105"/>
      <c r="E105"/>
      <c r="F105"/>
      <c r="G105"/>
      <c r="H105"/>
      <c r="I105"/>
      <c r="J105"/>
      <c r="K105" s="217"/>
      <c r="Z105" s="23"/>
      <c r="AA105"/>
      <c r="AB105"/>
      <c r="AC105"/>
    </row>
    <row r="106" spans="1:29" ht="14.45" customHeight="1" x14ac:dyDescent="0.25">
      <c r="A106" s="23"/>
      <c r="B106"/>
      <c r="C106"/>
      <c r="D106"/>
      <c r="E106"/>
      <c r="F106"/>
      <c r="G106"/>
      <c r="H106"/>
      <c r="I106"/>
      <c r="J106"/>
      <c r="K106" s="217"/>
      <c r="Z106" s="23"/>
      <c r="AA106"/>
      <c r="AB106"/>
      <c r="AC106"/>
    </row>
    <row r="107" spans="1:29" ht="14.45" customHeight="1" x14ac:dyDescent="0.25">
      <c r="A107" s="23"/>
      <c r="B107"/>
      <c r="C107"/>
      <c r="D107"/>
      <c r="E107"/>
      <c r="F107"/>
      <c r="G107"/>
      <c r="H107"/>
      <c r="I107"/>
      <c r="J107"/>
      <c r="K107" s="217"/>
      <c r="Z107" s="23"/>
      <c r="AA107"/>
      <c r="AB107"/>
      <c r="AC107"/>
    </row>
    <row r="108" spans="1:29" ht="14.45" customHeight="1" x14ac:dyDescent="0.25">
      <c r="A108" s="23"/>
      <c r="B108"/>
      <c r="C108"/>
      <c r="D108"/>
      <c r="E108"/>
      <c r="F108"/>
      <c r="G108"/>
      <c r="H108"/>
      <c r="I108"/>
      <c r="J108"/>
      <c r="K108" s="217"/>
      <c r="Z108" s="23"/>
      <c r="AA108"/>
      <c r="AB108"/>
      <c r="AC108"/>
    </row>
    <row r="109" spans="1:29" ht="14.45" customHeight="1" x14ac:dyDescent="0.25">
      <c r="A109" s="146"/>
      <c r="B109" s="146"/>
      <c r="C109" s="146"/>
      <c r="D109" s="146"/>
      <c r="E109" s="146"/>
      <c r="F109" s="146"/>
      <c r="G109" s="146"/>
      <c r="H109" s="146"/>
      <c r="I109" s="146"/>
      <c r="J109" s="146"/>
      <c r="K109" s="146"/>
      <c r="L109" s="146"/>
      <c r="X109" s="146"/>
      <c r="Y109" s="146"/>
      <c r="Z109" s="146"/>
      <c r="AA109" s="146"/>
      <c r="AB109" s="146"/>
      <c r="AC109" s="146"/>
    </row>
    <row r="110" spans="1:29" ht="14.45" customHeight="1" x14ac:dyDescent="0.25">
      <c r="A110" s="146"/>
      <c r="B110" s="146"/>
      <c r="C110" s="146"/>
      <c r="D110" s="146"/>
      <c r="E110" s="146"/>
      <c r="F110" s="146"/>
      <c r="G110" s="146"/>
      <c r="H110" s="146"/>
      <c r="I110" s="146"/>
      <c r="J110" s="146"/>
      <c r="K110" s="146"/>
      <c r="L110" s="146"/>
      <c r="X110" s="146"/>
      <c r="Y110" s="146"/>
      <c r="AA110" s="202" t="str" cm="1">
        <f t="array" ref="AA110:AC110">AA6:AC6</f>
        <v>Pt Froid</v>
      </c>
      <c r="AB110" s="202" t="str">
        <v>Regulation</v>
      </c>
      <c r="AC110" s="202" t="str">
        <v>Pt Chaud</v>
      </c>
    </row>
    <row r="111" spans="1:29" ht="14.45" customHeight="1" x14ac:dyDescent="0.25">
      <c r="A111" s="23"/>
      <c r="B111"/>
      <c r="C111"/>
      <c r="D111"/>
      <c r="E111"/>
      <c r="F111"/>
      <c r="G111"/>
      <c r="H111"/>
      <c r="I111"/>
      <c r="J111"/>
      <c r="K111" s="205"/>
      <c r="Z111" s="198" t="s">
        <v>90</v>
      </c>
      <c r="AA111" s="43">
        <f>MAX(tab_four535[Pt Froid])</f>
        <v>533.79999999999995</v>
      </c>
      <c r="AB111" s="43">
        <f>MAX(tab_four535[Regulation])</f>
        <v>535.4</v>
      </c>
      <c r="AC111" s="43">
        <f>MAX(tab_four535[Pt Chaud])</f>
        <v>533.9</v>
      </c>
    </row>
    <row r="112" spans="1:29" ht="14.45" customHeight="1" x14ac:dyDescent="0.25">
      <c r="A112" s="23"/>
      <c r="B112"/>
      <c r="C112"/>
      <c r="D112"/>
      <c r="E112"/>
      <c r="F112"/>
      <c r="G112"/>
      <c r="H112"/>
      <c r="I112"/>
      <c r="J112"/>
      <c r="Z112" s="198" t="s">
        <v>91</v>
      </c>
      <c r="AA112" s="43">
        <f ca="1">MAX(OFFSET(INDEX(tab_four535[Pt Froid],1),COUNT(tab_four535[Pt Froid])-30,0,30))</f>
        <v>533.79999999999995</v>
      </c>
      <c r="AB112" s="43">
        <f ca="1">MAX(OFFSET(INDEX(tab_four535[Regulation],1),COUNT(tab_four535[Regulation])-30,0,30))</f>
        <v>535.4</v>
      </c>
      <c r="AC112" s="43">
        <f ca="1">MAX(OFFSET(INDEX(tab_four535[Pt Chaud],1),COUNT(tab_four535[Pt Chaud])-30,0,30))</f>
        <v>533.9</v>
      </c>
    </row>
    <row r="113" spans="1:29" ht="14.45" customHeight="1" x14ac:dyDescent="0.25">
      <c r="A113" s="23"/>
      <c r="B113"/>
      <c r="C113"/>
      <c r="D113"/>
      <c r="E113"/>
      <c r="F113"/>
      <c r="G113"/>
      <c r="H113"/>
      <c r="I113"/>
      <c r="J113"/>
      <c r="Z113" s="198" t="s">
        <v>93</v>
      </c>
      <c r="AA113" s="43">
        <f ca="1">MIN(OFFSET(INDEX(tab_four535[Pt Froid],1),COUNT(tab_four535[Pt Froid])-30,0,30))</f>
        <v>523.1</v>
      </c>
      <c r="AB113" s="43">
        <f ca="1">MIN(OFFSET(INDEX(tab_four535[Regulation],1),COUNT(tab_four535[Regulation])-30,0,30))</f>
        <v>521.6</v>
      </c>
      <c r="AC113" s="43">
        <f ca="1">MIN(OFFSET(INDEX(tab_four535[Pt Chaud],1),COUNT(tab_four535[Pt Chaud])-30,0,30))</f>
        <v>520.4</v>
      </c>
    </row>
    <row r="114" spans="1:29" ht="14.45" customHeight="1" x14ac:dyDescent="0.25">
      <c r="A114" s="23"/>
      <c r="B114"/>
      <c r="C114"/>
      <c r="D114"/>
      <c r="E114"/>
      <c r="F114"/>
      <c r="G114"/>
      <c r="H114"/>
      <c r="I114"/>
      <c r="J114"/>
      <c r="Z114" s="198" t="s">
        <v>95</v>
      </c>
      <c r="AA114" s="43">
        <f ca="1">AVERAGE(OFFSET(INDEX(tab_four535[Pt Froid],1),COUNT(tab_four535[Pt Froid])-30,0,30))</f>
        <v>532.30666666666639</v>
      </c>
      <c r="AB114" s="43">
        <f ca="1">AVERAGE(OFFSET(INDEX(tab_four535[Regulation],1),COUNT(tab_four535[Regulation])-30,0,30))</f>
        <v>533.32000000000005</v>
      </c>
      <c r="AC114" s="43">
        <f ca="1">AVERAGE(OFFSET(INDEX(tab_four535[Pt Chaud],1),COUNT(tab_four535[Pt Chaud])-30,0,30))</f>
        <v>531.84666666666658</v>
      </c>
    </row>
    <row r="115" spans="1:29" ht="14.45" customHeight="1" x14ac:dyDescent="0.25">
      <c r="A115" s="23"/>
      <c r="B115"/>
      <c r="C115"/>
      <c r="D115"/>
      <c r="E115"/>
      <c r="F115"/>
      <c r="G115"/>
      <c r="H115"/>
      <c r="I115"/>
      <c r="J115"/>
    </row>
    <row r="116" spans="1:29" ht="14.45" customHeight="1" x14ac:dyDescent="0.25">
      <c r="A116" s="23"/>
      <c r="B116"/>
      <c r="C116"/>
      <c r="D116"/>
      <c r="E116"/>
      <c r="F116"/>
      <c r="G116"/>
      <c r="H116"/>
      <c r="I116"/>
      <c r="J116"/>
    </row>
    <row r="117" spans="1:29" x14ac:dyDescent="0.25">
      <c r="A117" s="23"/>
      <c r="B117"/>
      <c r="C117"/>
      <c r="D117"/>
      <c r="E117"/>
      <c r="F117"/>
      <c r="G117"/>
      <c r="H117"/>
      <c r="I117"/>
      <c r="J117"/>
    </row>
    <row r="119" spans="1:29" x14ac:dyDescent="0.25">
      <c r="J119"/>
    </row>
    <row r="120" spans="1:29" x14ac:dyDescent="0.25">
      <c r="J120"/>
    </row>
  </sheetData>
  <sheetProtection algorithmName="SHA-512" hashValue="rwK8yafqqBsT5DJVVcD3h+xn8pjcbWSYT848Xev1VuJL/u1/xF+bL9xoZRwtoBo26Cwzj4neGREApZydk+tgdQ==" saltValue="BsOWzbq6ouCV1Yy0BUyppg==" spinCount="100000" sheet="1" objects="1" scenarios="1"/>
  <mergeCells count="8">
    <mergeCell ref="A1:AC1"/>
    <mergeCell ref="A5:J5"/>
    <mergeCell ref="M5:V5"/>
    <mergeCell ref="N59:V59"/>
    <mergeCell ref="N60:V60"/>
    <mergeCell ref="A52:W52"/>
    <mergeCell ref="M22:M51"/>
    <mergeCell ref="M7:M21"/>
  </mergeCells>
  <conditionalFormatting sqref="N54:V54">
    <cfRule type="cellIs" dxfId="95" priority="6" operator="equal">
      <formula>#REF!</formula>
    </cfRule>
  </conditionalFormatting>
  <conditionalFormatting sqref="N55:V55">
    <cfRule type="cellIs" dxfId="94" priority="2" operator="equal">
      <formula>$W$55</formula>
    </cfRule>
    <cfRule type="cellIs" dxfId="93" priority="5" operator="equal">
      <formula>#REF!</formula>
    </cfRule>
  </conditionalFormatting>
  <conditionalFormatting sqref="N56:V56">
    <cfRule type="cellIs" dxfId="92" priority="1" operator="equal">
      <formula>$W$56</formula>
    </cfRule>
    <cfRule type="cellIs" dxfId="91" priority="3" operator="equal">
      <formula>#REF!</formula>
    </cfRule>
    <cfRule type="cellIs" dxfId="90" priority="4" operator="equal">
      <formula>#REF!</formula>
    </cfRule>
  </conditionalFormatting>
  <conditionalFormatting sqref="N54:V54">
    <cfRule type="cellIs" dxfId="89" priority="7" operator="equal">
      <formula>$W$54</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56FE7-4BDB-438D-8C7E-F04F1E8D3AA3}">
  <sheetPr codeName="Four_PV">
    <tabColor rgb="FF002060"/>
    <pageSetUpPr fitToPage="1"/>
  </sheetPr>
  <dimension ref="A1:K615"/>
  <sheetViews>
    <sheetView tabSelected="1" view="pageBreakPreview" topLeftCell="A573" zoomScale="70" zoomScaleNormal="70" zoomScaleSheetLayoutView="70" zoomScalePageLayoutView="85" workbookViewId="0">
      <selection activeCell="G250" sqref="G250"/>
    </sheetView>
  </sheetViews>
  <sheetFormatPr baseColWidth="10" defaultRowHeight="15" x14ac:dyDescent="0.25"/>
  <cols>
    <col min="1" max="1" width="8.28515625" customWidth="1"/>
    <col min="2" max="2" width="21.28515625" customWidth="1"/>
    <col min="3" max="4" width="25.7109375" customWidth="1"/>
    <col min="5" max="5" width="31" bestFit="1" customWidth="1"/>
    <col min="6" max="6" width="30.5703125" bestFit="1" customWidth="1"/>
    <col min="7" max="7" width="25.7109375" customWidth="1"/>
    <col min="8" max="8" width="20.7109375" customWidth="1"/>
    <col min="9" max="9" width="15.7109375" customWidth="1"/>
  </cols>
  <sheetData>
    <row r="1" spans="2:9" ht="15" customHeight="1" x14ac:dyDescent="0.25"/>
    <row r="5" spans="2:9" ht="26.25" x14ac:dyDescent="0.4">
      <c r="B5" s="382" t="s">
        <v>345</v>
      </c>
      <c r="C5" s="382"/>
      <c r="D5" s="382"/>
      <c r="E5" s="382"/>
      <c r="F5" s="382"/>
      <c r="G5" s="382"/>
      <c r="H5" s="221"/>
      <c r="I5" s="220"/>
    </row>
    <row r="6" spans="2:9" ht="15.75" customHeight="1" x14ac:dyDescent="0.4">
      <c r="B6" s="220"/>
      <c r="C6" s="220"/>
      <c r="D6" s="220"/>
      <c r="E6" s="220"/>
      <c r="F6" s="220"/>
      <c r="G6" s="220"/>
    </row>
    <row r="7" spans="2:9" ht="15.75" customHeight="1" x14ac:dyDescent="0.25"/>
    <row r="8" spans="2:9" ht="21" x14ac:dyDescent="0.25">
      <c r="C8" s="383" t="s">
        <v>138</v>
      </c>
      <c r="D8" s="383"/>
      <c r="E8" s="384">
        <f>IF(D11&lt;&gt;"",+D11,"")</f>
        <v>45337</v>
      </c>
      <c r="F8" s="384"/>
    </row>
    <row r="9" spans="2:9" ht="15.75" customHeight="1" x14ac:dyDescent="0.25">
      <c r="C9" s="90"/>
      <c r="D9" s="90"/>
      <c r="E9" s="91"/>
      <c r="F9" s="91"/>
    </row>
    <row r="10" spans="2:9" ht="15.75" customHeight="1" x14ac:dyDescent="0.25"/>
    <row r="11" spans="2:9" ht="15.75" x14ac:dyDescent="0.25">
      <c r="C11" s="222" t="s">
        <v>346</v>
      </c>
      <c r="D11" s="223">
        <f>IF(+Mesures_Four!B6&lt;&gt;"",Mesures_Four!B6,"")</f>
        <v>45337</v>
      </c>
      <c r="F11" s="224" t="s">
        <v>347</v>
      </c>
      <c r="G11" s="98" t="s">
        <v>348</v>
      </c>
    </row>
    <row r="12" spans="2:9" ht="15.75" x14ac:dyDescent="0.25">
      <c r="C12" s="97" t="s">
        <v>349</v>
      </c>
      <c r="D12" s="225" t="str">
        <f>IF(ISTEXT(Mesures_Four!B7),Mesures_Four!B7,"")</f>
        <v>EMILIE LAGASSY</v>
      </c>
      <c r="F12" t="s">
        <v>350</v>
      </c>
      <c r="G12" s="226" t="str">
        <f>IF(Mesures_Four!B5="","",Mesures_Four!B5)</f>
        <v xml:space="preserve">BCH </v>
      </c>
    </row>
    <row r="13" spans="2:9" ht="15.75" x14ac:dyDescent="0.25">
      <c r="C13" s="97"/>
      <c r="D13" s="225" t="str">
        <f>IF(ISTEXT(Mesures_Four!B8),Mesures_Four!B8,"")</f>
        <v/>
      </c>
    </row>
    <row r="14" spans="2:9" ht="15.75" x14ac:dyDescent="0.25">
      <c r="C14" s="97"/>
      <c r="D14" s="225" t="str">
        <f>IF(ISTEXT(Mesures_Four!B9),Mesures_Four!B9,"")</f>
        <v/>
      </c>
    </row>
    <row r="15" spans="2:9" ht="15.75" x14ac:dyDescent="0.25">
      <c r="C15" s="97"/>
      <c r="D15" s="98"/>
      <c r="F15" s="97" t="s">
        <v>351</v>
      </c>
      <c r="G15" s="227" t="str">
        <f>IF(ISTEXT(Mesures_Four!B12),Mesures_Four!B12,"")</f>
        <v xml:space="preserve">Periodique </v>
      </c>
    </row>
    <row r="16" spans="2:9" ht="15.75" x14ac:dyDescent="0.25">
      <c r="C16" s="97"/>
      <c r="D16" s="98"/>
    </row>
    <row r="17" spans="1:9" ht="15.75" x14ac:dyDescent="0.25">
      <c r="C17" s="222" t="s">
        <v>352</v>
      </c>
      <c r="D17" s="223">
        <f>IF(+Mesures_Four!B11&lt;&gt;"",Mesures_Four!B11,"")</f>
        <v>45338</v>
      </c>
    </row>
    <row r="18" spans="1:9" ht="15.75" x14ac:dyDescent="0.25">
      <c r="C18" s="97" t="s">
        <v>353</v>
      </c>
      <c r="D18" s="225" t="str">
        <f>IF(ISTEXT(Mesures_Four!B10),Mesures_Four!B10,"")</f>
        <v>EMILIE LAGASSY</v>
      </c>
    </row>
    <row r="19" spans="1:9" ht="15.75" x14ac:dyDescent="0.25">
      <c r="C19" s="97"/>
      <c r="D19" s="98"/>
    </row>
    <row r="20" spans="1:9" ht="15.75" x14ac:dyDescent="0.25">
      <c r="C20" s="97"/>
      <c r="D20" s="98"/>
    </row>
    <row r="21" spans="1:9" ht="15.75" x14ac:dyDescent="0.25">
      <c r="C21" s="97"/>
      <c r="D21" s="98"/>
    </row>
    <row r="22" spans="1:9" ht="15.75" x14ac:dyDescent="0.25">
      <c r="C22" s="97"/>
      <c r="D22" s="98"/>
    </row>
    <row r="23" spans="1:9" ht="15.75" x14ac:dyDescent="0.25">
      <c r="C23" s="97"/>
      <c r="D23" s="98"/>
    </row>
    <row r="24" spans="1:9" ht="15.75" x14ac:dyDescent="0.25">
      <c r="C24" s="97"/>
      <c r="D24" s="98"/>
    </row>
    <row r="25" spans="1:9" ht="15.75" x14ac:dyDescent="0.25">
      <c r="C25" s="97"/>
      <c r="D25" s="98"/>
    </row>
    <row r="26" spans="1:9" ht="15.75" x14ac:dyDescent="0.25">
      <c r="C26" s="97"/>
      <c r="D26" s="98"/>
    </row>
    <row r="27" spans="1:9" ht="15.75" x14ac:dyDescent="0.25">
      <c r="C27" s="97"/>
      <c r="D27" s="98"/>
    </row>
    <row r="28" spans="1:9" ht="15.75" x14ac:dyDescent="0.25">
      <c r="C28" s="97"/>
      <c r="D28" s="98"/>
    </row>
    <row r="29" spans="1:9" ht="15.75" x14ac:dyDescent="0.25">
      <c r="C29" s="97"/>
      <c r="D29" s="98"/>
    </row>
    <row r="30" spans="1:9" ht="18.75" customHeight="1" x14ac:dyDescent="0.25">
      <c r="A30" s="385" t="s">
        <v>354</v>
      </c>
      <c r="B30" s="385"/>
      <c r="C30" s="385"/>
      <c r="D30" s="385"/>
      <c r="E30" s="385"/>
      <c r="F30" s="385"/>
      <c r="G30" s="385"/>
      <c r="H30" s="385"/>
      <c r="I30" s="385"/>
    </row>
    <row r="31" spans="1:9" ht="15.75" customHeight="1" x14ac:dyDescent="0.25">
      <c r="A31" s="385"/>
      <c r="B31" s="385"/>
      <c r="C31" s="385"/>
      <c r="D31" s="385"/>
      <c r="E31" s="385"/>
      <c r="F31" s="385"/>
      <c r="G31" s="385"/>
      <c r="H31" s="385"/>
      <c r="I31" s="385"/>
    </row>
    <row r="32" spans="1:9" ht="15" customHeight="1" x14ac:dyDescent="0.25">
      <c r="A32" s="385"/>
      <c r="B32" s="385"/>
      <c r="C32" s="385"/>
      <c r="D32" s="385"/>
      <c r="E32" s="385"/>
      <c r="F32" s="385"/>
      <c r="G32" s="385"/>
      <c r="H32" s="385"/>
      <c r="I32" s="385"/>
    </row>
    <row r="33" spans="1:9" ht="15" customHeight="1" x14ac:dyDescent="0.25">
      <c r="A33" s="385"/>
      <c r="B33" s="385"/>
      <c r="C33" s="385"/>
      <c r="D33" s="385"/>
      <c r="E33" s="385"/>
      <c r="F33" s="385"/>
      <c r="G33" s="385"/>
      <c r="H33" s="385"/>
      <c r="I33" s="385"/>
    </row>
    <row r="34" spans="1:9" ht="15" customHeight="1" x14ac:dyDescent="0.25">
      <c r="A34" s="385"/>
      <c r="B34" s="385"/>
      <c r="C34" s="385"/>
      <c r="D34" s="385"/>
      <c r="E34" s="385"/>
      <c r="F34" s="385"/>
      <c r="G34" s="385"/>
      <c r="H34" s="385"/>
      <c r="I34" s="385"/>
    </row>
    <row r="35" spans="1:9" ht="15" customHeight="1" x14ac:dyDescent="0.25">
      <c r="A35" s="385"/>
      <c r="B35" s="385"/>
      <c r="C35" s="385"/>
      <c r="D35" s="385"/>
      <c r="E35" s="385"/>
      <c r="F35" s="385"/>
      <c r="G35" s="385"/>
      <c r="H35" s="385"/>
      <c r="I35" s="385"/>
    </row>
    <row r="36" spans="1:9" ht="15" customHeight="1" x14ac:dyDescent="0.25">
      <c r="A36" s="385"/>
      <c r="B36" s="385"/>
      <c r="C36" s="385"/>
      <c r="D36" s="385"/>
      <c r="E36" s="385"/>
      <c r="F36" s="385"/>
      <c r="G36" s="385"/>
      <c r="H36" s="385"/>
      <c r="I36" s="385"/>
    </row>
    <row r="37" spans="1:9" ht="15" customHeight="1" x14ac:dyDescent="0.25">
      <c r="A37" s="385"/>
      <c r="B37" s="385"/>
      <c r="C37" s="385"/>
      <c r="D37" s="385"/>
      <c r="E37" s="385"/>
      <c r="F37" s="385"/>
      <c r="G37" s="385"/>
      <c r="H37" s="385"/>
      <c r="I37" s="385"/>
    </row>
    <row r="38" spans="1:9" ht="15" customHeight="1" x14ac:dyDescent="0.25">
      <c r="A38" s="385"/>
      <c r="B38" s="385"/>
      <c r="C38" s="385"/>
      <c r="D38" s="385"/>
      <c r="E38" s="385"/>
      <c r="F38" s="385"/>
      <c r="G38" s="385"/>
      <c r="H38" s="385"/>
      <c r="I38" s="385"/>
    </row>
    <row r="39" spans="1:9" ht="15" customHeight="1" x14ac:dyDescent="0.25">
      <c r="A39" s="385"/>
      <c r="B39" s="385"/>
      <c r="C39" s="385"/>
      <c r="D39" s="385"/>
      <c r="E39" s="385"/>
      <c r="F39" s="385"/>
      <c r="G39" s="385"/>
      <c r="H39" s="385"/>
      <c r="I39" s="385"/>
    </row>
    <row r="40" spans="1:9" ht="15" customHeight="1" x14ac:dyDescent="0.25">
      <c r="A40" s="385"/>
      <c r="B40" s="385"/>
      <c r="C40" s="385"/>
      <c r="D40" s="385"/>
      <c r="E40" s="385"/>
      <c r="F40" s="385"/>
      <c r="G40" s="385"/>
      <c r="H40" s="385"/>
      <c r="I40" s="385"/>
    </row>
    <row r="41" spans="1:9" ht="15" customHeight="1" x14ac:dyDescent="0.25">
      <c r="A41" s="385"/>
      <c r="B41" s="385"/>
      <c r="C41" s="385"/>
      <c r="D41" s="385"/>
      <c r="E41" s="385"/>
      <c r="F41" s="385"/>
      <c r="G41" s="385"/>
      <c r="H41" s="385"/>
      <c r="I41" s="385"/>
    </row>
    <row r="42" spans="1:9" ht="15" customHeight="1" x14ac:dyDescent="0.25">
      <c r="A42" s="385"/>
      <c r="B42" s="385"/>
      <c r="C42" s="385"/>
      <c r="D42" s="385"/>
      <c r="E42" s="385"/>
      <c r="F42" s="385"/>
      <c r="G42" s="385"/>
      <c r="H42" s="385"/>
      <c r="I42" s="385"/>
    </row>
    <row r="43" spans="1:9" ht="15" customHeight="1" x14ac:dyDescent="0.25">
      <c r="A43" s="385"/>
      <c r="B43" s="385"/>
      <c r="C43" s="385"/>
      <c r="D43" s="385"/>
      <c r="E43" s="385"/>
      <c r="F43" s="385"/>
      <c r="G43" s="385"/>
      <c r="H43" s="385"/>
      <c r="I43" s="385"/>
    </row>
    <row r="44" spans="1:9" ht="15" customHeight="1" x14ac:dyDescent="0.25">
      <c r="A44" s="385"/>
      <c r="B44" s="385"/>
      <c r="C44" s="385"/>
      <c r="D44" s="385"/>
      <c r="E44" s="385"/>
      <c r="F44" s="385"/>
      <c r="G44" s="385"/>
      <c r="H44" s="385"/>
      <c r="I44" s="385"/>
    </row>
    <row r="45" spans="1:9" ht="15" customHeight="1" x14ac:dyDescent="0.25">
      <c r="A45" s="385"/>
      <c r="B45" s="385"/>
      <c r="C45" s="385"/>
      <c r="D45" s="385"/>
      <c r="E45" s="385"/>
      <c r="F45" s="385"/>
      <c r="G45" s="385"/>
      <c r="H45" s="385"/>
      <c r="I45" s="385"/>
    </row>
    <row r="46" spans="1:9" ht="15" customHeight="1" x14ac:dyDescent="0.25">
      <c r="A46" s="385"/>
      <c r="B46" s="385"/>
      <c r="C46" s="385"/>
      <c r="D46" s="385"/>
      <c r="E46" s="385"/>
      <c r="F46" s="385"/>
      <c r="G46" s="385"/>
      <c r="H46" s="385"/>
      <c r="I46" s="385"/>
    </row>
    <row r="47" spans="1:9" ht="15" customHeight="1" x14ac:dyDescent="0.25">
      <c r="A47" s="385"/>
      <c r="B47" s="385"/>
      <c r="C47" s="385"/>
      <c r="D47" s="385"/>
      <c r="E47" s="385"/>
      <c r="F47" s="385"/>
      <c r="G47" s="385"/>
      <c r="H47" s="385"/>
      <c r="I47" s="385"/>
    </row>
    <row r="48" spans="1:9" ht="15" customHeight="1" x14ac:dyDescent="0.25">
      <c r="C48" s="166"/>
      <c r="D48" s="166"/>
      <c r="E48" s="166"/>
      <c r="F48" s="166"/>
      <c r="G48" s="166"/>
    </row>
    <row r="49" spans="2:7" ht="15" customHeight="1" x14ac:dyDescent="0.25">
      <c r="C49" s="166"/>
      <c r="D49" s="166"/>
      <c r="E49" s="166"/>
      <c r="F49" s="166"/>
      <c r="G49" s="166"/>
    </row>
    <row r="50" spans="2:7" ht="15" customHeight="1" x14ac:dyDescent="0.25">
      <c r="C50" s="166"/>
      <c r="D50" s="166"/>
      <c r="E50" s="166"/>
      <c r="F50" s="166"/>
      <c r="G50" s="166"/>
    </row>
    <row r="51" spans="2:7" ht="15" customHeight="1" x14ac:dyDescent="0.25">
      <c r="C51" s="166"/>
      <c r="D51" s="166"/>
      <c r="E51" s="166"/>
      <c r="F51" s="166"/>
      <c r="G51" s="166"/>
    </row>
    <row r="52" spans="2:7" ht="15" customHeight="1" x14ac:dyDescent="0.25">
      <c r="C52" s="166"/>
      <c r="D52" s="166"/>
      <c r="E52" s="166"/>
      <c r="F52" s="166"/>
      <c r="G52" s="166"/>
    </row>
    <row r="53" spans="2:7" ht="15" customHeight="1" x14ac:dyDescent="0.25">
      <c r="B53" s="164" t="s">
        <v>253</v>
      </c>
      <c r="C53" s="165"/>
      <c r="E53" s="166"/>
      <c r="F53" s="166"/>
      <c r="G53" s="166"/>
    </row>
    <row r="54" spans="2:7" ht="15" customHeight="1" x14ac:dyDescent="0.25">
      <c r="C54" s="166"/>
      <c r="D54" s="166"/>
      <c r="E54" s="166"/>
      <c r="F54" s="166"/>
      <c r="G54" s="166"/>
    </row>
    <row r="55" spans="2:7" ht="18.75" x14ac:dyDescent="0.25">
      <c r="B55" s="386" t="s">
        <v>254</v>
      </c>
      <c r="C55" s="386"/>
      <c r="D55" s="166"/>
      <c r="E55" s="166"/>
      <c r="F55" s="167" t="s">
        <v>255</v>
      </c>
      <c r="G55" s="166"/>
    </row>
    <row r="56" spans="2:7" ht="15" customHeight="1" x14ac:dyDescent="0.25">
      <c r="B56" s="385" t="s">
        <v>256</v>
      </c>
      <c r="C56" s="385"/>
      <c r="D56" s="158" t="s">
        <v>355</v>
      </c>
      <c r="E56" s="166"/>
      <c r="F56" s="166" t="s">
        <v>258</v>
      </c>
      <c r="G56" s="166" t="s">
        <v>356</v>
      </c>
    </row>
    <row r="57" spans="2:7" ht="15" customHeight="1" x14ac:dyDescent="0.25">
      <c r="B57" s="385" t="s">
        <v>259</v>
      </c>
      <c r="C57" s="385"/>
      <c r="D57" s="158" t="s">
        <v>357</v>
      </c>
      <c r="E57" s="166"/>
      <c r="F57" s="166" t="s">
        <v>261</v>
      </c>
      <c r="G57" s="166" t="s">
        <v>358</v>
      </c>
    </row>
    <row r="58" spans="2:7" ht="15" customHeight="1" x14ac:dyDescent="0.25">
      <c r="B58" s="385" t="s">
        <v>262</v>
      </c>
      <c r="C58" s="385"/>
      <c r="D58" s="158" t="s">
        <v>359</v>
      </c>
      <c r="E58" s="166"/>
      <c r="F58" s="166" t="s">
        <v>264</v>
      </c>
      <c r="G58" s="166" t="s">
        <v>360</v>
      </c>
    </row>
    <row r="59" spans="2:7" ht="15" customHeight="1" x14ac:dyDescent="0.25">
      <c r="B59" s="385" t="s">
        <v>265</v>
      </c>
      <c r="C59" s="385"/>
      <c r="D59" s="158" t="s">
        <v>361</v>
      </c>
      <c r="E59" s="166"/>
      <c r="F59" s="166"/>
      <c r="G59" s="166"/>
    </row>
    <row r="60" spans="2:7" ht="15" customHeight="1" x14ac:dyDescent="0.25">
      <c r="B60" s="385" t="s">
        <v>266</v>
      </c>
      <c r="C60" s="385"/>
      <c r="D60" s="168">
        <v>42634</v>
      </c>
      <c r="E60" s="166"/>
      <c r="F60" s="166"/>
      <c r="G60" s="166"/>
    </row>
    <row r="61" spans="2:7" ht="15" customHeight="1" x14ac:dyDescent="0.25">
      <c r="B61" s="385" t="s">
        <v>267</v>
      </c>
      <c r="C61" s="385"/>
      <c r="D61" s="158" t="s">
        <v>362</v>
      </c>
      <c r="E61" s="166"/>
      <c r="F61" s="166"/>
      <c r="G61" s="166"/>
    </row>
    <row r="62" spans="2:7" ht="15" customHeight="1" x14ac:dyDescent="0.25">
      <c r="B62" s="385" t="s">
        <v>269</v>
      </c>
      <c r="C62" s="385"/>
      <c r="D62" s="158" t="s">
        <v>270</v>
      </c>
      <c r="E62" s="166"/>
      <c r="F62" s="166"/>
      <c r="G62" s="166"/>
    </row>
    <row r="63" spans="2:7" ht="15" customHeight="1" x14ac:dyDescent="0.25">
      <c r="B63" s="385" t="s">
        <v>271</v>
      </c>
      <c r="C63" s="385"/>
      <c r="D63" s="158" t="s">
        <v>363</v>
      </c>
      <c r="E63" s="166"/>
      <c r="F63" s="166"/>
      <c r="G63" s="166"/>
    </row>
    <row r="64" spans="2:7" ht="15" customHeight="1" x14ac:dyDescent="0.25">
      <c r="D64" s="166"/>
      <c r="E64" s="166"/>
      <c r="F64" s="166"/>
      <c r="G64" s="166"/>
    </row>
    <row r="65" spans="2:7" ht="15" customHeight="1" x14ac:dyDescent="0.25">
      <c r="B65" s="166"/>
      <c r="C65" s="166"/>
      <c r="D65" s="166"/>
      <c r="E65" s="166"/>
      <c r="F65" s="166"/>
      <c r="G65" s="166"/>
    </row>
    <row r="66" spans="2:7" ht="15" customHeight="1" x14ac:dyDescent="0.25">
      <c r="B66" s="166"/>
      <c r="C66" s="166"/>
      <c r="D66" s="166"/>
      <c r="E66" s="166"/>
      <c r="F66" s="166"/>
      <c r="G66" s="166"/>
    </row>
    <row r="67" spans="2:7" ht="15" customHeight="1" x14ac:dyDescent="0.25">
      <c r="B67" s="166"/>
      <c r="C67" s="166"/>
      <c r="D67" s="166"/>
      <c r="E67" s="166"/>
      <c r="F67" s="166"/>
      <c r="G67" s="166"/>
    </row>
    <row r="68" spans="2:7" ht="15" customHeight="1" x14ac:dyDescent="0.25">
      <c r="B68" s="166"/>
      <c r="C68" s="166"/>
      <c r="D68" s="166"/>
      <c r="E68" s="166"/>
      <c r="F68" s="166"/>
      <c r="G68" s="166"/>
    </row>
    <row r="69" spans="2:7" ht="15" customHeight="1" x14ac:dyDescent="0.25">
      <c r="C69" s="158"/>
      <c r="D69" s="158"/>
      <c r="E69" s="166"/>
      <c r="F69" s="158"/>
      <c r="G69" s="158"/>
    </row>
    <row r="70" spans="2:7" ht="18.75" x14ac:dyDescent="0.25">
      <c r="B70" s="228" t="s">
        <v>272</v>
      </c>
    </row>
    <row r="72" spans="2:7" ht="15" customHeight="1" x14ac:dyDescent="0.25">
      <c r="B72" s="89" t="s">
        <v>364</v>
      </c>
      <c r="D72" s="229"/>
      <c r="E72" s="229"/>
    </row>
    <row r="73" spans="2:7" x14ac:dyDescent="0.25">
      <c r="C73" s="230" t="s">
        <v>365</v>
      </c>
      <c r="D73" s="170" t="str">
        <f>Mesures_Four!C53</f>
        <v>JO1854/1C</v>
      </c>
      <c r="E73" s="171">
        <f>Mesures_Four!E53</f>
        <v>42901</v>
      </c>
    </row>
    <row r="74" spans="2:7" x14ac:dyDescent="0.25">
      <c r="C74" s="169" t="s">
        <v>366</v>
      </c>
      <c r="D74" s="170" t="str">
        <f>Mesures_Four!C54</f>
        <v>CF26299-A-001</v>
      </c>
      <c r="E74" s="171">
        <f>Mesures_Four!E54</f>
        <v>44785</v>
      </c>
    </row>
    <row r="75" spans="2:7" x14ac:dyDescent="0.25">
      <c r="C75" s="169" t="s">
        <v>273</v>
      </c>
      <c r="D75" s="170" t="str">
        <f>Mesures_Four!C55</f>
        <v>CF27160-A-001</v>
      </c>
      <c r="E75" s="171">
        <f>Mesures_Four!E55</f>
        <v>44865</v>
      </c>
    </row>
    <row r="76" spans="2:7" x14ac:dyDescent="0.25">
      <c r="C76" s="89"/>
      <c r="D76" s="89"/>
      <c r="E76" s="89"/>
    </row>
    <row r="77" spans="2:7" x14ac:dyDescent="0.25">
      <c r="B77" s="89" t="s">
        <v>367</v>
      </c>
      <c r="D77" s="89"/>
      <c r="E77" s="89"/>
    </row>
    <row r="78" spans="2:7" x14ac:dyDescent="0.25">
      <c r="C78" s="89"/>
      <c r="D78" s="89"/>
      <c r="E78" s="89"/>
    </row>
    <row r="79" spans="2:7" x14ac:dyDescent="0.25">
      <c r="C79" s="89"/>
      <c r="D79" s="89"/>
      <c r="E79" s="89"/>
    </row>
    <row r="80" spans="2:7" x14ac:dyDescent="0.25">
      <c r="B80" s="172" t="s">
        <v>275</v>
      </c>
      <c r="D80" s="89"/>
      <c r="E80" s="89"/>
    </row>
    <row r="81" spans="2:5" x14ac:dyDescent="0.25">
      <c r="B81" s="173" t="s">
        <v>276</v>
      </c>
      <c r="C81" s="173">
        <v>1500</v>
      </c>
      <c r="D81" s="89"/>
      <c r="E81" s="89"/>
    </row>
    <row r="82" spans="2:5" x14ac:dyDescent="0.25">
      <c r="B82" s="173" t="s">
        <v>277</v>
      </c>
      <c r="C82" s="174">
        <v>1500</v>
      </c>
      <c r="D82" s="89"/>
      <c r="E82" s="89"/>
    </row>
    <row r="83" spans="2:5" x14ac:dyDescent="0.25">
      <c r="B83" s="173" t="s">
        <v>278</v>
      </c>
      <c r="C83" s="173">
        <v>3500</v>
      </c>
      <c r="D83" s="89"/>
      <c r="E83" s="89"/>
    </row>
    <row r="84" spans="2:5" x14ac:dyDescent="0.25">
      <c r="B84" s="174" t="s">
        <v>279</v>
      </c>
      <c r="C84" s="173">
        <f>+C81*C82*C83*10^-6</f>
        <v>7875</v>
      </c>
      <c r="D84" s="89"/>
      <c r="E84" s="89"/>
    </row>
    <row r="85" spans="2:5" x14ac:dyDescent="0.25">
      <c r="B85" s="89"/>
      <c r="D85" s="89"/>
      <c r="E85" s="89"/>
    </row>
    <row r="86" spans="2:5" x14ac:dyDescent="0.25">
      <c r="B86" s="172" t="s">
        <v>280</v>
      </c>
      <c r="D86" s="89"/>
      <c r="E86" s="89"/>
    </row>
    <row r="87" spans="2:5" x14ac:dyDescent="0.25">
      <c r="B87" s="173" t="s">
        <v>276</v>
      </c>
      <c r="C87" s="173">
        <v>1100</v>
      </c>
      <c r="D87" s="89"/>
      <c r="E87" s="89"/>
    </row>
    <row r="88" spans="2:5" x14ac:dyDescent="0.25">
      <c r="B88" s="173" t="s">
        <v>277</v>
      </c>
      <c r="C88" s="173">
        <v>1100</v>
      </c>
      <c r="D88" s="89"/>
      <c r="E88" s="89"/>
    </row>
    <row r="89" spans="2:5" x14ac:dyDescent="0.25">
      <c r="B89" s="173" t="s">
        <v>278</v>
      </c>
      <c r="C89" s="173">
        <v>3400</v>
      </c>
      <c r="D89" s="89"/>
      <c r="E89" s="89"/>
    </row>
    <row r="90" spans="2:5" x14ac:dyDescent="0.25">
      <c r="B90" s="174" t="s">
        <v>279</v>
      </c>
      <c r="C90" s="173">
        <f>+C87*C88*C89*10^-6</f>
        <v>4114</v>
      </c>
      <c r="D90" s="89"/>
      <c r="E90" s="89"/>
    </row>
    <row r="91" spans="2:5" x14ac:dyDescent="0.25">
      <c r="C91" s="89"/>
      <c r="D91" s="89"/>
      <c r="E91" s="89"/>
    </row>
    <row r="92" spans="2:5" x14ac:dyDescent="0.25">
      <c r="C92" s="89"/>
    </row>
    <row r="93" spans="2:5" x14ac:dyDescent="0.25">
      <c r="C93" s="89"/>
    </row>
    <row r="94" spans="2:5" x14ac:dyDescent="0.25">
      <c r="C94" s="89"/>
    </row>
    <row r="98" spans="2:9" ht="18.75" x14ac:dyDescent="0.3">
      <c r="B98" s="231" t="s">
        <v>368</v>
      </c>
    </row>
    <row r="100" spans="2:9" ht="18.75" x14ac:dyDescent="0.3">
      <c r="C100" s="232" t="s">
        <v>369</v>
      </c>
      <c r="F100" s="232" t="s">
        <v>370</v>
      </c>
    </row>
    <row r="102" spans="2:9" x14ac:dyDescent="0.25">
      <c r="C102" s="233" t="s">
        <v>256</v>
      </c>
      <c r="D102" s="99" t="s">
        <v>371</v>
      </c>
      <c r="E102" s="99"/>
      <c r="F102" s="234" t="s">
        <v>372</v>
      </c>
      <c r="G102" s="99" t="s">
        <v>373</v>
      </c>
    </row>
    <row r="103" spans="2:9" x14ac:dyDescent="0.25">
      <c r="C103" s="233" t="s">
        <v>374</v>
      </c>
      <c r="D103" s="235" t="s">
        <v>375</v>
      </c>
      <c r="E103" s="99"/>
      <c r="F103" s="234" t="s">
        <v>376</v>
      </c>
      <c r="G103" s="99" t="s">
        <v>183</v>
      </c>
    </row>
    <row r="104" spans="2:9" x14ac:dyDescent="0.25">
      <c r="C104" s="233" t="s">
        <v>377</v>
      </c>
      <c r="D104" s="99" t="s">
        <v>378</v>
      </c>
      <c r="E104" s="99"/>
      <c r="F104" s="234" t="s">
        <v>379</v>
      </c>
      <c r="G104" s="236" t="str">
        <f>IF(+Mesures_Four!C16&lt;&gt;"",Mesures_Four!C16,"")</f>
        <v>PL1707000191-0817-PL3 Z19</v>
      </c>
    </row>
    <row r="105" spans="2:9" x14ac:dyDescent="0.25">
      <c r="C105" s="237" t="s">
        <v>380</v>
      </c>
      <c r="D105" s="99">
        <v>9</v>
      </c>
      <c r="F105" s="234" t="s">
        <v>381</v>
      </c>
      <c r="G105" s="238" t="str">
        <f>IF(+Mesures_Four!D16&lt;&gt;"",Mesures_Four!D16,"CC MANQUANT")</f>
        <v>20232711</v>
      </c>
    </row>
    <row r="106" spans="2:9" x14ac:dyDescent="0.25">
      <c r="C106" s="233" t="s">
        <v>262</v>
      </c>
      <c r="D106" s="99" t="s">
        <v>382</v>
      </c>
      <c r="E106" s="99" t="str">
        <f>IF(+Mesures_Four!C18&lt;&gt;"","sonde TUS deuxième lot","")</f>
        <v/>
      </c>
      <c r="F106" s="234" t="s">
        <v>383</v>
      </c>
      <c r="G106" s="239" t="str">
        <f>IF(+Mesures_Four!E16&lt;&gt;"",Mesures_Four!E16,"")</f>
        <v>27/11/2023</v>
      </c>
    </row>
    <row r="107" spans="2:9" x14ac:dyDescent="0.25">
      <c r="C107" s="233" t="s">
        <v>384</v>
      </c>
      <c r="D107" s="226" t="str">
        <f>IF(+Mesures_Four!C17&lt;&gt;"",Mesures_Four!C17,"N°SERIE MANQUANT")</f>
        <v>CF31726-A-01 à 09</v>
      </c>
      <c r="E107" s="226" t="str">
        <f>IF(+Mesures_Four!C18&lt;&gt;"",Mesures_Four!C18,"")</f>
        <v/>
      </c>
      <c r="F107" s="234" t="s">
        <v>385</v>
      </c>
      <c r="G107" s="99">
        <v>3</v>
      </c>
      <c r="I107" s="108"/>
    </row>
    <row r="108" spans="2:9" x14ac:dyDescent="0.25">
      <c r="C108" s="233" t="s">
        <v>381</v>
      </c>
      <c r="D108" s="238" t="str">
        <f>IF(+Mesures_Four!D17&lt;&gt;"",Mesures_Four!D17,"CC MANQUANT")</f>
        <v>23-1230-001</v>
      </c>
      <c r="E108" s="238" t="str">
        <f>IF(+Mesures_Four!D18&lt;&gt;"",Mesures_Four!D18,"")</f>
        <v/>
      </c>
      <c r="F108" s="240" t="s">
        <v>386</v>
      </c>
      <c r="G108" s="241">
        <f>+IF(G106&lt;&gt;"",EDATE(G106,G107),"")</f>
        <v>45349</v>
      </c>
    </row>
    <row r="109" spans="2:9" x14ac:dyDescent="0.25">
      <c r="C109" s="233" t="s">
        <v>383</v>
      </c>
      <c r="D109" s="239" t="str">
        <f>IF(+Mesures_Four!E17&lt;&gt;"",Mesures_Four!E17,"")</f>
        <v>29/09/2023</v>
      </c>
      <c r="E109" s="239" t="str">
        <f>IF(+Mesures_Four!E18&lt;&gt;"",Mesures_Four!E18,"")</f>
        <v/>
      </c>
    </row>
    <row r="110" spans="2:9" x14ac:dyDescent="0.25">
      <c r="C110" s="233" t="s">
        <v>387</v>
      </c>
      <c r="D110" s="239" t="str">
        <f>IF(+Mesures_Four!F17&lt;&gt;"",Mesures_Four!F17,"")</f>
        <v>06/02/2024</v>
      </c>
      <c r="E110" s="239" t="str">
        <f>IF(+Mesures_Four!F18&lt;&gt;"",Mesures_Four!F18,"")</f>
        <v/>
      </c>
    </row>
    <row r="111" spans="2:9" x14ac:dyDescent="0.25">
      <c r="C111" s="233" t="s">
        <v>388</v>
      </c>
      <c r="D111" s="99">
        <v>3</v>
      </c>
      <c r="E111" s="99" t="str">
        <f>IF(+Mesures_Four!C18&lt;&gt;"","3","")</f>
        <v/>
      </c>
    </row>
    <row r="112" spans="2:9" x14ac:dyDescent="0.25">
      <c r="C112" s="233" t="s">
        <v>389</v>
      </c>
      <c r="D112" s="241">
        <f>IF(D110&lt;&gt;"",EDATE(D110,D111),"")</f>
        <v>45418</v>
      </c>
      <c r="E112" s="241" t="str">
        <f>IF(E110&lt;&gt;"",EDATE(E110,E111),"")</f>
        <v/>
      </c>
    </row>
    <row r="113" spans="2:8" x14ac:dyDescent="0.25">
      <c r="C113" s="233"/>
    </row>
    <row r="114" spans="2:8" x14ac:dyDescent="0.25">
      <c r="E114" s="242"/>
      <c r="F114" s="242"/>
      <c r="G114" s="242"/>
    </row>
    <row r="115" spans="2:8" x14ac:dyDescent="0.25">
      <c r="B115" s="243" t="s">
        <v>390</v>
      </c>
      <c r="D115" s="242"/>
      <c r="E115" s="242"/>
      <c r="F115" s="242"/>
      <c r="G115" s="242"/>
    </row>
    <row r="116" spans="2:8" x14ac:dyDescent="0.25">
      <c r="B116" s="387" t="str">
        <f>IF(+Mesures_Four!B58&lt;&gt;"",Mesures_Four!B58,"")</f>
        <v/>
      </c>
      <c r="C116" s="387"/>
      <c r="D116" s="387"/>
      <c r="E116" s="387"/>
      <c r="F116" s="387"/>
      <c r="G116" s="387"/>
      <c r="H116" s="387"/>
    </row>
    <row r="117" spans="2:8" x14ac:dyDescent="0.25">
      <c r="B117" s="387"/>
      <c r="C117" s="387"/>
      <c r="D117" s="387"/>
      <c r="E117" s="387"/>
      <c r="F117" s="387"/>
      <c r="G117" s="387"/>
      <c r="H117" s="387"/>
    </row>
    <row r="119" spans="2:8" ht="18.75" customHeight="1" x14ac:dyDescent="0.3">
      <c r="B119" s="231" t="s">
        <v>391</v>
      </c>
    </row>
    <row r="120" spans="2:8" ht="15" customHeight="1" x14ac:dyDescent="0.25"/>
    <row r="121" spans="2:8" ht="15" customHeight="1" x14ac:dyDescent="0.25">
      <c r="B121" s="388" t="s">
        <v>392</v>
      </c>
      <c r="C121" s="388"/>
      <c r="D121" s="388"/>
      <c r="E121" s="388"/>
      <c r="F121" s="388"/>
      <c r="G121" s="388"/>
      <c r="H121" s="388"/>
    </row>
    <row r="122" spans="2:8" ht="15" customHeight="1" x14ac:dyDescent="0.25">
      <c r="B122" s="388"/>
      <c r="C122" s="388"/>
      <c r="D122" s="388"/>
      <c r="E122" s="388"/>
      <c r="F122" s="388"/>
      <c r="G122" s="388"/>
      <c r="H122" s="388"/>
    </row>
    <row r="123" spans="2:8" ht="15" customHeight="1" x14ac:dyDescent="0.25">
      <c r="B123" s="388"/>
      <c r="C123" s="388"/>
      <c r="D123" s="388"/>
      <c r="E123" s="388"/>
      <c r="F123" s="388"/>
      <c r="G123" s="388"/>
      <c r="H123" s="388"/>
    </row>
    <row r="124" spans="2:8" ht="15" customHeight="1" x14ac:dyDescent="0.25">
      <c r="B124" s="388"/>
      <c r="C124" s="388"/>
      <c r="D124" s="388"/>
      <c r="E124" s="388"/>
      <c r="F124" s="388"/>
      <c r="G124" s="388"/>
      <c r="H124" s="388"/>
    </row>
    <row r="125" spans="2:8" ht="15" customHeight="1" x14ac:dyDescent="0.25">
      <c r="B125" s="388"/>
      <c r="C125" s="388"/>
      <c r="D125" s="388"/>
      <c r="E125" s="388"/>
      <c r="F125" s="388"/>
      <c r="G125" s="388"/>
      <c r="H125" s="388"/>
    </row>
    <row r="126" spans="2:8" ht="15" customHeight="1" x14ac:dyDescent="0.25">
      <c r="B126" s="388"/>
      <c r="C126" s="388"/>
      <c r="D126" s="388"/>
      <c r="E126" s="388"/>
      <c r="F126" s="388"/>
      <c r="G126" s="388"/>
      <c r="H126" s="388"/>
    </row>
    <row r="127" spans="2:8" ht="15" customHeight="1" x14ac:dyDescent="0.25">
      <c r="B127" s="388"/>
      <c r="C127" s="388"/>
      <c r="D127" s="388"/>
      <c r="E127" s="388"/>
      <c r="F127" s="388"/>
      <c r="G127" s="388"/>
      <c r="H127" s="388"/>
    </row>
    <row r="128" spans="2:8" ht="15" customHeight="1" x14ac:dyDescent="0.25">
      <c r="B128" s="388"/>
      <c r="C128" s="388"/>
      <c r="D128" s="388"/>
      <c r="E128" s="388"/>
      <c r="F128" s="388"/>
      <c r="G128" s="388"/>
      <c r="H128" s="388"/>
    </row>
    <row r="129" spans="2:8" ht="15" customHeight="1" x14ac:dyDescent="0.25">
      <c r="B129" s="388"/>
      <c r="C129" s="388"/>
      <c r="D129" s="388"/>
      <c r="E129" s="388"/>
      <c r="F129" s="388"/>
      <c r="G129" s="388"/>
      <c r="H129" s="388"/>
    </row>
    <row r="130" spans="2:8" ht="15" customHeight="1" x14ac:dyDescent="0.25">
      <c r="B130" s="388"/>
      <c r="C130" s="388"/>
      <c r="D130" s="388"/>
      <c r="E130" s="388"/>
      <c r="F130" s="388"/>
      <c r="G130" s="388"/>
      <c r="H130" s="388"/>
    </row>
    <row r="131" spans="2:8" ht="15" customHeight="1" x14ac:dyDescent="0.25">
      <c r="B131" s="388"/>
      <c r="C131" s="388"/>
      <c r="D131" s="388"/>
      <c r="E131" s="388"/>
      <c r="F131" s="388"/>
      <c r="G131" s="388"/>
      <c r="H131" s="388"/>
    </row>
    <row r="132" spans="2:8" ht="15" customHeight="1" x14ac:dyDescent="0.25">
      <c r="B132" s="388"/>
      <c r="C132" s="388"/>
      <c r="D132" s="388"/>
      <c r="E132" s="388"/>
      <c r="F132" s="388"/>
      <c r="G132" s="388"/>
      <c r="H132" s="388"/>
    </row>
    <row r="133" spans="2:8" ht="15" customHeight="1" x14ac:dyDescent="0.25">
      <c r="B133" s="388"/>
      <c r="C133" s="388"/>
      <c r="D133" s="388"/>
      <c r="E133" s="388"/>
      <c r="F133" s="388"/>
      <c r="G133" s="388"/>
      <c r="H133" s="388"/>
    </row>
    <row r="134" spans="2:8" ht="15" customHeight="1" x14ac:dyDescent="0.25">
      <c r="B134" s="388"/>
      <c r="C134" s="388"/>
      <c r="D134" s="388"/>
      <c r="E134" s="388"/>
      <c r="F134" s="388"/>
      <c r="G134" s="388"/>
      <c r="H134" s="388"/>
    </row>
    <row r="135" spans="2:8" ht="15" customHeight="1" x14ac:dyDescent="0.25">
      <c r="B135" s="388"/>
      <c r="C135" s="388"/>
      <c r="D135" s="388"/>
      <c r="E135" s="388"/>
      <c r="F135" s="388"/>
      <c r="G135" s="388"/>
      <c r="H135" s="388"/>
    </row>
    <row r="136" spans="2:8" ht="15" customHeight="1" x14ac:dyDescent="0.25">
      <c r="B136" s="244"/>
      <c r="C136" s="244"/>
      <c r="D136" s="244"/>
      <c r="E136" s="244"/>
      <c r="F136" s="244"/>
      <c r="G136" s="244"/>
      <c r="H136" s="244"/>
    </row>
    <row r="137" spans="2:8" ht="15" customHeight="1" x14ac:dyDescent="0.25">
      <c r="B137" s="244"/>
      <c r="C137" s="244"/>
      <c r="D137" s="244"/>
      <c r="E137" s="244"/>
      <c r="F137" s="244"/>
      <c r="G137" s="244"/>
      <c r="H137" s="244"/>
    </row>
    <row r="138" spans="2:8" x14ac:dyDescent="0.25">
      <c r="C138" s="229"/>
      <c r="D138" s="229"/>
      <c r="E138" s="229"/>
      <c r="F138" s="229"/>
      <c r="G138" s="229"/>
    </row>
    <row r="142" spans="2:8" ht="18.75" x14ac:dyDescent="0.3">
      <c r="B142" s="231" t="s">
        <v>393</v>
      </c>
    </row>
    <row r="146" spans="2:4" x14ac:dyDescent="0.25">
      <c r="B146" s="35" t="s">
        <v>394</v>
      </c>
      <c r="C146" s="245" t="s">
        <v>395</v>
      </c>
      <c r="D146" s="245" t="s">
        <v>396</v>
      </c>
    </row>
    <row r="147" spans="2:4" x14ac:dyDescent="0.25">
      <c r="B147" s="35" t="str">
        <f>SUBSTITUTE(Mesures_Four!A28,"Emplacement ","")</f>
        <v>1</v>
      </c>
      <c r="C147" s="318" t="str">
        <f>Mesures_Four!B28</f>
        <v>1</v>
      </c>
      <c r="D147" s="319" t="str">
        <f>Mesures_Four!C28</f>
        <v>1</v>
      </c>
    </row>
    <row r="148" spans="2:4" x14ac:dyDescent="0.25">
      <c r="B148" s="35" t="str">
        <f>SUBSTITUTE(Mesures_Four!A29,"Emplacement ","")</f>
        <v>2</v>
      </c>
      <c r="C148" s="318" t="str">
        <f>Mesures_Four!B29</f>
        <v>2</v>
      </c>
      <c r="D148" s="319" t="str">
        <f>Mesures_Four!C29</f>
        <v>2</v>
      </c>
    </row>
    <row r="149" spans="2:4" x14ac:dyDescent="0.25">
      <c r="B149" s="35" t="str">
        <f>SUBSTITUTE(Mesures_Four!A30,"Emplacement ","")</f>
        <v>3</v>
      </c>
      <c r="C149" s="318" t="str">
        <f>Mesures_Four!B30</f>
        <v>3</v>
      </c>
      <c r="D149" s="319" t="str">
        <f>Mesures_Four!C30</f>
        <v>3</v>
      </c>
    </row>
    <row r="150" spans="2:4" x14ac:dyDescent="0.25">
      <c r="B150" s="35" t="str">
        <f>SUBSTITUTE(Mesures_Four!A31,"Emplacement ","")</f>
        <v>4</v>
      </c>
      <c r="C150" s="318" t="str">
        <f>Mesures_Four!B31</f>
        <v>4</v>
      </c>
      <c r="D150" s="319" t="str">
        <f>Mesures_Four!C31</f>
        <v>4</v>
      </c>
    </row>
    <row r="151" spans="2:4" x14ac:dyDescent="0.25">
      <c r="B151" s="35" t="str">
        <f>SUBSTITUTE(Mesures_Four!A32,"Emplacement ","")</f>
        <v>5</v>
      </c>
      <c r="C151" s="318" t="str">
        <f>Mesures_Four!B32</f>
        <v>5</v>
      </c>
      <c r="D151" s="319" t="str">
        <f>Mesures_Four!C32</f>
        <v>5</v>
      </c>
    </row>
    <row r="152" spans="2:4" x14ac:dyDescent="0.25">
      <c r="B152" s="35" t="str">
        <f>SUBSTITUTE(Mesures_Four!A33,"Emplacement ","")</f>
        <v>6</v>
      </c>
      <c r="C152" s="318" t="str">
        <f>Mesures_Four!B33</f>
        <v>6</v>
      </c>
      <c r="D152" s="319" t="str">
        <f>Mesures_Four!C33</f>
        <v>6</v>
      </c>
    </row>
    <row r="153" spans="2:4" x14ac:dyDescent="0.25">
      <c r="B153" s="35" t="str">
        <f>SUBSTITUTE(Mesures_Four!A34,"Emplacement ","")</f>
        <v>7</v>
      </c>
      <c r="C153" s="318" t="str">
        <f>Mesures_Four!B34</f>
        <v>7</v>
      </c>
      <c r="D153" s="319" t="str">
        <f>Mesures_Four!C34</f>
        <v>7</v>
      </c>
    </row>
    <row r="154" spans="2:4" x14ac:dyDescent="0.25">
      <c r="B154" s="35" t="str">
        <f>SUBSTITUTE(Mesures_Four!A35,"Emplacement ","")</f>
        <v>8</v>
      </c>
      <c r="C154" s="318" t="str">
        <f>Mesures_Four!B35</f>
        <v>8</v>
      </c>
      <c r="D154" s="319" t="str">
        <f>Mesures_Four!C35</f>
        <v>8</v>
      </c>
    </row>
    <row r="155" spans="2:4" x14ac:dyDescent="0.25">
      <c r="B155" s="35" t="str">
        <f>SUBSTITUTE(Mesures_Four!A36,"Emplacement ","")</f>
        <v>9</v>
      </c>
      <c r="C155" s="318" t="str">
        <f>Mesures_Four!B36</f>
        <v>9</v>
      </c>
      <c r="D155" s="319" t="str">
        <f>Mesures_Four!C36</f>
        <v>9</v>
      </c>
    </row>
    <row r="178" spans="2:6" ht="18.75" x14ac:dyDescent="0.3">
      <c r="B178" s="231" t="str">
        <f>_xlfn.CONCAT("6- Résultats et exploitations des résultats à ",B181)</f>
        <v>6- Résultats et exploitations des résultats à 80°C</v>
      </c>
    </row>
    <row r="180" spans="2:6" x14ac:dyDescent="0.25">
      <c r="B180" s="246" t="s">
        <v>241</v>
      </c>
      <c r="C180" s="246" t="s">
        <v>397</v>
      </c>
      <c r="E180" s="246" t="s">
        <v>398</v>
      </c>
      <c r="F180" s="246" t="s">
        <v>399</v>
      </c>
    </row>
    <row r="181" spans="2:6" x14ac:dyDescent="0.25">
      <c r="B181" s="247" t="str">
        <f>Mesures_Four!D27</f>
        <v>80°C</v>
      </c>
      <c r="C181" s="248" t="str">
        <f>_xlfn.CONCAT("± ",Mesures_Four!F21,"°C")</f>
        <v>± 3°C</v>
      </c>
      <c r="E181" s="247" t="s">
        <v>400</v>
      </c>
      <c r="F181" s="130">
        <f>Mesures_Four!C21</f>
        <v>-0.6</v>
      </c>
    </row>
    <row r="182" spans="2:6" x14ac:dyDescent="0.25">
      <c r="E182" s="247" t="s">
        <v>401</v>
      </c>
      <c r="F182" s="130">
        <f>Mesures_Four!D21</f>
        <v>-0.27</v>
      </c>
    </row>
    <row r="183" spans="2:6" x14ac:dyDescent="0.25">
      <c r="B183" s="246" t="s">
        <v>402</v>
      </c>
      <c r="C183" s="246" t="s">
        <v>403</v>
      </c>
      <c r="E183" s="247" t="s">
        <v>404</v>
      </c>
      <c r="F183" s="130">
        <f>Mesures_Four!E21</f>
        <v>0.5</v>
      </c>
    </row>
    <row r="184" spans="2:6" x14ac:dyDescent="0.25">
      <c r="B184" s="249" t="str">
        <f>INDEX(tab_four80[Date/Heure],1)</f>
        <v>13/02/2024  00:00</v>
      </c>
      <c r="C184" s="249" t="str">
        <f ca="1">OFFSET(INDEX(tab_four80[Date/Heure],1),COUNTA(tab_four80[Date/Heure])+COUNTBLANK(tab_four80[Date/Heure])-1,0,1)</f>
        <v>13/02/2024  02:59</v>
      </c>
    </row>
    <row r="186" spans="2:6" ht="18.75" x14ac:dyDescent="0.3">
      <c r="B186" s="231" t="s">
        <v>405</v>
      </c>
    </row>
    <row r="188" spans="2:6" x14ac:dyDescent="0.25">
      <c r="C188" s="246" t="s">
        <v>406</v>
      </c>
      <c r="D188" s="246" t="s">
        <v>407</v>
      </c>
      <c r="E188" s="246" t="s">
        <v>408</v>
      </c>
      <c r="F188" s="246" t="s">
        <v>409</v>
      </c>
    </row>
    <row r="189" spans="2:6" x14ac:dyDescent="0.25">
      <c r="C189" s="247" t="s">
        <v>410</v>
      </c>
      <c r="D189" s="250">
        <f ca="1">'80°C'!AB362</f>
        <v>80.099999999999994</v>
      </c>
      <c r="E189" s="250">
        <f ca="1">'80°C'!AB363</f>
        <v>80</v>
      </c>
      <c r="F189" s="250">
        <f ca="1">'80°C'!AB364</f>
        <v>80.03</v>
      </c>
    </row>
    <row r="190" spans="2:6" x14ac:dyDescent="0.25">
      <c r="C190" s="247" t="s">
        <v>411</v>
      </c>
      <c r="D190" s="250">
        <f ca="1">'80°C'!AC362</f>
        <v>81.599999999999994</v>
      </c>
      <c r="E190" s="250">
        <f ca="1">'80°C'!AC363</f>
        <v>81.400000000000006</v>
      </c>
      <c r="F190" s="250">
        <f ca="1">'80°C'!AC364</f>
        <v>81.510000000000005</v>
      </c>
    </row>
    <row r="191" spans="2:6" x14ac:dyDescent="0.25">
      <c r="C191" s="247" t="s">
        <v>412</v>
      </c>
      <c r="D191" s="250">
        <f ca="1">'80°C'!AA362</f>
        <v>80.2</v>
      </c>
      <c r="E191" s="250">
        <f ca="1">'80°C'!AA363</f>
        <v>79.900000000000006</v>
      </c>
      <c r="F191" s="250">
        <f ca="1">'80°C'!AA364</f>
        <v>80.053333333333327</v>
      </c>
    </row>
    <row r="193" spans="2:5" ht="18.75" x14ac:dyDescent="0.3">
      <c r="B193" s="231" t="s">
        <v>413</v>
      </c>
    </row>
    <row r="195" spans="2:5" x14ac:dyDescent="0.25">
      <c r="B195" s="389" t="s">
        <v>301</v>
      </c>
      <c r="C195" s="389"/>
      <c r="D195" s="246" t="s">
        <v>414</v>
      </c>
      <c r="E195" s="246" t="s">
        <v>415</v>
      </c>
    </row>
    <row r="196" spans="2:5" x14ac:dyDescent="0.25">
      <c r="B196" s="390" t="s">
        <v>416</v>
      </c>
      <c r="C196" s="390"/>
      <c r="D196" s="251" t="str">
        <f>B181</f>
        <v>80°C</v>
      </c>
      <c r="E196" s="251" t="s">
        <v>201</v>
      </c>
    </row>
    <row r="197" spans="2:5" x14ac:dyDescent="0.25">
      <c r="B197" s="390" t="s">
        <v>202</v>
      </c>
      <c r="C197" s="390"/>
      <c r="D197" s="251" t="str">
        <f>B181</f>
        <v>80°C</v>
      </c>
      <c r="E197" s="251" t="s">
        <v>201</v>
      </c>
    </row>
    <row r="198" spans="2:5" x14ac:dyDescent="0.25">
      <c r="B198" s="390" t="s">
        <v>417</v>
      </c>
      <c r="C198" s="390"/>
      <c r="D198" s="250">
        <f>'80°C'!W189</f>
        <v>83.38</v>
      </c>
      <c r="E198" s="252" t="str">
        <f>VLOOKUP(SUBSTITUTE(HLOOKUP(D198,'80°C'!$N189:$V$196,8,FALSE),"Connecteur ",""),Mesures_Four!B28:C36,2,FALSE)</f>
        <v>8</v>
      </c>
    </row>
    <row r="199" spans="2:5" ht="30" customHeight="1" x14ac:dyDescent="0.25">
      <c r="B199" s="397" t="s">
        <v>418</v>
      </c>
      <c r="C199" s="397"/>
      <c r="D199" s="250">
        <f ca="1">'80°C'!W190</f>
        <v>82.039999999999992</v>
      </c>
      <c r="E199" s="252" t="str">
        <f ca="1">VLOOKUP(SUBSTITUTE(HLOOKUP(D199,'80°C'!$N190:$V$196,7,FALSE),"Connecteur ",""),Mesures_Four!B28:C36,2,FALSE)</f>
        <v>6</v>
      </c>
    </row>
    <row r="200" spans="2:5" ht="30" customHeight="1" x14ac:dyDescent="0.25">
      <c r="B200" s="397" t="s">
        <v>419</v>
      </c>
      <c r="C200" s="397"/>
      <c r="D200" s="250">
        <f ca="1">'80°C'!W191</f>
        <v>81.149999999999991</v>
      </c>
      <c r="E200" s="252" t="str">
        <f ca="1">VLOOKUP(SUBSTITUTE(HLOOKUP(D200,'80°C'!$N191:$V$196,6,FALSE),"Connecteur ",""),Mesures_Four!B28:C36,2,FALSE)</f>
        <v>2</v>
      </c>
    </row>
    <row r="201" spans="2:5" ht="30" customHeight="1" x14ac:dyDescent="0.25">
      <c r="B201" s="397" t="s">
        <v>420</v>
      </c>
      <c r="C201" s="397"/>
      <c r="D201" s="250">
        <f ca="1">'80°C'!W195</f>
        <v>81.418703703703699</v>
      </c>
      <c r="E201" s="251" t="s">
        <v>201</v>
      </c>
    </row>
    <row r="209" spans="2:8" ht="18.75" x14ac:dyDescent="0.3">
      <c r="B209" s="231" t="s">
        <v>421</v>
      </c>
    </row>
    <row r="210" spans="2:8" ht="18.75" x14ac:dyDescent="0.3">
      <c r="B210" s="231"/>
    </row>
    <row r="211" spans="2:8" x14ac:dyDescent="0.25">
      <c r="B211" s="398" t="s">
        <v>422</v>
      </c>
      <c r="C211" s="398" t="s">
        <v>415</v>
      </c>
      <c r="D211" s="389" t="s">
        <v>423</v>
      </c>
      <c r="E211" s="389"/>
      <c r="F211" s="389"/>
      <c r="G211" s="389"/>
      <c r="H211" s="246" t="s">
        <v>342</v>
      </c>
    </row>
    <row r="212" spans="2:8" x14ac:dyDescent="0.25">
      <c r="B212" s="399"/>
      <c r="C212" s="399"/>
      <c r="D212" s="247" t="s">
        <v>424</v>
      </c>
      <c r="E212" s="247" t="s">
        <v>425</v>
      </c>
      <c r="F212" s="247" t="s">
        <v>213</v>
      </c>
      <c r="G212" s="247" t="s">
        <v>214</v>
      </c>
      <c r="H212" s="247" t="s">
        <v>426</v>
      </c>
    </row>
    <row r="213" spans="2:8" x14ac:dyDescent="0.25">
      <c r="B213" s="253" t="s">
        <v>427</v>
      </c>
      <c r="C213" s="247" t="str">
        <f>VLOOKUP($B213,$C$147:$D$155,2,FALSE)</f>
        <v>1</v>
      </c>
      <c r="D213" s="250">
        <f ca="1">'80°C'!N190</f>
        <v>81.56</v>
      </c>
      <c r="E213" s="250">
        <f ca="1">'80°C'!N191</f>
        <v>81.410000000000011</v>
      </c>
      <c r="F213" s="250">
        <f ca="1">'80°C'!N192</f>
        <v>81.468666666666664</v>
      </c>
      <c r="G213" s="250">
        <f t="shared" ref="G213:G221" ca="1" si="0">D213-E213</f>
        <v>0.14999999999999147</v>
      </c>
      <c r="H213" s="250">
        <f>'80°C'!N189</f>
        <v>82.62</v>
      </c>
    </row>
    <row r="214" spans="2:8" x14ac:dyDescent="0.25">
      <c r="B214" s="253" t="s">
        <v>428</v>
      </c>
      <c r="C214" s="247" t="str">
        <f t="shared" ref="C214:C221" si="1">VLOOKUP($B214,$C$147:$D$155,2,FALSE)</f>
        <v>2</v>
      </c>
      <c r="D214" s="250">
        <f ca="1">'80°C'!O190</f>
        <v>81.27</v>
      </c>
      <c r="E214" s="250">
        <f ca="1">'80°C'!O191</f>
        <v>81.149999999999991</v>
      </c>
      <c r="F214" s="250">
        <f ca="1">'80°C'!O192</f>
        <v>81.203666666666706</v>
      </c>
      <c r="G214" s="250">
        <f t="shared" ca="1" si="0"/>
        <v>0.12000000000000455</v>
      </c>
      <c r="H214" s="250">
        <f>'80°C'!O189</f>
        <v>82.47</v>
      </c>
    </row>
    <row r="215" spans="2:8" x14ac:dyDescent="0.25">
      <c r="B215" s="253" t="s">
        <v>429</v>
      </c>
      <c r="C215" s="247" t="str">
        <f t="shared" si="1"/>
        <v>3</v>
      </c>
      <c r="D215" s="250">
        <f ca="1">'80°C'!P190</f>
        <v>81.42</v>
      </c>
      <c r="E215" s="250">
        <f ca="1">'80°C'!P191</f>
        <v>81.33</v>
      </c>
      <c r="F215" s="250">
        <f ca="1">'80°C'!P192</f>
        <v>81.368666666666655</v>
      </c>
      <c r="G215" s="250">
        <f t="shared" ca="1" si="0"/>
        <v>9.0000000000003411E-2</v>
      </c>
      <c r="H215" s="250">
        <f>'80°C'!P189</f>
        <v>82.17</v>
      </c>
    </row>
    <row r="216" spans="2:8" x14ac:dyDescent="0.25">
      <c r="B216" s="253" t="s">
        <v>430</v>
      </c>
      <c r="C216" s="247" t="str">
        <f t="shared" si="1"/>
        <v>4</v>
      </c>
      <c r="D216" s="250">
        <f ca="1">'80°C'!Q190</f>
        <v>81.349999999999994</v>
      </c>
      <c r="E216" s="250">
        <f ca="1">'80°C'!Q191</f>
        <v>81.2</v>
      </c>
      <c r="F216" s="250">
        <f ca="1">'80°C'!Q192</f>
        <v>81.26100000000001</v>
      </c>
      <c r="G216" s="250">
        <f t="shared" ca="1" si="0"/>
        <v>0.14999999999999147</v>
      </c>
      <c r="H216" s="250">
        <f>'80°C'!Q189</f>
        <v>82.74</v>
      </c>
    </row>
    <row r="217" spans="2:8" x14ac:dyDescent="0.25">
      <c r="B217" s="253" t="s">
        <v>431</v>
      </c>
      <c r="C217" s="247" t="str">
        <f t="shared" si="1"/>
        <v>5</v>
      </c>
      <c r="D217" s="250">
        <f ca="1">'80°C'!R190</f>
        <v>81.45</v>
      </c>
      <c r="E217" s="250">
        <f ca="1">'80°C'!R191</f>
        <v>81.2</v>
      </c>
      <c r="F217" s="250">
        <f ca="1">'80°C'!R192</f>
        <v>81.334000000000032</v>
      </c>
      <c r="G217" s="250">
        <f t="shared" ca="1" si="0"/>
        <v>0.25</v>
      </c>
      <c r="H217" s="250">
        <f>'80°C'!R189</f>
        <v>82.95</v>
      </c>
    </row>
    <row r="218" spans="2:8" x14ac:dyDescent="0.25">
      <c r="B218" s="253" t="s">
        <v>432</v>
      </c>
      <c r="C218" s="247" t="str">
        <f t="shared" si="1"/>
        <v>6</v>
      </c>
      <c r="D218" s="250">
        <f ca="1">'80°C'!S190</f>
        <v>82.039999999999992</v>
      </c>
      <c r="E218" s="250">
        <f ca="1">'80°C'!S191</f>
        <v>81.819999999999993</v>
      </c>
      <c r="F218" s="250">
        <f ca="1">'80°C'!S192</f>
        <v>81.912666666666652</v>
      </c>
      <c r="G218" s="250">
        <f t="shared" ca="1" si="0"/>
        <v>0.21999999999999886</v>
      </c>
      <c r="H218" s="250">
        <f>'80°C'!S189</f>
        <v>83.28</v>
      </c>
    </row>
    <row r="219" spans="2:8" x14ac:dyDescent="0.25">
      <c r="B219" s="253" t="s">
        <v>433</v>
      </c>
      <c r="C219" s="247" t="str">
        <f t="shared" si="1"/>
        <v>7</v>
      </c>
      <c r="D219" s="250">
        <f ca="1">'80°C'!T190</f>
        <v>81.28</v>
      </c>
      <c r="E219" s="250">
        <f ca="1">'80°C'!T191</f>
        <v>81.19</v>
      </c>
      <c r="F219" s="250">
        <f ca="1">'80°C'!T192</f>
        <v>81.240666666666627</v>
      </c>
      <c r="G219" s="250">
        <f t="shared" ca="1" si="0"/>
        <v>9.0000000000003411E-2</v>
      </c>
      <c r="H219" s="250">
        <f>'80°C'!T189</f>
        <v>81.28</v>
      </c>
    </row>
    <row r="220" spans="2:8" x14ac:dyDescent="0.25">
      <c r="B220" s="253" t="s">
        <v>434</v>
      </c>
      <c r="C220" s="247" t="str">
        <f t="shared" si="1"/>
        <v>8</v>
      </c>
      <c r="D220" s="250">
        <f ca="1">'80°C'!U190</f>
        <v>81.78</v>
      </c>
      <c r="E220" s="250">
        <f ca="1">'80°C'!U191</f>
        <v>81.47</v>
      </c>
      <c r="F220" s="250">
        <f ca="1">'80°C'!U192</f>
        <v>81.559999999999988</v>
      </c>
      <c r="G220" s="250">
        <f t="shared" ca="1" si="0"/>
        <v>0.31000000000000227</v>
      </c>
      <c r="H220" s="250">
        <f>'80°C'!U189</f>
        <v>83.38</v>
      </c>
    </row>
    <row r="221" spans="2:8" x14ac:dyDescent="0.25">
      <c r="B221" s="253" t="s">
        <v>435</v>
      </c>
      <c r="C221" s="247" t="str">
        <f t="shared" si="1"/>
        <v>9</v>
      </c>
      <c r="D221" s="250">
        <f ca="1">'80°C'!V190</f>
        <v>81.5</v>
      </c>
      <c r="E221" s="250">
        <f ca="1">'80°C'!V191</f>
        <v>81.36</v>
      </c>
      <c r="F221" s="250">
        <f ca="1">'80°C'!V192</f>
        <v>81.419000000000011</v>
      </c>
      <c r="G221" s="250">
        <f t="shared" ca="1" si="0"/>
        <v>0.14000000000000057</v>
      </c>
      <c r="H221" s="250">
        <f>'80°C'!V189</f>
        <v>82.72999999999999</v>
      </c>
    </row>
    <row r="223" spans="2:8" ht="18.75" x14ac:dyDescent="0.3">
      <c r="B223" s="231" t="s">
        <v>436</v>
      </c>
    </row>
    <row r="252" spans="2:6" ht="18.75" x14ac:dyDescent="0.3">
      <c r="B252" s="231" t="s">
        <v>437</v>
      </c>
    </row>
    <row r="253" spans="2:6" ht="18.75" x14ac:dyDescent="0.3">
      <c r="B253" s="231"/>
      <c r="C253" s="391" t="s">
        <v>438</v>
      </c>
      <c r="D253" s="391"/>
      <c r="E253" s="391"/>
      <c r="F253" s="391"/>
    </row>
    <row r="254" spans="2:6" ht="28.9" customHeight="1" x14ac:dyDescent="0.25">
      <c r="C254" s="392" t="str">
        <f>_xlfn.CONCAT("Dépassement de la consigne durant la phase de montée ou de maintien en température (&gt; ",B181,")")</f>
        <v>Dépassement de la consigne durant la phase de montée ou de maintien en température (&gt; 80°C)</v>
      </c>
      <c r="D254" s="392"/>
      <c r="E254" s="393">
        <f>IF('80°C'!W189-Mesures_Four!B21&gt;0,'80°C'!W189-Mesures_Four!B21,"PAS DE DÉPASSEMENT")</f>
        <v>3.3799999999999955</v>
      </c>
      <c r="F254" s="394"/>
    </row>
    <row r="255" spans="2:6" ht="18.75" x14ac:dyDescent="0.3">
      <c r="B255" s="231"/>
      <c r="C255" s="395" t="str">
        <f>_xlfn.CONCAT("Dépassement supérieur à la tolérance maximale (",C181,")")</f>
        <v>Dépassement supérieur à la tolérance maximale (± 3°C)</v>
      </c>
      <c r="D255" s="395"/>
      <c r="E255" s="396" t="str">
        <f>IF(OR(E254="PAS DE DÉPASSEMENT",E254&lt;=Mesures_Four!F21),"NON","OUI")</f>
        <v>OUI</v>
      </c>
      <c r="F255" s="396"/>
    </row>
    <row r="257" spans="2:7" x14ac:dyDescent="0.25">
      <c r="C257" s="391" t="s">
        <v>439</v>
      </c>
      <c r="D257" s="391"/>
      <c r="E257" s="391"/>
      <c r="F257" s="391"/>
    </row>
    <row r="258" spans="2:7" ht="28.9" customHeight="1" x14ac:dyDescent="0.25">
      <c r="C258" s="392" t="s">
        <v>440</v>
      </c>
      <c r="D258" s="392"/>
      <c r="E258" s="393">
        <f ca="1">'80°C'!N200</f>
        <v>1.1499999999999915</v>
      </c>
      <c r="F258" s="393"/>
    </row>
    <row r="259" spans="2:7" ht="28.9" customHeight="1" x14ac:dyDescent="0.25">
      <c r="C259" s="392" t="s">
        <v>441</v>
      </c>
      <c r="D259" s="392"/>
      <c r="E259" s="393">
        <f ca="1">'80°C'!N199</f>
        <v>2.039999999999992</v>
      </c>
      <c r="F259" s="393"/>
    </row>
    <row r="260" spans="2:7" x14ac:dyDescent="0.25">
      <c r="C260" s="401" t="s">
        <v>442</v>
      </c>
      <c r="D260" s="401"/>
      <c r="E260" s="406">
        <f ca="1">'80°C'!N194</f>
        <v>0.89000000000000057</v>
      </c>
      <c r="F260" s="407"/>
    </row>
    <row r="261" spans="2:7" x14ac:dyDescent="0.25">
      <c r="C261" s="401" t="s">
        <v>443</v>
      </c>
      <c r="D261" s="401"/>
      <c r="E261" s="402">
        <f>Mesures_Four!G21</f>
        <v>6</v>
      </c>
      <c r="F261" s="402"/>
    </row>
    <row r="262" spans="2:7" x14ac:dyDescent="0.25">
      <c r="C262" s="395" t="s">
        <v>444</v>
      </c>
      <c r="D262" s="395"/>
      <c r="E262" s="403" t="str">
        <f ca="1">IF(AND(ABS(E258)&lt;=E261/2,(ABS(E259)&lt;=E261/2)),"CONFORME","NON CONFORME")</f>
        <v>CONFORME</v>
      </c>
      <c r="F262" s="403"/>
    </row>
    <row r="264" spans="2:7" x14ac:dyDescent="0.25">
      <c r="C264" s="389" t="s">
        <v>445</v>
      </c>
      <c r="D264" s="389"/>
      <c r="E264" s="246" t="s">
        <v>404</v>
      </c>
      <c r="F264" s="246" t="s">
        <v>401</v>
      </c>
    </row>
    <row r="265" spans="2:7" ht="28.9" customHeight="1" x14ac:dyDescent="0.25">
      <c r="B265" s="254" t="s">
        <v>446</v>
      </c>
      <c r="C265" s="404" t="s">
        <v>447</v>
      </c>
      <c r="D265" s="405"/>
      <c r="E265" s="154" t="str">
        <f ca="1">IF(ABS(E258)&lt;Mesures_Four!F21/2,"OUI","NON")</f>
        <v>OUI</v>
      </c>
      <c r="F265" s="154" t="str">
        <f ca="1">IF(ABS(E259)&lt;Mesures_Four!F21/2,"OUI","NON")</f>
        <v>NON</v>
      </c>
    </row>
    <row r="266" spans="2:7" ht="28.9" customHeight="1" x14ac:dyDescent="0.25">
      <c r="B266" s="412" t="s">
        <v>448</v>
      </c>
      <c r="C266" s="404" t="s">
        <v>449</v>
      </c>
      <c r="D266" s="405"/>
      <c r="E266" s="154" t="str">
        <f ca="1">IF(ABS('80°C'!AA363-'80°C'!W191)&lt;1.1,"OUI","NON")</f>
        <v>NON</v>
      </c>
      <c r="F266" s="154" t="s">
        <v>201</v>
      </c>
    </row>
    <row r="267" spans="2:7" ht="28.9" customHeight="1" x14ac:dyDescent="0.25">
      <c r="B267" s="412"/>
      <c r="C267" s="404" t="s">
        <v>450</v>
      </c>
      <c r="D267" s="405"/>
      <c r="E267" s="154" t="s">
        <v>201</v>
      </c>
      <c r="F267" s="154" t="str">
        <f ca="1">IF(ABS('80°C'!AC362-'80°C'!W190)&lt;1.1,"OUI","NON")</f>
        <v>OUI</v>
      </c>
    </row>
    <row r="268" spans="2:7" ht="28.9" customHeight="1" x14ac:dyDescent="0.25">
      <c r="C268" s="413" t="s">
        <v>451</v>
      </c>
      <c r="D268" s="413"/>
      <c r="E268" s="154" t="str">
        <f ca="1">IF(E265="OUI","NON",IF(E266="OUI","NON","OUI"))</f>
        <v>NON</v>
      </c>
      <c r="F268" s="154" t="str">
        <f ca="1">IF(F265="OUI","NON",IF(F267="OUI","NON","OUI"))</f>
        <v>NON</v>
      </c>
    </row>
    <row r="269" spans="2:7" x14ac:dyDescent="0.25">
      <c r="C269" s="207"/>
      <c r="D269" s="207"/>
    </row>
    <row r="270" spans="2:7" ht="18.75" x14ac:dyDescent="0.25">
      <c r="B270" s="414" t="str">
        <f>_xlfn.CONCAT("A ",B181,", avec une consigne à ",B181,", le four est ")</f>
        <v xml:space="preserve">A 80°C, avec une consigne à 80°C, le four est </v>
      </c>
      <c r="C270" s="414"/>
      <c r="D270" s="414"/>
      <c r="E270" s="255" t="str">
        <f ca="1">IF(AND(E255="NON",E262="CONFORME"),"CONFORME","NON CONFORME")</f>
        <v>NON CONFORME</v>
      </c>
      <c r="F270" s="400" t="str">
        <f>_xlfn.CONCAT("à la tolérance requise de ± ",Mesures_Four!F21,"°C")</f>
        <v>à la tolérance requise de ± 3°C</v>
      </c>
      <c r="G270" s="400"/>
    </row>
    <row r="278" spans="2:6" ht="18.75" x14ac:dyDescent="0.3">
      <c r="B278" s="231" t="str">
        <f>_xlfn.CONCAT("6- Résultats et exploitations des résultats à ",B281)</f>
        <v>6- Résultats et exploitations des résultats à 200°C</v>
      </c>
    </row>
    <row r="280" spans="2:6" x14ac:dyDescent="0.25">
      <c r="B280" s="246" t="s">
        <v>241</v>
      </c>
      <c r="C280" s="246" t="s">
        <v>397</v>
      </c>
      <c r="E280" s="246" t="s">
        <v>398</v>
      </c>
      <c r="F280" s="246" t="s">
        <v>399</v>
      </c>
    </row>
    <row r="281" spans="2:6" x14ac:dyDescent="0.25">
      <c r="B281" s="247" t="str">
        <f>Mesures_Four!E27</f>
        <v>200°C</v>
      </c>
      <c r="C281" s="248" t="str">
        <f>_xlfn.CONCAT("± ",Mesures_Four!F22,"°C")</f>
        <v>± 3°C</v>
      </c>
      <c r="E281" s="247" t="s">
        <v>400</v>
      </c>
      <c r="F281" s="130">
        <f>Mesures_Four!C22</f>
        <v>-0.6</v>
      </c>
    </row>
    <row r="282" spans="2:6" x14ac:dyDescent="0.25">
      <c r="E282" s="247" t="s">
        <v>401</v>
      </c>
      <c r="F282" s="130">
        <f>Mesures_Four!D22</f>
        <v>-0.27</v>
      </c>
    </row>
    <row r="283" spans="2:6" x14ac:dyDescent="0.25">
      <c r="B283" s="246" t="s">
        <v>402</v>
      </c>
      <c r="C283" s="246" t="s">
        <v>403</v>
      </c>
      <c r="E283" s="247" t="s">
        <v>404</v>
      </c>
      <c r="F283" s="130">
        <f>Mesures_Four!E22</f>
        <v>0.5</v>
      </c>
    </row>
    <row r="284" spans="2:6" x14ac:dyDescent="0.25">
      <c r="B284" s="249" t="str">
        <f>INDEX(tab_four200[Date/Heure],1)</f>
        <v>13/02/2024  03:13</v>
      </c>
      <c r="C284" s="249" t="str">
        <f ca="1">OFFSET(INDEX(tab_four200[Date/Heure],1),COUNTA(tab_four200[Date/Heure])+COUNTBLANK(tab_four200[Date/Heure])-1,0,1)</f>
        <v>13/02/2024  04:49</v>
      </c>
    </row>
    <row r="286" spans="2:6" ht="18.75" x14ac:dyDescent="0.3">
      <c r="B286" s="231" t="s">
        <v>405</v>
      </c>
    </row>
    <row r="288" spans="2:6" x14ac:dyDescent="0.25">
      <c r="C288" s="246" t="s">
        <v>406</v>
      </c>
      <c r="D288" s="246" t="s">
        <v>407</v>
      </c>
      <c r="E288" s="246" t="s">
        <v>408</v>
      </c>
      <c r="F288" s="246" t="s">
        <v>409</v>
      </c>
    </row>
    <row r="289" spans="2:6" x14ac:dyDescent="0.25">
      <c r="C289" s="247" t="s">
        <v>410</v>
      </c>
      <c r="D289" s="250">
        <f ca="1">'200°C'!AB198</f>
        <v>200.1</v>
      </c>
      <c r="E289" s="250">
        <f ca="1">'200°C'!AB199</f>
        <v>200</v>
      </c>
      <c r="F289" s="250">
        <f ca="1">'200°C'!AB200</f>
        <v>200.02333333333337</v>
      </c>
    </row>
    <row r="290" spans="2:6" x14ac:dyDescent="0.25">
      <c r="C290" s="247" t="s">
        <v>411</v>
      </c>
      <c r="D290" s="250">
        <f ca="1">'200°C'!AC198</f>
        <v>202.1</v>
      </c>
      <c r="E290" s="250">
        <f ca="1">'200°C'!AC199</f>
        <v>201.9</v>
      </c>
      <c r="F290" s="250">
        <f ca="1">'200°C'!AC200</f>
        <v>201.9733333333333</v>
      </c>
    </row>
    <row r="291" spans="2:6" x14ac:dyDescent="0.25">
      <c r="C291" s="247" t="s">
        <v>412</v>
      </c>
      <c r="D291" s="250">
        <f ca="1">'200°C'!AA198</f>
        <v>200.9</v>
      </c>
      <c r="E291" s="250">
        <f ca="1">'200°C'!AA199</f>
        <v>200.6</v>
      </c>
      <c r="F291" s="250">
        <f ca="1">'200°C'!AA200</f>
        <v>200.71666666666664</v>
      </c>
    </row>
    <row r="293" spans="2:6" ht="18.75" x14ac:dyDescent="0.3">
      <c r="B293" s="231" t="s">
        <v>413</v>
      </c>
    </row>
    <row r="295" spans="2:6" x14ac:dyDescent="0.25">
      <c r="B295" s="408" t="s">
        <v>301</v>
      </c>
      <c r="C295" s="409"/>
      <c r="D295" s="246" t="s">
        <v>414</v>
      </c>
      <c r="E295" s="246" t="s">
        <v>415</v>
      </c>
    </row>
    <row r="296" spans="2:6" x14ac:dyDescent="0.25">
      <c r="B296" s="410" t="s">
        <v>416</v>
      </c>
      <c r="C296" s="411"/>
      <c r="D296" s="251" t="str">
        <f>B281</f>
        <v>200°C</v>
      </c>
      <c r="E296" s="251" t="s">
        <v>201</v>
      </c>
    </row>
    <row r="297" spans="2:6" x14ac:dyDescent="0.25">
      <c r="B297" s="410" t="s">
        <v>202</v>
      </c>
      <c r="C297" s="411"/>
      <c r="D297" s="251" t="str">
        <f>B281</f>
        <v>200°C</v>
      </c>
      <c r="E297" s="251" t="s">
        <v>201</v>
      </c>
    </row>
    <row r="298" spans="2:6" x14ac:dyDescent="0.25">
      <c r="B298" s="410" t="s">
        <v>417</v>
      </c>
      <c r="C298" s="411"/>
      <c r="D298" s="250">
        <f>'200°C'!W106</f>
        <v>203.62</v>
      </c>
      <c r="E298" s="252" t="str">
        <f>VLOOKUP(SUBSTITUTE(HLOOKUP(D298,'200°C'!$N106:$V$113,8,FALSE),"Connecteur ",""),Mesures_Four!B28:C36,2,FALSE)</f>
        <v>6</v>
      </c>
    </row>
    <row r="299" spans="2:6" ht="30" customHeight="1" x14ac:dyDescent="0.25">
      <c r="B299" s="404" t="s">
        <v>418</v>
      </c>
      <c r="C299" s="405"/>
      <c r="D299" s="250">
        <f ca="1">'200°C'!W107</f>
        <v>202.60999999999999</v>
      </c>
      <c r="E299" s="252" t="str">
        <f ca="1">VLOOKUP(SUBSTITUTE(HLOOKUP(D299,'200°C'!$N107:$V$113,7,FALSE),"Connecteur ",""),Mesures_Four!B28:C36,2,FALSE)</f>
        <v>6</v>
      </c>
    </row>
    <row r="300" spans="2:6" ht="30" customHeight="1" x14ac:dyDescent="0.25">
      <c r="B300" s="404" t="s">
        <v>419</v>
      </c>
      <c r="C300" s="405"/>
      <c r="D300" s="250">
        <f ca="1">'200°C'!W108</f>
        <v>201.12</v>
      </c>
      <c r="E300" s="252" t="str">
        <f ca="1">VLOOKUP(SUBSTITUTE(HLOOKUP(D300,'200°C'!$N108:$V$113,6,FALSE),"Connecteur ",""),Mesures_Four!B28:C36,2,FALSE)</f>
        <v>7</v>
      </c>
    </row>
    <row r="301" spans="2:6" ht="30" customHeight="1" x14ac:dyDescent="0.25">
      <c r="B301" s="404" t="s">
        <v>420</v>
      </c>
      <c r="C301" s="405"/>
      <c r="D301" s="250">
        <f ca="1">'200°C'!W112</f>
        <v>201.71533333333335</v>
      </c>
      <c r="E301" s="251" t="s">
        <v>201</v>
      </c>
    </row>
    <row r="308" spans="2:8" ht="18.75" x14ac:dyDescent="0.3">
      <c r="B308" s="231" t="s">
        <v>421</v>
      </c>
    </row>
    <row r="309" spans="2:8" ht="18.75" x14ac:dyDescent="0.3">
      <c r="B309" s="231"/>
    </row>
    <row r="310" spans="2:8" x14ac:dyDescent="0.25">
      <c r="B310" s="389" t="s">
        <v>422</v>
      </c>
      <c r="C310" s="389" t="s">
        <v>415</v>
      </c>
      <c r="D310" s="408" t="s">
        <v>423</v>
      </c>
      <c r="E310" s="416"/>
      <c r="F310" s="416"/>
      <c r="G310" s="409"/>
      <c r="H310" s="246" t="s">
        <v>342</v>
      </c>
    </row>
    <row r="311" spans="2:8" x14ac:dyDescent="0.25">
      <c r="B311" s="389"/>
      <c r="C311" s="389"/>
      <c r="D311" s="247" t="s">
        <v>424</v>
      </c>
      <c r="E311" s="247" t="s">
        <v>425</v>
      </c>
      <c r="F311" s="247" t="s">
        <v>213</v>
      </c>
      <c r="G311" s="247" t="s">
        <v>214</v>
      </c>
      <c r="H311" s="247" t="s">
        <v>426</v>
      </c>
    </row>
    <row r="312" spans="2:8" x14ac:dyDescent="0.25">
      <c r="B312" s="253" t="s">
        <v>427</v>
      </c>
      <c r="C312" s="247" t="str">
        <f>VLOOKUP($B312,$C$147:$D$155,2,FALSE)</f>
        <v>1</v>
      </c>
      <c r="D312" s="250">
        <f ca="1">'200°C'!$N$107</f>
        <v>202</v>
      </c>
      <c r="E312" s="250">
        <f ca="1">'200°C'!$N$108</f>
        <v>201.81</v>
      </c>
      <c r="F312" s="250">
        <f ca="1">'200°C'!$N$109</f>
        <v>201.91333333333333</v>
      </c>
      <c r="G312" s="250">
        <f t="shared" ref="G312:G320" ca="1" si="2">D312-E312</f>
        <v>0.18999999999999773</v>
      </c>
      <c r="H312" s="250">
        <f>'200°C'!$N$106</f>
        <v>202.64</v>
      </c>
    </row>
    <row r="313" spans="2:8" x14ac:dyDescent="0.25">
      <c r="B313" s="253" t="s">
        <v>428</v>
      </c>
      <c r="C313" s="247" t="str">
        <f t="shared" ref="C313:C320" si="3">VLOOKUP($B313,$C$147:$D$155,2,FALSE)</f>
        <v>2</v>
      </c>
      <c r="D313" s="250">
        <f ca="1">'200°C'!$O$107</f>
        <v>201.65</v>
      </c>
      <c r="E313" s="250">
        <f ca="1">'200°C'!$O$108</f>
        <v>201.42999999999998</v>
      </c>
      <c r="F313" s="250">
        <f ca="1">'200°C'!$O$109</f>
        <v>201.54000000000005</v>
      </c>
      <c r="G313" s="250">
        <f t="shared" ca="1" si="2"/>
        <v>0.22000000000002728</v>
      </c>
      <c r="H313" s="250">
        <f>'200°C'!$O$106</f>
        <v>202.32999999999998</v>
      </c>
    </row>
    <row r="314" spans="2:8" x14ac:dyDescent="0.25">
      <c r="B314" s="253" t="s">
        <v>429</v>
      </c>
      <c r="C314" s="247" t="str">
        <f t="shared" si="3"/>
        <v>3</v>
      </c>
      <c r="D314" s="250">
        <f ca="1">'200°C'!$P$107</f>
        <v>201.70999999999998</v>
      </c>
      <c r="E314" s="250">
        <f ca="1">'200°C'!$P$108</f>
        <v>201.54</v>
      </c>
      <c r="F314" s="250">
        <f ca="1">'200°C'!$P$109</f>
        <v>201.63166666666669</v>
      </c>
      <c r="G314" s="250">
        <f t="shared" ca="1" si="2"/>
        <v>0.16999999999998749</v>
      </c>
      <c r="H314" s="250">
        <f>'200°C'!$P$106</f>
        <v>202.07999999999998</v>
      </c>
    </row>
    <row r="315" spans="2:8" x14ac:dyDescent="0.25">
      <c r="B315" s="253" t="s">
        <v>430</v>
      </c>
      <c r="C315" s="247" t="str">
        <f t="shared" si="3"/>
        <v>4</v>
      </c>
      <c r="D315" s="250">
        <f ca="1">'200°C'!$Q$107</f>
        <v>201.73999999999998</v>
      </c>
      <c r="E315" s="250">
        <f ca="1">'200°C'!$Q$108</f>
        <v>201.55999999999997</v>
      </c>
      <c r="F315" s="250">
        <f ca="1">'200°C'!$Q$109</f>
        <v>201.63499999999999</v>
      </c>
      <c r="G315" s="250">
        <f t="shared" ca="1" si="2"/>
        <v>0.18000000000000682</v>
      </c>
      <c r="H315" s="250">
        <f>'200°C'!$Q$106</f>
        <v>202.64999999999998</v>
      </c>
    </row>
    <row r="316" spans="2:8" x14ac:dyDescent="0.25">
      <c r="B316" s="253" t="s">
        <v>431</v>
      </c>
      <c r="C316" s="247" t="str">
        <f t="shared" si="3"/>
        <v>5</v>
      </c>
      <c r="D316" s="250">
        <f ca="1">'200°C'!$R$107</f>
        <v>201.77999999999997</v>
      </c>
      <c r="E316" s="250">
        <f ca="1">'200°C'!$R$108</f>
        <v>201.39999999999998</v>
      </c>
      <c r="F316" s="250">
        <f ca="1">'200°C'!$R$109</f>
        <v>201.66466666666665</v>
      </c>
      <c r="G316" s="250">
        <f t="shared" ca="1" si="2"/>
        <v>0.37999999999999545</v>
      </c>
      <c r="H316" s="250">
        <f>'200°C'!$R$106</f>
        <v>202.69</v>
      </c>
    </row>
    <row r="317" spans="2:8" x14ac:dyDescent="0.25">
      <c r="B317" s="253" t="s">
        <v>432</v>
      </c>
      <c r="C317" s="247" t="str">
        <f t="shared" si="3"/>
        <v>6</v>
      </c>
      <c r="D317" s="250">
        <f ca="1">'200°C'!$S$107</f>
        <v>202.60999999999999</v>
      </c>
      <c r="E317" s="250">
        <f ca="1">'200°C'!$S$108</f>
        <v>202.29999999999998</v>
      </c>
      <c r="F317" s="250">
        <f ca="1">'200°C'!$S$109</f>
        <v>202.44333333333333</v>
      </c>
      <c r="G317" s="250">
        <f t="shared" ca="1" si="2"/>
        <v>0.31000000000000227</v>
      </c>
      <c r="H317" s="250">
        <f>'200°C'!$S$106</f>
        <v>203.62</v>
      </c>
    </row>
    <row r="318" spans="2:8" x14ac:dyDescent="0.25">
      <c r="B318" s="253" t="s">
        <v>433</v>
      </c>
      <c r="C318" s="247" t="str">
        <f t="shared" si="3"/>
        <v>7</v>
      </c>
      <c r="D318" s="250">
        <f ca="1">'200°C'!$T$107</f>
        <v>201.3</v>
      </c>
      <c r="E318" s="250">
        <f ca="1">'200°C'!$T$108</f>
        <v>201.12</v>
      </c>
      <c r="F318" s="250">
        <f ca="1">'200°C'!$T$109</f>
        <v>201.20366666666669</v>
      </c>
      <c r="G318" s="250">
        <f t="shared" ca="1" si="2"/>
        <v>0.18000000000000682</v>
      </c>
      <c r="H318" s="250">
        <f>'200°C'!$T$106</f>
        <v>201.3</v>
      </c>
    </row>
    <row r="319" spans="2:8" x14ac:dyDescent="0.25">
      <c r="B319" s="253" t="s">
        <v>434</v>
      </c>
      <c r="C319" s="247" t="str">
        <f t="shared" si="3"/>
        <v>8</v>
      </c>
      <c r="D319" s="250">
        <f ca="1">'200°C'!$U$107</f>
        <v>201.90999999999997</v>
      </c>
      <c r="E319" s="250">
        <f ca="1">'200°C'!$U$108</f>
        <v>201.67</v>
      </c>
      <c r="F319" s="250">
        <f ca="1">'200°C'!$U$109</f>
        <v>201.77899999999997</v>
      </c>
      <c r="G319" s="250">
        <f t="shared" ca="1" si="2"/>
        <v>0.23999999999998067</v>
      </c>
      <c r="H319" s="250">
        <f>'200°C'!$U$106</f>
        <v>203.2</v>
      </c>
    </row>
    <row r="320" spans="2:8" x14ac:dyDescent="0.25">
      <c r="B320" s="253" t="s">
        <v>435</v>
      </c>
      <c r="C320" s="247" t="str">
        <f t="shared" si="3"/>
        <v>9</v>
      </c>
      <c r="D320" s="250">
        <f ca="1">'200°C'!$V$107</f>
        <v>201.74999999999997</v>
      </c>
      <c r="E320" s="250">
        <f ca="1">'200°C'!$V$108</f>
        <v>201.54</v>
      </c>
      <c r="F320" s="250">
        <f ca="1">'200°C'!$V$109</f>
        <v>201.62733333333333</v>
      </c>
      <c r="G320" s="250">
        <f t="shared" ca="1" si="2"/>
        <v>0.20999999999997954</v>
      </c>
      <c r="H320" s="250">
        <f>'200°C'!$V$106</f>
        <v>202.57999999999998</v>
      </c>
    </row>
    <row r="322" spans="2:2" ht="18.75" x14ac:dyDescent="0.3">
      <c r="B322" s="231" t="s">
        <v>436</v>
      </c>
    </row>
    <row r="354" spans="2:6" ht="18.75" x14ac:dyDescent="0.3">
      <c r="B354" s="231" t="s">
        <v>437</v>
      </c>
    </row>
    <row r="355" spans="2:6" ht="18.75" x14ac:dyDescent="0.3">
      <c r="B355" s="231"/>
      <c r="C355" s="391" t="s">
        <v>438</v>
      </c>
      <c r="D355" s="391"/>
      <c r="E355" s="391"/>
      <c r="F355" s="391"/>
    </row>
    <row r="356" spans="2:6" ht="28.9" customHeight="1" x14ac:dyDescent="0.25">
      <c r="C356" s="392" t="str">
        <f>_xlfn.CONCAT("Dépassement de la consigne durant la phase de montée ou de maintien en température (&gt; ",B281,")")</f>
        <v>Dépassement de la consigne durant la phase de montée ou de maintien en température (&gt; 200°C)</v>
      </c>
      <c r="D356" s="392"/>
      <c r="E356" s="393">
        <f>IF('200°C'!W106-Mesures_Four!B22&gt;0,'200°C'!W106-Mesures_Four!B22,"PAS DE DÉPASSEMENT")</f>
        <v>3.6200000000000045</v>
      </c>
      <c r="F356" s="394"/>
    </row>
    <row r="357" spans="2:6" x14ac:dyDescent="0.25">
      <c r="C357" s="415" t="str">
        <f>_xlfn.CONCAT("Dépassement supérieur à la tolérance maximale (",C281,")")</f>
        <v>Dépassement supérieur à la tolérance maximale (± 3°C)</v>
      </c>
      <c r="D357" s="415"/>
      <c r="E357" s="396" t="str">
        <f>IF(OR(E356="PAS DE DÉPASSEMENT",E356&lt;=Mesures_Four!F22),"NON","OUI")</f>
        <v>OUI</v>
      </c>
      <c r="F357" s="396"/>
    </row>
    <row r="359" spans="2:6" x14ac:dyDescent="0.25">
      <c r="C359" s="391" t="s">
        <v>439</v>
      </c>
      <c r="D359" s="391"/>
      <c r="E359" s="391"/>
      <c r="F359" s="391"/>
    </row>
    <row r="360" spans="2:6" ht="28.9" customHeight="1" x14ac:dyDescent="0.25">
      <c r="C360" s="392" t="s">
        <v>440</v>
      </c>
      <c r="D360" s="392"/>
      <c r="E360" s="393">
        <f ca="1">'200°C'!N117</f>
        <v>1.1200000000000045</v>
      </c>
      <c r="F360" s="393"/>
    </row>
    <row r="361" spans="2:6" ht="28.9" customHeight="1" x14ac:dyDescent="0.25">
      <c r="C361" s="392" t="s">
        <v>441</v>
      </c>
      <c r="D361" s="392"/>
      <c r="E361" s="393">
        <f ca="1">'200°C'!N116</f>
        <v>2.6099999999999852</v>
      </c>
      <c r="F361" s="393"/>
    </row>
    <row r="362" spans="2:6" x14ac:dyDescent="0.25">
      <c r="C362" s="401" t="s">
        <v>442</v>
      </c>
      <c r="D362" s="401"/>
      <c r="E362" s="406">
        <f ca="1">'200°C'!N111</f>
        <v>1.4899999999999807</v>
      </c>
      <c r="F362" s="407"/>
    </row>
    <row r="363" spans="2:6" x14ac:dyDescent="0.25">
      <c r="C363" s="401" t="s">
        <v>443</v>
      </c>
      <c r="D363" s="401"/>
      <c r="E363" s="402">
        <f>Mesures_Four!G22</f>
        <v>6</v>
      </c>
      <c r="F363" s="402"/>
    </row>
    <row r="364" spans="2:6" x14ac:dyDescent="0.25">
      <c r="C364" s="395" t="s">
        <v>452</v>
      </c>
      <c r="D364" s="395"/>
      <c r="E364" s="403" t="str">
        <f ca="1">IF(AND(ABS(E360)&lt;=E363/2,(ABS(E361)&lt;=E363/2)),"CONFORME","NON CONFORME")</f>
        <v>CONFORME</v>
      </c>
      <c r="F364" s="403"/>
    </row>
    <row r="366" spans="2:6" x14ac:dyDescent="0.25">
      <c r="C366" s="408" t="s">
        <v>445</v>
      </c>
      <c r="D366" s="409"/>
      <c r="E366" s="246" t="s">
        <v>404</v>
      </c>
      <c r="F366" s="246" t="s">
        <v>401</v>
      </c>
    </row>
    <row r="367" spans="2:6" ht="28.9" customHeight="1" x14ac:dyDescent="0.25">
      <c r="B367" s="254" t="s">
        <v>446</v>
      </c>
      <c r="C367" s="404" t="s">
        <v>447</v>
      </c>
      <c r="D367" s="405"/>
      <c r="E367" s="154" t="str">
        <f ca="1">IF(ABS(E360)&lt;Mesures_Four!F22/2,"OUI","NON")</f>
        <v>OUI</v>
      </c>
      <c r="F367" s="154" t="str">
        <f ca="1">IF(ABS(E361)&lt;Mesures_Four!F22/2,"OUI","NON")</f>
        <v>NON</v>
      </c>
    </row>
    <row r="368" spans="2:6" ht="28.9" customHeight="1" x14ac:dyDescent="0.25">
      <c r="B368" s="412" t="s">
        <v>448</v>
      </c>
      <c r="C368" s="404" t="s">
        <v>449</v>
      </c>
      <c r="D368" s="405"/>
      <c r="E368" s="154" t="str">
        <f ca="1">IF(ABS('200°C'!AA199-'200°C'!W108)&lt;1.1,"OUI","NON")</f>
        <v>OUI</v>
      </c>
      <c r="F368" s="154" t="s">
        <v>201</v>
      </c>
    </row>
    <row r="369" spans="2:7" ht="28.9" customHeight="1" x14ac:dyDescent="0.25">
      <c r="B369" s="412"/>
      <c r="C369" s="404" t="s">
        <v>450</v>
      </c>
      <c r="D369" s="405"/>
      <c r="E369" s="154" t="s">
        <v>201</v>
      </c>
      <c r="F369" s="154" t="str">
        <f ca="1">IF(ABS('200°C'!AC198-'200°C'!W107)&lt;1.1,"OUI","NON")</f>
        <v>OUI</v>
      </c>
    </row>
    <row r="370" spans="2:7" ht="28.9" customHeight="1" x14ac:dyDescent="0.25">
      <c r="C370" s="413" t="s">
        <v>451</v>
      </c>
      <c r="D370" s="413"/>
      <c r="E370" s="154" t="str">
        <f ca="1">IF(E367="OUI","NON",IF(E368="OUI","NON","OUI"))</f>
        <v>NON</v>
      </c>
      <c r="F370" s="154" t="str">
        <f ca="1">IF(F367="OUI","NON",IF(F369="OUI","NON","OUI"))</f>
        <v>NON</v>
      </c>
    </row>
    <row r="372" spans="2:7" ht="18.75" x14ac:dyDescent="0.25">
      <c r="B372" s="414" t="str">
        <f>_xlfn.CONCAT("A ",B281,", avec une consigne à ",B281,", le four est ")</f>
        <v xml:space="preserve">A 200°C, avec une consigne à 200°C, le four est </v>
      </c>
      <c r="C372" s="414"/>
      <c r="D372" s="417"/>
      <c r="E372" s="256" t="str">
        <f ca="1">IF(AND(E357="NON",E364="CONFORME"),"CONFORME","NON CONFORME")</f>
        <v>NON CONFORME</v>
      </c>
      <c r="F372" s="418" t="str">
        <f>_xlfn.CONCAT("à la tolérance requise de ± ",Mesures_Four!F22,"°C")</f>
        <v>à la tolérance requise de ± 3°C</v>
      </c>
      <c r="G372" s="400"/>
    </row>
    <row r="380" spans="2:7" ht="18.75" x14ac:dyDescent="0.3">
      <c r="B380" s="231" t="str">
        <f>_xlfn.CONCAT("6- Résultats et exploitations des résultats à ",B383)</f>
        <v>6- Résultats et exploitations des résultats à 385°C</v>
      </c>
    </row>
    <row r="382" spans="2:7" x14ac:dyDescent="0.25">
      <c r="B382" s="246" t="s">
        <v>241</v>
      </c>
      <c r="C382" s="246" t="s">
        <v>397</v>
      </c>
      <c r="E382" s="246" t="s">
        <v>398</v>
      </c>
      <c r="F382" s="246" t="s">
        <v>399</v>
      </c>
    </row>
    <row r="383" spans="2:7" x14ac:dyDescent="0.25">
      <c r="B383" s="247" t="str">
        <f>Mesures_Four!F27</f>
        <v>385°C</v>
      </c>
      <c r="C383" s="248" t="str">
        <f>_xlfn.CONCAT("± ",Mesures_Four!F23,"°C")</f>
        <v>± 5°C</v>
      </c>
      <c r="E383" s="247" t="s">
        <v>400</v>
      </c>
      <c r="F383" s="130">
        <f>Mesures_Four!C23</f>
        <v>-0.6</v>
      </c>
    </row>
    <row r="384" spans="2:7" x14ac:dyDescent="0.25">
      <c r="E384" s="247" t="s">
        <v>401</v>
      </c>
      <c r="F384" s="130">
        <f>Mesures_Four!D23</f>
        <v>-0.27</v>
      </c>
    </row>
    <row r="385" spans="2:6" x14ac:dyDescent="0.25">
      <c r="B385" s="246" t="s">
        <v>402</v>
      </c>
      <c r="C385" s="246" t="s">
        <v>403</v>
      </c>
      <c r="E385" s="247" t="s">
        <v>404</v>
      </c>
      <c r="F385" s="130">
        <f>Mesures_Four!E23</f>
        <v>0.5</v>
      </c>
    </row>
    <row r="386" spans="2:6" x14ac:dyDescent="0.25">
      <c r="B386" s="249" t="str">
        <f>INDEX(tab_four385[Date/Heure],1)</f>
        <v>13/02/2024  05:25</v>
      </c>
      <c r="C386" s="249" t="str">
        <f ca="1">OFFSET(INDEX(tab_four385[Date/Heure],1),COUNTA(tab_four385[Date/Heure])+COUNTBLANK(tab_four385[Date/Heure])-1,0,1)</f>
        <v>13/02/2024  06:24</v>
      </c>
    </row>
    <row r="388" spans="2:6" ht="18.75" x14ac:dyDescent="0.3">
      <c r="B388" s="231" t="s">
        <v>405</v>
      </c>
    </row>
    <row r="390" spans="2:6" x14ac:dyDescent="0.25">
      <c r="C390" s="246" t="s">
        <v>406</v>
      </c>
      <c r="D390" s="246" t="s">
        <v>407</v>
      </c>
      <c r="E390" s="246" t="s">
        <v>408</v>
      </c>
      <c r="F390" s="246" t="s">
        <v>409</v>
      </c>
    </row>
    <row r="391" spans="2:6" x14ac:dyDescent="0.25">
      <c r="C391" s="247" t="s">
        <v>410</v>
      </c>
      <c r="D391" s="250">
        <f ca="1">'385°C'!AB124</f>
        <v>385.3</v>
      </c>
      <c r="E391" s="250">
        <f ca="1">'385°C'!AB125</f>
        <v>385</v>
      </c>
      <c r="F391" s="250">
        <f ca="1">'385°C'!AB126</f>
        <v>385.11333333333346</v>
      </c>
    </row>
    <row r="392" spans="2:6" x14ac:dyDescent="0.25">
      <c r="C392" s="247" t="s">
        <v>411</v>
      </c>
      <c r="D392" s="250">
        <f ca="1">'385°C'!AC124</f>
        <v>386.2</v>
      </c>
      <c r="E392" s="250">
        <f ca="1">'385°C'!AC125</f>
        <v>385.9</v>
      </c>
      <c r="F392" s="250">
        <f ca="1">'385°C'!AC126</f>
        <v>386.04666666666668</v>
      </c>
    </row>
    <row r="393" spans="2:6" x14ac:dyDescent="0.25">
      <c r="C393" s="247" t="s">
        <v>412</v>
      </c>
      <c r="D393" s="250">
        <f ca="1">'385°C'!AA124</f>
        <v>385.3</v>
      </c>
      <c r="E393" s="250">
        <f ca="1">'385°C'!AA125</f>
        <v>385</v>
      </c>
      <c r="F393" s="250">
        <f ca="1">'385°C'!AA126</f>
        <v>385.14666666666676</v>
      </c>
    </row>
    <row r="395" spans="2:6" ht="18.75" x14ac:dyDescent="0.3">
      <c r="B395" s="231" t="s">
        <v>413</v>
      </c>
    </row>
    <row r="397" spans="2:6" x14ac:dyDescent="0.25">
      <c r="B397" s="408" t="s">
        <v>301</v>
      </c>
      <c r="C397" s="409"/>
      <c r="D397" s="246" t="s">
        <v>414</v>
      </c>
      <c r="E397" s="246" t="s">
        <v>415</v>
      </c>
    </row>
    <row r="398" spans="2:6" x14ac:dyDescent="0.25">
      <c r="B398" s="410" t="s">
        <v>416</v>
      </c>
      <c r="C398" s="411"/>
      <c r="D398" s="251" t="str">
        <f>B383</f>
        <v>385°C</v>
      </c>
      <c r="E398" s="251" t="s">
        <v>201</v>
      </c>
    </row>
    <row r="399" spans="2:6" x14ac:dyDescent="0.25">
      <c r="B399" s="410" t="s">
        <v>202</v>
      </c>
      <c r="C399" s="411"/>
      <c r="D399" s="251" t="str">
        <f>B383</f>
        <v>385°C</v>
      </c>
      <c r="E399" s="251" t="s">
        <v>201</v>
      </c>
    </row>
    <row r="400" spans="2:6" x14ac:dyDescent="0.25">
      <c r="B400" s="410" t="s">
        <v>417</v>
      </c>
      <c r="C400" s="411"/>
      <c r="D400" s="250">
        <f>'385°C'!W69</f>
        <v>389.94</v>
      </c>
      <c r="E400" s="252" t="str">
        <f>VLOOKUP(SUBSTITUTE(HLOOKUP(D400,'385°C'!$N69:$V$76,8,FALSE),"Connecteur ",""),Mesures_Four!B28:C36,2,FALSE)</f>
        <v>6</v>
      </c>
    </row>
    <row r="401" spans="2:8" ht="30" customHeight="1" x14ac:dyDescent="0.25">
      <c r="B401" s="404" t="s">
        <v>418</v>
      </c>
      <c r="C401" s="405"/>
      <c r="D401" s="250">
        <f ca="1">'385°C'!W70</f>
        <v>389.01000000000005</v>
      </c>
      <c r="E401" s="252" t="str">
        <f ca="1">VLOOKUP(SUBSTITUTE(HLOOKUP(D401,'385°C'!$N70:$V$76,7,FALSE),"Connecteur ",""),Mesures_Four!B28:C36,2,FALSE)</f>
        <v>6</v>
      </c>
      <c r="F401" s="257"/>
    </row>
    <row r="402" spans="2:8" ht="30" customHeight="1" x14ac:dyDescent="0.25">
      <c r="B402" s="404" t="s">
        <v>419</v>
      </c>
      <c r="C402" s="405"/>
      <c r="D402" s="250">
        <f ca="1">'385°C'!W71</f>
        <v>385.39</v>
      </c>
      <c r="E402" s="252" t="str">
        <f ca="1">VLOOKUP(SUBSTITUTE(HLOOKUP(D402,'385°C'!$N71:$V$76,6,FALSE),"Connecteur ",""),Mesures_Four!B28:C36,2,FALSE)</f>
        <v>7</v>
      </c>
    </row>
    <row r="403" spans="2:8" ht="30" customHeight="1" x14ac:dyDescent="0.25">
      <c r="B403" s="404" t="s">
        <v>420</v>
      </c>
      <c r="C403" s="405"/>
      <c r="D403" s="250">
        <f ca="1">'385°C'!W75</f>
        <v>387.00777777777773</v>
      </c>
      <c r="E403" s="251" t="s">
        <v>201</v>
      </c>
    </row>
    <row r="410" spans="2:8" ht="18.75" x14ac:dyDescent="0.3">
      <c r="B410" s="231" t="s">
        <v>421</v>
      </c>
    </row>
    <row r="411" spans="2:8" ht="18.75" x14ac:dyDescent="0.3">
      <c r="B411" s="231"/>
    </row>
    <row r="412" spans="2:8" x14ac:dyDescent="0.25">
      <c r="B412" s="389" t="s">
        <v>422</v>
      </c>
      <c r="C412" s="389" t="s">
        <v>415</v>
      </c>
      <c r="D412" s="408" t="s">
        <v>423</v>
      </c>
      <c r="E412" s="416"/>
      <c r="F412" s="416"/>
      <c r="G412" s="409"/>
      <c r="H412" s="246" t="s">
        <v>342</v>
      </c>
    </row>
    <row r="413" spans="2:8" x14ac:dyDescent="0.25">
      <c r="B413" s="389"/>
      <c r="C413" s="389"/>
      <c r="D413" s="247" t="s">
        <v>424</v>
      </c>
      <c r="E413" s="247" t="s">
        <v>425</v>
      </c>
      <c r="F413" s="247" t="s">
        <v>213</v>
      </c>
      <c r="G413" s="247" t="s">
        <v>214</v>
      </c>
      <c r="H413" s="247" t="s">
        <v>426</v>
      </c>
    </row>
    <row r="414" spans="2:8" x14ac:dyDescent="0.25">
      <c r="B414" s="253" t="s">
        <v>427</v>
      </c>
      <c r="C414" s="247" t="str">
        <f>VLOOKUP($B414,$C$147:$D$155,2,FALSE)</f>
        <v>1</v>
      </c>
      <c r="D414" s="250">
        <f ca="1">'385°C'!$N$70</f>
        <v>387.64</v>
      </c>
      <c r="E414" s="250">
        <f ca="1">'385°C'!$N$71</f>
        <v>387.25</v>
      </c>
      <c r="F414" s="250">
        <f ca="1">'385°C'!$N$72</f>
        <v>387.41333333333341</v>
      </c>
      <c r="G414" s="250">
        <f t="shared" ref="G414:G422" ca="1" si="4">D414-E414</f>
        <v>0.38999999999998636</v>
      </c>
      <c r="H414" s="250">
        <f>'385°C'!$N$69</f>
        <v>387.64</v>
      </c>
    </row>
    <row r="415" spans="2:8" x14ac:dyDescent="0.25">
      <c r="B415" s="253" t="s">
        <v>428</v>
      </c>
      <c r="C415" s="247" t="str">
        <f t="shared" ref="C415:C422" si="5">VLOOKUP($B415,$C$147:$D$155,2,FALSE)</f>
        <v>2</v>
      </c>
      <c r="D415" s="250">
        <f ca="1">'385°C'!$O$70</f>
        <v>387.03</v>
      </c>
      <c r="E415" s="250">
        <f ca="1">'385°C'!$O$71</f>
        <v>386.58</v>
      </c>
      <c r="F415" s="250">
        <f ca="1">'385°C'!$O$72</f>
        <v>386.85833333333329</v>
      </c>
      <c r="G415" s="250">
        <f t="shared" ca="1" si="4"/>
        <v>0.44999999999998863</v>
      </c>
      <c r="H415" s="250">
        <f>'385°C'!$O$69</f>
        <v>387.03</v>
      </c>
    </row>
    <row r="416" spans="2:8" x14ac:dyDescent="0.25">
      <c r="B416" s="253" t="s">
        <v>429</v>
      </c>
      <c r="C416" s="247" t="str">
        <f t="shared" si="5"/>
        <v>3</v>
      </c>
      <c r="D416" s="250">
        <f ca="1">'385°C'!$P$70</f>
        <v>387</v>
      </c>
      <c r="E416" s="250">
        <f ca="1">'385°C'!$P$71</f>
        <v>386.54</v>
      </c>
      <c r="F416" s="250">
        <f ca="1">'385°C'!$P$72</f>
        <v>386.83500000000004</v>
      </c>
      <c r="G416" s="250">
        <f t="shared" ca="1" si="4"/>
        <v>0.45999999999997954</v>
      </c>
      <c r="H416" s="250">
        <f>'385°C'!$P$69</f>
        <v>387</v>
      </c>
    </row>
    <row r="417" spans="2:8" x14ac:dyDescent="0.25">
      <c r="B417" s="253" t="s">
        <v>430</v>
      </c>
      <c r="C417" s="247" t="str">
        <f t="shared" si="5"/>
        <v>4</v>
      </c>
      <c r="D417" s="250">
        <f ca="1">'385°C'!$Q$70</f>
        <v>387.26</v>
      </c>
      <c r="E417" s="250">
        <f ca="1">'385°C'!$Q$71</f>
        <v>386.87</v>
      </c>
      <c r="F417" s="250">
        <f ca="1">'385°C'!$Q$72</f>
        <v>387.02066666666656</v>
      </c>
      <c r="G417" s="250">
        <f t="shared" ca="1" si="4"/>
        <v>0.38999999999998636</v>
      </c>
      <c r="H417" s="250">
        <f>'385°C'!$Q$69</f>
        <v>387.26</v>
      </c>
    </row>
    <row r="418" spans="2:8" x14ac:dyDescent="0.25">
      <c r="B418" s="253" t="s">
        <v>431</v>
      </c>
      <c r="C418" s="247" t="str">
        <f t="shared" si="5"/>
        <v>5</v>
      </c>
      <c r="D418" s="250">
        <f ca="1">'385°C'!$R$70</f>
        <v>387.02</v>
      </c>
      <c r="E418" s="250">
        <f ca="1">'385°C'!$R$71</f>
        <v>386.25</v>
      </c>
      <c r="F418" s="250">
        <f ca="1">'385°C'!$R$72</f>
        <v>386.68366666666657</v>
      </c>
      <c r="G418" s="250">
        <f t="shared" ca="1" si="4"/>
        <v>0.76999999999998181</v>
      </c>
      <c r="H418" s="250">
        <f>'385°C'!$R$69</f>
        <v>387.53</v>
      </c>
    </row>
    <row r="419" spans="2:8" x14ac:dyDescent="0.25">
      <c r="B419" s="253" t="s">
        <v>432</v>
      </c>
      <c r="C419" s="247" t="str">
        <f t="shared" si="5"/>
        <v>6</v>
      </c>
      <c r="D419" s="250">
        <f ca="1">'385°C'!$S$70</f>
        <v>389.01000000000005</v>
      </c>
      <c r="E419" s="250">
        <f ca="1">'385°C'!$S$71</f>
        <v>388.44</v>
      </c>
      <c r="F419" s="250">
        <f ca="1">'385°C'!$S$72</f>
        <v>388.6753333333333</v>
      </c>
      <c r="G419" s="250">
        <f t="shared" ca="1" si="4"/>
        <v>0.57000000000005002</v>
      </c>
      <c r="H419" s="250">
        <f>'385°C'!$S$69</f>
        <v>389.94</v>
      </c>
    </row>
    <row r="420" spans="2:8" x14ac:dyDescent="0.25">
      <c r="B420" s="253" t="s">
        <v>433</v>
      </c>
      <c r="C420" s="247" t="str">
        <f t="shared" si="5"/>
        <v>7</v>
      </c>
      <c r="D420" s="250">
        <f ca="1">'385°C'!$T$70</f>
        <v>385.79999999999995</v>
      </c>
      <c r="E420" s="250">
        <f ca="1">'385°C'!$T$71</f>
        <v>385.39</v>
      </c>
      <c r="F420" s="250">
        <f ca="1">'385°C'!$T$72</f>
        <v>385.61933333333326</v>
      </c>
      <c r="G420" s="250">
        <f t="shared" ca="1" si="4"/>
        <v>0.40999999999996817</v>
      </c>
      <c r="H420" s="250">
        <f>'385°C'!$T$69</f>
        <v>385.79999999999995</v>
      </c>
    </row>
    <row r="421" spans="2:8" x14ac:dyDescent="0.25">
      <c r="B421" s="253" t="s">
        <v>434</v>
      </c>
      <c r="C421" s="247" t="str">
        <f t="shared" si="5"/>
        <v>8</v>
      </c>
      <c r="D421" s="250">
        <f ca="1">'385°C'!$U$70</f>
        <v>387.48</v>
      </c>
      <c r="E421" s="250">
        <f ca="1">'385°C'!$U$71</f>
        <v>386.89</v>
      </c>
      <c r="F421" s="250">
        <f ca="1">'385°C'!$U$72</f>
        <v>387.14266666666663</v>
      </c>
      <c r="G421" s="250">
        <f t="shared" ca="1" si="4"/>
        <v>0.59000000000003183</v>
      </c>
      <c r="H421" s="250">
        <f>'385°C'!$U$69</f>
        <v>388.90999999999997</v>
      </c>
    </row>
    <row r="422" spans="2:8" x14ac:dyDescent="0.25">
      <c r="B422" s="253" t="s">
        <v>435</v>
      </c>
      <c r="C422" s="247" t="str">
        <f t="shared" si="5"/>
        <v>9</v>
      </c>
      <c r="D422" s="250">
        <f ca="1">'385°C'!$V$70</f>
        <v>387.07</v>
      </c>
      <c r="E422" s="250">
        <f ca="1">'385°C'!$V$71</f>
        <v>386.67</v>
      </c>
      <c r="F422" s="250">
        <f ca="1">'385°C'!$V$72</f>
        <v>386.82166666666666</v>
      </c>
      <c r="G422" s="250">
        <f t="shared" ca="1" si="4"/>
        <v>0.39999999999997726</v>
      </c>
      <c r="H422" s="250">
        <f>'385°C'!$V$69</f>
        <v>387.07</v>
      </c>
    </row>
    <row r="424" spans="2:8" ht="18.75" x14ac:dyDescent="0.3">
      <c r="B424" s="231" t="s">
        <v>436</v>
      </c>
    </row>
    <row r="456" spans="2:6" ht="18.75" x14ac:dyDescent="0.3">
      <c r="B456" s="231" t="s">
        <v>437</v>
      </c>
    </row>
    <row r="457" spans="2:6" ht="18.75" x14ac:dyDescent="0.3">
      <c r="B457" s="231"/>
      <c r="C457" s="391" t="s">
        <v>438</v>
      </c>
      <c r="D457" s="391"/>
      <c r="E457" s="391"/>
      <c r="F457" s="391"/>
    </row>
    <row r="458" spans="2:6" ht="28.9" customHeight="1" x14ac:dyDescent="0.25">
      <c r="C458" s="392" t="str">
        <f>_xlfn.CONCAT("Dépassement de la consigne durant la phase de montée ou de maintien en température (&gt; ",B383,")")</f>
        <v>Dépassement de la consigne durant la phase de montée ou de maintien en température (&gt; 385°C)</v>
      </c>
      <c r="D458" s="392"/>
      <c r="E458" s="394">
        <f>IF('385°C'!W69-Mesures_Four!B23&gt;0,'385°C'!W69-Mesures_Four!B23,"PAS DE DÉPASSEMENT")</f>
        <v>4.9399999999999977</v>
      </c>
      <c r="F458" s="394"/>
    </row>
    <row r="459" spans="2:6" x14ac:dyDescent="0.25">
      <c r="C459" s="415" t="str">
        <f>_xlfn.CONCAT("Dépassement supérieur à la tolérance maximale (",C383,")")</f>
        <v>Dépassement supérieur à la tolérance maximale (± 5°C)</v>
      </c>
      <c r="D459" s="415"/>
      <c r="E459" s="396" t="str">
        <f>IF(OR(E458="PAS DE DÉPASSEMENT",E458&lt;=Mesures_Four!F23),"NON","OUI")</f>
        <v>NON</v>
      </c>
      <c r="F459" s="396"/>
    </row>
    <row r="461" spans="2:6" x14ac:dyDescent="0.25">
      <c r="C461" s="391" t="s">
        <v>439</v>
      </c>
      <c r="D461" s="391"/>
      <c r="E461" s="391"/>
      <c r="F461" s="391"/>
    </row>
    <row r="462" spans="2:6" ht="28.9" customHeight="1" x14ac:dyDescent="0.25">
      <c r="C462" s="392" t="s">
        <v>440</v>
      </c>
      <c r="D462" s="392"/>
      <c r="E462" s="393">
        <f ca="1">'385°C'!N80</f>
        <v>0.38999999999998636</v>
      </c>
      <c r="F462" s="393"/>
    </row>
    <row r="463" spans="2:6" ht="28.9" customHeight="1" x14ac:dyDescent="0.25">
      <c r="C463" s="392" t="s">
        <v>441</v>
      </c>
      <c r="D463" s="392"/>
      <c r="E463" s="393">
        <f ca="1">'385°C'!N79</f>
        <v>4.0100000000000477</v>
      </c>
      <c r="F463" s="393"/>
    </row>
    <row r="464" spans="2:6" x14ac:dyDescent="0.25">
      <c r="C464" s="401" t="s">
        <v>442</v>
      </c>
      <c r="D464" s="401"/>
      <c r="E464" s="406">
        <f ca="1">'385°C'!N74</f>
        <v>3.6200000000000614</v>
      </c>
      <c r="F464" s="407"/>
    </row>
    <row r="465" spans="2:7" x14ac:dyDescent="0.25">
      <c r="C465" s="401" t="s">
        <v>443</v>
      </c>
      <c r="D465" s="401"/>
      <c r="E465" s="402">
        <f>Mesures_Four!G23</f>
        <v>10</v>
      </c>
      <c r="F465" s="402"/>
    </row>
    <row r="466" spans="2:7" x14ac:dyDescent="0.25">
      <c r="C466" s="395" t="s">
        <v>453</v>
      </c>
      <c r="D466" s="395"/>
      <c r="E466" s="403" t="str">
        <f ca="1">IF(AND(ABS(E462)&lt;=E465/2,(ABS(E463)&lt;=E465/2)),"CONFORME","NON CONFORME")</f>
        <v>CONFORME</v>
      </c>
      <c r="F466" s="403"/>
    </row>
    <row r="468" spans="2:7" x14ac:dyDescent="0.25">
      <c r="C468" s="408" t="s">
        <v>445</v>
      </c>
      <c r="D468" s="409"/>
      <c r="E468" s="246" t="s">
        <v>404</v>
      </c>
      <c r="F468" s="246" t="s">
        <v>401</v>
      </c>
    </row>
    <row r="469" spans="2:7" ht="28.9" customHeight="1" x14ac:dyDescent="0.25">
      <c r="B469" s="254" t="s">
        <v>446</v>
      </c>
      <c r="C469" s="404" t="s">
        <v>447</v>
      </c>
      <c r="D469" s="405"/>
      <c r="E469" s="154" t="str">
        <f ca="1">IF(ABS(E462)&lt;Mesures_Four!F23/2,"OUI","NON")</f>
        <v>OUI</v>
      </c>
      <c r="F469" s="154" t="str">
        <f ca="1">IF(ABS(E463)&lt;Mesures_Four!F23/2,"OUI","NON")</f>
        <v>NON</v>
      </c>
    </row>
    <row r="470" spans="2:7" ht="28.9" customHeight="1" x14ac:dyDescent="0.25">
      <c r="B470" s="412" t="s">
        <v>448</v>
      </c>
      <c r="C470" s="404" t="s">
        <v>454</v>
      </c>
      <c r="D470" s="405"/>
      <c r="E470" s="154" t="str">
        <f ca="1">IF(ABS('385°C'!AA125-'385°C'!W71)&lt;1.7,"OUI","NON")</f>
        <v>OUI</v>
      </c>
      <c r="F470" s="154" t="s">
        <v>201</v>
      </c>
    </row>
    <row r="471" spans="2:7" ht="28.9" customHeight="1" x14ac:dyDescent="0.25">
      <c r="B471" s="412"/>
      <c r="C471" s="404" t="s">
        <v>455</v>
      </c>
      <c r="D471" s="405"/>
      <c r="E471" s="154" t="s">
        <v>201</v>
      </c>
      <c r="F471" s="154" t="str">
        <f ca="1">IF(ABS('385°C'!AC124-'385°C'!W70)&lt;1.7,"OUI","NON")</f>
        <v>NON</v>
      </c>
    </row>
    <row r="472" spans="2:7" ht="28.9" customHeight="1" x14ac:dyDescent="0.25">
      <c r="C472" s="413" t="s">
        <v>451</v>
      </c>
      <c r="D472" s="413"/>
      <c r="E472" s="154" t="str">
        <f ca="1">IF(E469="OUI","NON",IF(E470="OUI","NON","OUI"))</f>
        <v>NON</v>
      </c>
      <c r="F472" s="154" t="str">
        <f ca="1">IF(F469="OUI","NON",IF(F471="OUI","NON","OUI"))</f>
        <v>OUI</v>
      </c>
    </row>
    <row r="473" spans="2:7" x14ac:dyDescent="0.25">
      <c r="C473" s="419"/>
      <c r="D473" s="419"/>
      <c r="E473" s="420"/>
      <c r="F473" s="419"/>
    </row>
    <row r="474" spans="2:7" ht="18.75" x14ac:dyDescent="0.25">
      <c r="B474" s="414" t="str">
        <f>_xlfn.CONCAT("A ",B383,", avec une consigne à ",B383,", le four est ")</f>
        <v xml:space="preserve">A 385°C, avec une consigne à 385°C, le four est </v>
      </c>
      <c r="C474" s="414"/>
      <c r="D474" s="414"/>
      <c r="E474" s="255" t="str">
        <f ca="1">IF(AND(E459="NON",E466="CONFORME"),"CONFORME","NON CONFORME")</f>
        <v>CONFORME</v>
      </c>
      <c r="F474" s="400" t="str">
        <f>_xlfn.CONCAT("à la tolérance requise de ± ",Mesures_Four!F23,"°C")</f>
        <v>à la tolérance requise de ± 5°C</v>
      </c>
      <c r="G474" s="400"/>
    </row>
    <row r="482" spans="2:6" ht="18.75" x14ac:dyDescent="0.3">
      <c r="B482" s="231" t="str">
        <f>_xlfn.CONCAT("6- Résultats et exploitations des résultats à ",B485)</f>
        <v>6- Résultats et exploitations des résultats à 535°C</v>
      </c>
    </row>
    <row r="484" spans="2:6" x14ac:dyDescent="0.25">
      <c r="B484" s="246" t="s">
        <v>241</v>
      </c>
      <c r="C484" s="246" t="s">
        <v>397</v>
      </c>
      <c r="E484" s="246" t="s">
        <v>398</v>
      </c>
      <c r="F484" s="246" t="s">
        <v>399</v>
      </c>
    </row>
    <row r="485" spans="2:6" x14ac:dyDescent="0.25">
      <c r="B485" s="247" t="str">
        <f>Mesures_Four!G27</f>
        <v>535°C</v>
      </c>
      <c r="C485" s="248" t="str">
        <f>_xlfn.CONCAT("± ",Mesures_Four!F24,"°C")</f>
        <v>± 5°C</v>
      </c>
      <c r="E485" s="247" t="s">
        <v>400</v>
      </c>
      <c r="F485" s="258">
        <f>Mesures_Four!C24</f>
        <v>-0.6</v>
      </c>
    </row>
    <row r="486" spans="2:6" x14ac:dyDescent="0.25">
      <c r="E486" s="247" t="s">
        <v>401</v>
      </c>
      <c r="F486" s="258">
        <f>Mesures_Four!D24</f>
        <v>-0.27</v>
      </c>
    </row>
    <row r="487" spans="2:6" x14ac:dyDescent="0.25">
      <c r="B487" s="246" t="s">
        <v>402</v>
      </c>
      <c r="C487" s="246" t="s">
        <v>403</v>
      </c>
      <c r="E487" s="247" t="s">
        <v>404</v>
      </c>
      <c r="F487" s="258">
        <f>Mesures_Four!E24</f>
        <v>0.5</v>
      </c>
    </row>
    <row r="488" spans="2:6" x14ac:dyDescent="0.25">
      <c r="B488" s="249" t="str">
        <f>INDEX(tab_four535[Date/Heure],1)</f>
        <v>13/02/2024  07:00</v>
      </c>
      <c r="C488" s="249" t="str">
        <f ca="1">OFFSET(INDEX(tab_four535[Date/Heure],1),COUNTA(tab_four535[Date/Heure])+COUNTBLANK(tab_four535[Date/Heure])-1,0,1)</f>
        <v>13/02/2024  07:44</v>
      </c>
    </row>
    <row r="490" spans="2:6" ht="18.75" x14ac:dyDescent="0.3">
      <c r="B490" s="231" t="s">
        <v>405</v>
      </c>
    </row>
    <row r="492" spans="2:6" x14ac:dyDescent="0.25">
      <c r="C492" s="246" t="s">
        <v>406</v>
      </c>
      <c r="D492" s="246" t="s">
        <v>407</v>
      </c>
      <c r="E492" s="246" t="s">
        <v>408</v>
      </c>
      <c r="F492" s="246" t="s">
        <v>409</v>
      </c>
    </row>
    <row r="493" spans="2:6" x14ac:dyDescent="0.25">
      <c r="C493" s="247" t="s">
        <v>410</v>
      </c>
      <c r="D493" s="250">
        <f ca="1">'535°C'!AB112</f>
        <v>535.4</v>
      </c>
      <c r="E493" s="250">
        <f ca="1">'535°C'!AB113</f>
        <v>521.6</v>
      </c>
      <c r="F493" s="250">
        <f ca="1">'535°C'!AB114</f>
        <v>533.32000000000005</v>
      </c>
    </row>
    <row r="494" spans="2:6" x14ac:dyDescent="0.25">
      <c r="C494" s="247" t="s">
        <v>411</v>
      </c>
      <c r="D494" s="250">
        <f ca="1">'535°C'!AC112</f>
        <v>533.9</v>
      </c>
      <c r="E494" s="250">
        <f ca="1">'535°C'!AC113</f>
        <v>520.4</v>
      </c>
      <c r="F494" s="250">
        <f ca="1">'535°C'!AC114</f>
        <v>531.84666666666658</v>
      </c>
    </row>
    <row r="495" spans="2:6" x14ac:dyDescent="0.25">
      <c r="C495" s="247" t="s">
        <v>412</v>
      </c>
      <c r="D495" s="250">
        <f ca="1">'535°C'!AA112</f>
        <v>533.79999999999995</v>
      </c>
      <c r="E495" s="250">
        <f ca="1">'535°C'!AA113</f>
        <v>523.1</v>
      </c>
      <c r="F495" s="250">
        <f ca="1">'535°C'!AA114</f>
        <v>532.30666666666639</v>
      </c>
    </row>
    <row r="497" spans="2:5" ht="18.75" x14ac:dyDescent="0.3">
      <c r="B497" s="231" t="s">
        <v>413</v>
      </c>
    </row>
    <row r="499" spans="2:5" x14ac:dyDescent="0.25">
      <c r="B499" s="408" t="s">
        <v>301</v>
      </c>
      <c r="C499" s="409"/>
      <c r="D499" s="246" t="s">
        <v>414</v>
      </c>
      <c r="E499" s="246" t="s">
        <v>415</v>
      </c>
    </row>
    <row r="500" spans="2:5" x14ac:dyDescent="0.25">
      <c r="B500" s="410" t="s">
        <v>416</v>
      </c>
      <c r="C500" s="411"/>
      <c r="D500" s="251" t="str">
        <f>B485</f>
        <v>535°C</v>
      </c>
      <c r="E500" s="251" t="s">
        <v>201</v>
      </c>
    </row>
    <row r="501" spans="2:5" x14ac:dyDescent="0.25">
      <c r="B501" s="410" t="s">
        <v>202</v>
      </c>
      <c r="C501" s="411"/>
      <c r="D501" s="251" t="str">
        <f>B485</f>
        <v>535°C</v>
      </c>
      <c r="E501" s="251" t="s">
        <v>201</v>
      </c>
    </row>
    <row r="502" spans="2:5" ht="15" customHeight="1" x14ac:dyDescent="0.25">
      <c r="B502" s="410" t="s">
        <v>417</v>
      </c>
      <c r="C502" s="411"/>
      <c r="D502" s="250">
        <f>'535°C'!W54</f>
        <v>538.94999999999993</v>
      </c>
      <c r="E502" s="252" t="str">
        <f>VLOOKUP(SUBSTITUTE(HLOOKUP(D502,'535°C'!$N54:$V$61,8,FALSE),"Connecteur ",""),Mesures_Four!B28:C36,2,FALSE)</f>
        <v>6</v>
      </c>
    </row>
    <row r="503" spans="2:5" ht="30" customHeight="1" x14ac:dyDescent="0.25">
      <c r="B503" s="404" t="s">
        <v>418</v>
      </c>
      <c r="C503" s="405"/>
      <c r="D503" s="250">
        <f ca="1">'535°C'!W55</f>
        <v>538.94999999999993</v>
      </c>
      <c r="E503" s="252" t="str">
        <f ca="1">VLOOKUP(SUBSTITUTE(HLOOKUP(D503,'535°C'!$N55:$V$61,7,FALSE),"Connecteur ",""),Mesures_Four!B28:C36,2,FALSE)</f>
        <v>6</v>
      </c>
    </row>
    <row r="504" spans="2:5" ht="30" customHeight="1" x14ac:dyDescent="0.25">
      <c r="B504" s="404" t="s">
        <v>419</v>
      </c>
      <c r="C504" s="405"/>
      <c r="D504" s="250">
        <f ca="1">'535°C'!W56</f>
        <v>522.37</v>
      </c>
      <c r="E504" s="252" t="str">
        <f ca="1">VLOOKUP(SUBSTITUTE(HLOOKUP(D504,'535°C'!$N56:$V$61,6,FALSE),"Connecteur ",""),Mesures_Four!B28:C36,2,FALSE)</f>
        <v>7</v>
      </c>
    </row>
    <row r="505" spans="2:5" ht="30" customHeight="1" x14ac:dyDescent="0.25">
      <c r="B505" s="404" t="s">
        <v>420</v>
      </c>
      <c r="C505" s="405"/>
      <c r="D505" s="250">
        <f ca="1">'535°C'!W60</f>
        <v>535.83874074074083</v>
      </c>
      <c r="E505" s="251" t="s">
        <v>201</v>
      </c>
    </row>
    <row r="512" spans="2:5" ht="18.75" x14ac:dyDescent="0.3">
      <c r="B512" s="231" t="s">
        <v>421</v>
      </c>
    </row>
    <row r="513" spans="2:8" ht="18.75" x14ac:dyDescent="0.3">
      <c r="B513" s="231"/>
    </row>
    <row r="514" spans="2:8" x14ac:dyDescent="0.25">
      <c r="B514" s="389" t="s">
        <v>422</v>
      </c>
      <c r="C514" s="389" t="s">
        <v>415</v>
      </c>
      <c r="D514" s="408" t="s">
        <v>423</v>
      </c>
      <c r="E514" s="416"/>
      <c r="F514" s="416"/>
      <c r="G514" s="409"/>
      <c r="H514" s="246" t="s">
        <v>342</v>
      </c>
    </row>
    <row r="515" spans="2:8" x14ac:dyDescent="0.25">
      <c r="B515" s="389"/>
      <c r="C515" s="389"/>
      <c r="D515" s="247" t="s">
        <v>424</v>
      </c>
      <c r="E515" s="247" t="s">
        <v>425</v>
      </c>
      <c r="F515" s="247" t="s">
        <v>213</v>
      </c>
      <c r="G515" s="247" t="s">
        <v>214</v>
      </c>
      <c r="H515" s="247" t="s">
        <v>426</v>
      </c>
    </row>
    <row r="516" spans="2:8" x14ac:dyDescent="0.25">
      <c r="B516" s="253" t="s">
        <v>427</v>
      </c>
      <c r="C516" s="247" t="str">
        <f>VLOOKUP($B516,$C$147:$D$155,2,FALSE)</f>
        <v>1</v>
      </c>
      <c r="D516" s="250">
        <f ca="1">'535°C'!N55</f>
        <v>537.6</v>
      </c>
      <c r="E516" s="250">
        <f ca="1">'535°C'!N56</f>
        <v>527.29999999999995</v>
      </c>
      <c r="F516" s="250">
        <f ca="1">'535°C'!N57</f>
        <v>536.19166666666661</v>
      </c>
      <c r="G516" s="250">
        <f t="shared" ref="G516:G524" ca="1" si="6">D516-E516</f>
        <v>10.300000000000068</v>
      </c>
      <c r="H516" s="250">
        <f>'535°C'!N54</f>
        <v>537.6</v>
      </c>
    </row>
    <row r="517" spans="2:8" x14ac:dyDescent="0.25">
      <c r="B517" s="253" t="s">
        <v>428</v>
      </c>
      <c r="C517" s="247" t="str">
        <f t="shared" ref="C517:C524" si="7">VLOOKUP($B517,$C$147:$D$155,2,FALSE)</f>
        <v>2</v>
      </c>
      <c r="D517" s="250">
        <f ca="1">'535°C'!O55</f>
        <v>537.32000000000005</v>
      </c>
      <c r="E517" s="250">
        <f ca="1">'535°C'!O56</f>
        <v>525.74</v>
      </c>
      <c r="F517" s="250">
        <f ca="1">'535°C'!O57</f>
        <v>535.61733333333325</v>
      </c>
      <c r="G517" s="250">
        <f t="shared" ca="1" si="6"/>
        <v>11.580000000000041</v>
      </c>
      <c r="H517" s="250">
        <f>'535°C'!O54</f>
        <v>537.32000000000005</v>
      </c>
    </row>
    <row r="518" spans="2:8" x14ac:dyDescent="0.25">
      <c r="B518" s="253" t="s">
        <v>429</v>
      </c>
      <c r="C518" s="247" t="str">
        <f t="shared" si="7"/>
        <v>3</v>
      </c>
      <c r="D518" s="250">
        <f ca="1">'535°C'!P55</f>
        <v>537.11</v>
      </c>
      <c r="E518" s="250">
        <f ca="1">'535°C'!P56</f>
        <v>525.38</v>
      </c>
      <c r="F518" s="250">
        <f ca="1">'535°C'!P57</f>
        <v>535.31333333333339</v>
      </c>
      <c r="G518" s="250">
        <f t="shared" ca="1" si="6"/>
        <v>11.730000000000018</v>
      </c>
      <c r="H518" s="250">
        <f>'535°C'!P54</f>
        <v>537.11</v>
      </c>
    </row>
    <row r="519" spans="2:8" x14ac:dyDescent="0.25">
      <c r="B519" s="253" t="s">
        <v>430</v>
      </c>
      <c r="C519" s="247" t="str">
        <f t="shared" si="7"/>
        <v>4</v>
      </c>
      <c r="D519" s="250">
        <f ca="1">'535°C'!Q55</f>
        <v>537.16999999999996</v>
      </c>
      <c r="E519" s="250">
        <f ca="1">'535°C'!Q56</f>
        <v>527.78</v>
      </c>
      <c r="F519" s="250">
        <f ca="1">'535°C'!Q57</f>
        <v>535.98099999999988</v>
      </c>
      <c r="G519" s="250">
        <f t="shared" ca="1" si="6"/>
        <v>9.3899999999999864</v>
      </c>
      <c r="H519" s="250">
        <f>'535°C'!Q54</f>
        <v>537.16999999999996</v>
      </c>
    </row>
    <row r="520" spans="2:8" x14ac:dyDescent="0.25">
      <c r="B520" s="253" t="s">
        <v>431</v>
      </c>
      <c r="C520" s="247" t="str">
        <f t="shared" si="7"/>
        <v>5</v>
      </c>
      <c r="D520" s="250">
        <f ca="1">'535°C'!R55</f>
        <v>536.72</v>
      </c>
      <c r="E520" s="250">
        <f ca="1">'535°C'!R56</f>
        <v>527.44000000000005</v>
      </c>
      <c r="F520" s="250">
        <f ca="1">'535°C'!R57</f>
        <v>535.44700000000012</v>
      </c>
      <c r="G520" s="250">
        <f t="shared" ca="1" si="6"/>
        <v>9.2799999999999727</v>
      </c>
      <c r="H520" s="250">
        <f>'535°C'!R54</f>
        <v>536.72</v>
      </c>
    </row>
    <row r="521" spans="2:8" x14ac:dyDescent="0.25">
      <c r="B521" s="253" t="s">
        <v>432</v>
      </c>
      <c r="C521" s="247" t="str">
        <f t="shared" si="7"/>
        <v>6</v>
      </c>
      <c r="D521" s="250">
        <f ca="1">'535°C'!S55</f>
        <v>538.94999999999993</v>
      </c>
      <c r="E521" s="250">
        <f ca="1">'535°C'!S56</f>
        <v>530.01</v>
      </c>
      <c r="F521" s="250">
        <f ca="1">'535°C'!S57</f>
        <v>537.5723333333334</v>
      </c>
      <c r="G521" s="250">
        <f t="shared" ca="1" si="6"/>
        <v>8.9399999999999409</v>
      </c>
      <c r="H521" s="250">
        <f>'535°C'!S54</f>
        <v>538.94999999999993</v>
      </c>
    </row>
    <row r="522" spans="2:8" x14ac:dyDescent="0.25">
      <c r="B522" s="253" t="s">
        <v>433</v>
      </c>
      <c r="C522" s="247" t="str">
        <f t="shared" si="7"/>
        <v>7</v>
      </c>
      <c r="D522" s="250">
        <f ca="1">'535°C'!T55</f>
        <v>535.31000000000006</v>
      </c>
      <c r="E522" s="250">
        <f ca="1">'535°C'!T56</f>
        <v>522.37</v>
      </c>
      <c r="F522" s="250">
        <f ca="1">'535°C'!T57</f>
        <v>533.39233333333345</v>
      </c>
      <c r="G522" s="250">
        <f t="shared" ca="1" si="6"/>
        <v>12.940000000000055</v>
      </c>
      <c r="H522" s="250">
        <f>'535°C'!T54</f>
        <v>535.31000000000006</v>
      </c>
    </row>
    <row r="523" spans="2:8" x14ac:dyDescent="0.25">
      <c r="B523" s="253" t="s">
        <v>434</v>
      </c>
      <c r="C523" s="247" t="str">
        <f t="shared" si="7"/>
        <v>8</v>
      </c>
      <c r="D523" s="250">
        <f ca="1">'535°C'!U55</f>
        <v>538.20000000000005</v>
      </c>
      <c r="E523" s="250">
        <f ca="1">'535°C'!U56</f>
        <v>530.31000000000006</v>
      </c>
      <c r="F523" s="250">
        <f ca="1">'535°C'!U57</f>
        <v>536.92466666666667</v>
      </c>
      <c r="G523" s="250">
        <f t="shared" ca="1" si="6"/>
        <v>7.8899999999999864</v>
      </c>
      <c r="H523" s="250">
        <f>'535°C'!U54</f>
        <v>538.20000000000005</v>
      </c>
    </row>
    <row r="524" spans="2:8" x14ac:dyDescent="0.25">
      <c r="B524" s="253" t="s">
        <v>435</v>
      </c>
      <c r="C524" s="247" t="str">
        <f t="shared" si="7"/>
        <v>9</v>
      </c>
      <c r="D524" s="250">
        <f ca="1">'535°C'!V55</f>
        <v>537.39</v>
      </c>
      <c r="E524" s="250">
        <f ca="1">'535°C'!V56</f>
        <v>527.55000000000007</v>
      </c>
      <c r="F524" s="250">
        <f ca="1">'535°C'!V57</f>
        <v>536.10900000000004</v>
      </c>
      <c r="G524" s="250">
        <f t="shared" ca="1" si="6"/>
        <v>9.8399999999999181</v>
      </c>
      <c r="H524" s="250">
        <f>'535°C'!V54</f>
        <v>537.39</v>
      </c>
    </row>
    <row r="526" spans="2:8" ht="18.75" x14ac:dyDescent="0.3">
      <c r="B526" s="231" t="s">
        <v>436</v>
      </c>
    </row>
    <row r="557" spans="2:6" ht="18.75" x14ac:dyDescent="0.3">
      <c r="B557" s="231" t="s">
        <v>437</v>
      </c>
    </row>
    <row r="558" spans="2:6" ht="18.75" x14ac:dyDescent="0.3">
      <c r="B558" s="231"/>
      <c r="C558" s="391" t="s">
        <v>438</v>
      </c>
      <c r="D558" s="391"/>
      <c r="E558" s="391"/>
      <c r="F558" s="391"/>
    </row>
    <row r="559" spans="2:6" ht="28.9" customHeight="1" x14ac:dyDescent="0.25">
      <c r="C559" s="392" t="str">
        <f>_xlfn.CONCAT("Dépassement de la consigne durant la phase de montée ou de maintien en température (&gt; ",B485,")")</f>
        <v>Dépassement de la consigne durant la phase de montée ou de maintien en température (&gt; 535°C)</v>
      </c>
      <c r="D559" s="392"/>
      <c r="E559" s="394">
        <f>IF('535°C'!W54-Mesures_Four!B24&gt;0,'535°C'!W54-Mesures_Four!B24,"PAS DE DÉPASSEMENT")</f>
        <v>3.9499999999999318</v>
      </c>
      <c r="F559" s="394"/>
    </row>
    <row r="560" spans="2:6" x14ac:dyDescent="0.25">
      <c r="C560" s="415" t="str">
        <f>_xlfn.CONCAT("Dépassement supérieur à la tolérance maximale (",C485,")")</f>
        <v>Dépassement supérieur à la tolérance maximale (± 5°C)</v>
      </c>
      <c r="D560" s="415"/>
      <c r="E560" s="396" t="str">
        <f>IF(OR(E559="PAS DE DÉPASSEMENT",E559&lt;=Mesures_Four!F24),"NON","OUI")</f>
        <v>NON</v>
      </c>
      <c r="F560" s="396"/>
    </row>
    <row r="562" spans="2:7" x14ac:dyDescent="0.25">
      <c r="C562" s="421" t="s">
        <v>439</v>
      </c>
      <c r="D562" s="422"/>
      <c r="E562" s="422"/>
      <c r="F562" s="423"/>
    </row>
    <row r="563" spans="2:7" ht="28.9" customHeight="1" x14ac:dyDescent="0.25">
      <c r="C563" s="392" t="s">
        <v>456</v>
      </c>
      <c r="D563" s="392"/>
      <c r="E563" s="393">
        <f ca="1">'535°C'!N65</f>
        <v>-12.629999999999995</v>
      </c>
      <c r="F563" s="393"/>
    </row>
    <row r="564" spans="2:7" ht="28.9" customHeight="1" x14ac:dyDescent="0.25">
      <c r="C564" s="392" t="s">
        <v>457</v>
      </c>
      <c r="D564" s="392"/>
      <c r="E564" s="393">
        <f ca="1">'535°C'!N64</f>
        <v>3.9499999999999318</v>
      </c>
      <c r="F564" s="393"/>
    </row>
    <row r="565" spans="2:7" x14ac:dyDescent="0.25">
      <c r="C565" s="401" t="s">
        <v>442</v>
      </c>
      <c r="D565" s="401"/>
      <c r="E565" s="406">
        <f ca="1">'535°C'!N59</f>
        <v>16.579999999999927</v>
      </c>
      <c r="F565" s="407"/>
    </row>
    <row r="566" spans="2:7" x14ac:dyDescent="0.25">
      <c r="C566" s="401" t="s">
        <v>443</v>
      </c>
      <c r="D566" s="401"/>
      <c r="E566" s="402">
        <f>Mesures_Four!G24</f>
        <v>10</v>
      </c>
      <c r="F566" s="402"/>
    </row>
    <row r="567" spans="2:7" x14ac:dyDescent="0.25">
      <c r="C567" s="395" t="s">
        <v>458</v>
      </c>
      <c r="D567" s="395"/>
      <c r="E567" s="403" t="str">
        <f ca="1">IF(AND(ABS(E563)&lt;=E566/2,(ABS(E564)&lt;=E566/2)),"CONFORME","NON CONFORME")</f>
        <v>NON CONFORME</v>
      </c>
      <c r="F567" s="403"/>
    </row>
    <row r="569" spans="2:7" x14ac:dyDescent="0.25">
      <c r="C569" s="408" t="s">
        <v>445</v>
      </c>
      <c r="D569" s="409"/>
      <c r="E569" s="246" t="s">
        <v>459</v>
      </c>
      <c r="F569" s="246" t="s">
        <v>460</v>
      </c>
    </row>
    <row r="570" spans="2:7" ht="28.9" customHeight="1" x14ac:dyDescent="0.25">
      <c r="B570" s="254" t="s">
        <v>446</v>
      </c>
      <c r="C570" s="404" t="s">
        <v>447</v>
      </c>
      <c r="D570" s="405"/>
      <c r="E570" s="154" t="str">
        <f ca="1">IF(ABS(E563)&lt;Mesures_Four!F24/2,"OUI","NON")</f>
        <v>NON</v>
      </c>
      <c r="F570" s="154" t="str">
        <f ca="1">IF(ABS(E564)&lt;Mesures_Four!F24/2,"OUI","NON")</f>
        <v>NON</v>
      </c>
    </row>
    <row r="571" spans="2:7" ht="28.9" customHeight="1" x14ac:dyDescent="0.25">
      <c r="B571" s="412" t="s">
        <v>448</v>
      </c>
      <c r="C571" s="404" t="s">
        <v>454</v>
      </c>
      <c r="D571" s="405"/>
      <c r="E571" s="154" t="str">
        <f ca="1">IF(ABS('535°C'!AA113-'535°C'!W56)&lt;1.7,"OUI","NON")</f>
        <v>OUI</v>
      </c>
      <c r="F571" s="154" t="s">
        <v>201</v>
      </c>
    </row>
    <row r="572" spans="2:7" ht="28.9" customHeight="1" x14ac:dyDescent="0.25">
      <c r="B572" s="412"/>
      <c r="C572" s="404" t="s">
        <v>455</v>
      </c>
      <c r="D572" s="405"/>
      <c r="E572" s="154" t="s">
        <v>201</v>
      </c>
      <c r="F572" s="154" t="str">
        <f ca="1">IF(ABS('535°C'!AC112-'535°C'!W55)&lt;1.7,"OUI","NON")</f>
        <v>NON</v>
      </c>
    </row>
    <row r="573" spans="2:7" ht="28.9" customHeight="1" x14ac:dyDescent="0.25">
      <c r="C573" s="424" t="s">
        <v>451</v>
      </c>
      <c r="D573" s="424"/>
      <c r="E573" s="259" t="str">
        <f ca="1">IF(E570="OUI","NON",IF(E571="OUI","NON","OUI"))</f>
        <v>NON</v>
      </c>
      <c r="F573" s="259" t="str">
        <f ca="1">IF(F570="OUI","NON",IF(F572="OUI","NON","OUI"))</f>
        <v>OUI</v>
      </c>
    </row>
    <row r="575" spans="2:7" ht="18.75" x14ac:dyDescent="0.25">
      <c r="B575" s="414" t="str">
        <f>_xlfn.CONCAT("A ",B485,", avec une consigne à ",B485,", le four est ")</f>
        <v xml:space="preserve">A 535°C, avec une consigne à 535°C, le four est </v>
      </c>
      <c r="C575" s="414"/>
      <c r="D575" s="414"/>
      <c r="E575" s="255" t="str">
        <f ca="1">IF(AND(E560="NON",E567="CONFORME"),"CONFORME","NON CONFORME")</f>
        <v>NON CONFORME</v>
      </c>
      <c r="F575" s="400" t="str">
        <f>_xlfn.CONCAT("à la tolérance requise de ± ",Mesures_Four!F24,"°C")</f>
        <v>à la tolérance requise de ± 5°C</v>
      </c>
      <c r="G575" s="400"/>
    </row>
    <row r="582" spans="1:11" ht="18.75" x14ac:dyDescent="0.3">
      <c r="B582" s="231" t="s">
        <v>461</v>
      </c>
    </row>
    <row r="583" spans="1:11" ht="18.75" x14ac:dyDescent="0.3">
      <c r="B583" s="231"/>
    </row>
    <row r="584" spans="1:11" ht="18.75" customHeight="1" x14ac:dyDescent="0.25">
      <c r="A584" s="421" t="s">
        <v>462</v>
      </c>
      <c r="B584" s="422"/>
      <c r="C584" s="423"/>
      <c r="D584" s="246" t="str">
        <f>B181</f>
        <v>80°C</v>
      </c>
      <c r="E584" s="246" t="str">
        <f>B281</f>
        <v>200°C</v>
      </c>
      <c r="F584" s="246" t="str">
        <f>B383</f>
        <v>385°C</v>
      </c>
      <c r="G584" s="246" t="str">
        <f>B485</f>
        <v>535°C</v>
      </c>
    </row>
    <row r="585" spans="1:11" x14ac:dyDescent="0.25">
      <c r="A585" s="428" t="s">
        <v>463</v>
      </c>
      <c r="B585" s="429"/>
      <c r="C585" s="430"/>
      <c r="D585" s="260">
        <f ca="1">OFFSET(INDEX(tab_four80[Consigne T°],1),COUNT(tab_four80[Consigne T°])-30,0,1)</f>
        <v>80</v>
      </c>
      <c r="E585" s="260">
        <f ca="1">OFFSET(INDEX(tab_four200[Consigne T°],1),COUNT(tab_four200[Consigne T°])-30,0,1)</f>
        <v>200</v>
      </c>
      <c r="F585" s="260">
        <f ca="1">OFFSET(INDEX(tab_four385[Consigne T°],1),COUNT(tab_four385[Consigne T°])-30,0,1)</f>
        <v>385</v>
      </c>
      <c r="G585" s="261">
        <f ca="1">OFFSET(INDEX(tab_four535[Consigne T°],1),COUNT(tab_four535[Consigne T°])-30,0,1)</f>
        <v>535</v>
      </c>
    </row>
    <row r="586" spans="1:11" ht="28.9" customHeight="1" x14ac:dyDescent="0.25">
      <c r="A586" s="425" t="s">
        <v>464</v>
      </c>
      <c r="B586" s="426"/>
      <c r="C586" s="427"/>
      <c r="D586" s="250">
        <f>E254</f>
        <v>3.3799999999999955</v>
      </c>
      <c r="E586" s="250">
        <f>E356</f>
        <v>3.6200000000000045</v>
      </c>
      <c r="F586" s="250">
        <f>E458</f>
        <v>4.9399999999999977</v>
      </c>
      <c r="G586" s="250">
        <f>E559</f>
        <v>3.9499999999999318</v>
      </c>
    </row>
    <row r="587" spans="1:11" x14ac:dyDescent="0.25">
      <c r="A587" s="428" t="s">
        <v>465</v>
      </c>
      <c r="B587" s="429"/>
      <c r="C587" s="430"/>
      <c r="D587" s="262">
        <f>Mesures_Four!F21</f>
        <v>3</v>
      </c>
      <c r="E587" s="262">
        <f>Mesures_Four!F22</f>
        <v>3</v>
      </c>
      <c r="F587" s="262">
        <f>Mesures_Four!F23</f>
        <v>5</v>
      </c>
      <c r="G587" s="262">
        <f>Mesures_Four!F24</f>
        <v>5</v>
      </c>
    </row>
    <row r="588" spans="1:11" ht="18.75" x14ac:dyDescent="0.3">
      <c r="A588" s="428" t="s">
        <v>466</v>
      </c>
      <c r="B588" s="429"/>
      <c r="C588" s="430"/>
      <c r="D588" s="263" t="str">
        <f>E255</f>
        <v>OUI</v>
      </c>
      <c r="E588" s="263" t="str">
        <f>E357</f>
        <v>OUI</v>
      </c>
      <c r="F588" s="263" t="str">
        <f>E459</f>
        <v>NON</v>
      </c>
      <c r="G588" s="263" t="str">
        <f>E560</f>
        <v>NON</v>
      </c>
    </row>
    <row r="589" spans="1:11" x14ac:dyDescent="0.25">
      <c r="A589" s="428" t="s">
        <v>467</v>
      </c>
      <c r="B589" s="429"/>
      <c r="C589" s="430"/>
      <c r="D589" s="259">
        <v>1</v>
      </c>
      <c r="E589" s="259">
        <v>1</v>
      </c>
      <c r="F589" s="154">
        <v>2</v>
      </c>
      <c r="G589" s="259">
        <v>2</v>
      </c>
    </row>
    <row r="590" spans="1:11" ht="31.15" customHeight="1" x14ac:dyDescent="0.25">
      <c r="A590" s="425" t="s">
        <v>440</v>
      </c>
      <c r="B590" s="426"/>
      <c r="C590" s="427"/>
      <c r="D590" s="261">
        <f ca="1">E258</f>
        <v>1.1499999999999915</v>
      </c>
      <c r="E590" s="261">
        <f ca="1">E360</f>
        <v>1.1200000000000045</v>
      </c>
      <c r="F590" s="153">
        <f ca="1">E462</f>
        <v>0.38999999999998636</v>
      </c>
      <c r="G590" s="261">
        <f ca="1">E563</f>
        <v>-12.629999999999995</v>
      </c>
      <c r="K590" s="264"/>
    </row>
    <row r="591" spans="1:11" ht="31.15" customHeight="1" x14ac:dyDescent="0.25">
      <c r="A591" s="425" t="s">
        <v>441</v>
      </c>
      <c r="B591" s="426"/>
      <c r="C591" s="427"/>
      <c r="D591" s="261">
        <f ca="1">E259</f>
        <v>2.039999999999992</v>
      </c>
      <c r="E591" s="261">
        <f ca="1">E361</f>
        <v>2.6099999999999852</v>
      </c>
      <c r="F591" s="153">
        <f ca="1">E463</f>
        <v>4.0100000000000477</v>
      </c>
      <c r="G591" s="261">
        <f t="shared" ref="G591:G592" ca="1" si="8">E564</f>
        <v>3.9499999999999318</v>
      </c>
      <c r="K591" s="264"/>
    </row>
    <row r="592" spans="1:11" x14ac:dyDescent="0.25">
      <c r="A592" s="428" t="s">
        <v>468</v>
      </c>
      <c r="B592" s="429"/>
      <c r="C592" s="430"/>
      <c r="D592" s="261">
        <f ca="1">E260</f>
        <v>0.89000000000000057</v>
      </c>
      <c r="E592" s="261">
        <f ca="1">E362</f>
        <v>1.4899999999999807</v>
      </c>
      <c r="F592" s="153">
        <f ca="1">E464</f>
        <v>3.6200000000000614</v>
      </c>
      <c r="G592" s="261">
        <f t="shared" ca="1" si="8"/>
        <v>16.579999999999927</v>
      </c>
    </row>
    <row r="593" spans="1:8" ht="18.75" x14ac:dyDescent="0.25">
      <c r="A593" s="428" t="s">
        <v>223</v>
      </c>
      <c r="B593" s="429"/>
      <c r="C593" s="430"/>
      <c r="D593" s="265" t="str">
        <f ca="1">E262</f>
        <v>CONFORME</v>
      </c>
      <c r="E593" s="265" t="str">
        <f ca="1">E364</f>
        <v>CONFORME</v>
      </c>
      <c r="F593" s="265" t="str">
        <f ca="1">E466</f>
        <v>CONFORME</v>
      </c>
      <c r="G593" s="265" t="str">
        <f ca="1">E567</f>
        <v>NON CONFORME</v>
      </c>
    </row>
    <row r="594" spans="1:8" ht="18.75" x14ac:dyDescent="0.3">
      <c r="B594" s="231"/>
    </row>
    <row r="595" spans="1:8" x14ac:dyDescent="0.25">
      <c r="A595" s="421" t="s">
        <v>445</v>
      </c>
      <c r="B595" s="422"/>
      <c r="C595" s="423"/>
      <c r="D595" s="408" t="s">
        <v>404</v>
      </c>
      <c r="E595" s="409"/>
      <c r="F595" s="408" t="s">
        <v>401</v>
      </c>
      <c r="G595" s="409"/>
    </row>
    <row r="596" spans="1:8" x14ac:dyDescent="0.25">
      <c r="A596" s="428" t="s">
        <v>469</v>
      </c>
      <c r="B596" s="429"/>
      <c r="C596" s="430"/>
      <c r="D596" s="431" t="str">
        <f ca="1">E268</f>
        <v>NON</v>
      </c>
      <c r="E596" s="432"/>
      <c r="F596" s="431" t="str">
        <f ca="1">F268</f>
        <v>NON</v>
      </c>
      <c r="G596" s="432"/>
    </row>
    <row r="597" spans="1:8" x14ac:dyDescent="0.25">
      <c r="A597" s="428" t="s">
        <v>470</v>
      </c>
      <c r="B597" s="429"/>
      <c r="C597" s="430"/>
      <c r="D597" s="431" t="str">
        <f ca="1">E370</f>
        <v>NON</v>
      </c>
      <c r="E597" s="432"/>
      <c r="F597" s="431" t="str">
        <f ca="1">F370</f>
        <v>NON</v>
      </c>
      <c r="G597" s="432"/>
    </row>
    <row r="598" spans="1:8" x14ac:dyDescent="0.25">
      <c r="A598" s="428" t="s">
        <v>471</v>
      </c>
      <c r="B598" s="429"/>
      <c r="C598" s="430"/>
      <c r="D598" s="431" t="str">
        <f ca="1">E472</f>
        <v>NON</v>
      </c>
      <c r="E598" s="432"/>
      <c r="F598" s="431" t="str">
        <f ca="1">F472</f>
        <v>OUI</v>
      </c>
      <c r="G598" s="432"/>
    </row>
    <row r="599" spans="1:8" x14ac:dyDescent="0.25">
      <c r="A599" s="428" t="s">
        <v>472</v>
      </c>
      <c r="B599" s="429"/>
      <c r="C599" s="430"/>
      <c r="D599" s="431" t="str">
        <f ca="1">E573</f>
        <v>NON</v>
      </c>
      <c r="E599" s="432"/>
      <c r="F599" s="431" t="str">
        <f ca="1">F573</f>
        <v>OUI</v>
      </c>
      <c r="G599" s="432"/>
    </row>
    <row r="600" spans="1:8" ht="18.75" x14ac:dyDescent="0.3">
      <c r="A600" s="437" t="s">
        <v>473</v>
      </c>
      <c r="B600" s="438"/>
      <c r="C600" s="439"/>
      <c r="D600" s="440" t="str">
        <f ca="1">IF(AND(E268="NON",E370="NON",E472="NON",E573="NON"),"NON","OUI")</f>
        <v>NON</v>
      </c>
      <c r="E600" s="440"/>
      <c r="F600" s="441" t="str">
        <f ca="1">IF(AND(F268="NON",F370="NON",F472="NON",F573="NON"),"NON","OUI")</f>
        <v>OUI</v>
      </c>
      <c r="G600" s="442"/>
    </row>
    <row r="601" spans="1:8" ht="18.75" x14ac:dyDescent="0.3">
      <c r="B601" s="231"/>
    </row>
    <row r="602" spans="1:8" ht="18.75" x14ac:dyDescent="0.25">
      <c r="A602" s="266" t="s">
        <v>474</v>
      </c>
      <c r="B602" s="443" t="str">
        <f>D57</f>
        <v>THERMIDOR</v>
      </c>
      <c r="C602" s="443"/>
      <c r="D602" s="267" t="s">
        <v>475</v>
      </c>
      <c r="E602" s="268" t="str">
        <f ca="1">IF(AND(D588="NON",E588="NON",F588="NON",G588="NON",D593="CONFORME",E593="CONFORME",F593="CONFORME",G593="CONFORME"),"CONFORME","Non CONFORME")</f>
        <v>Non CONFORME</v>
      </c>
      <c r="F602" s="444" t="s">
        <v>476</v>
      </c>
      <c r="G602" s="444"/>
      <c r="H602" s="269" t="s">
        <v>477</v>
      </c>
    </row>
    <row r="604" spans="1:8" x14ac:dyDescent="0.25">
      <c r="B604" t="s">
        <v>478</v>
      </c>
    </row>
    <row r="605" spans="1:8" x14ac:dyDescent="0.25">
      <c r="C605" s="433" t="s">
        <v>479</v>
      </c>
      <c r="D605" s="433"/>
      <c r="E605" s="433"/>
    </row>
    <row r="606" spans="1:8" x14ac:dyDescent="0.25">
      <c r="C606" s="433" t="s">
        <v>480</v>
      </c>
      <c r="D606" s="433"/>
      <c r="E606" s="433"/>
    </row>
    <row r="607" spans="1:8" x14ac:dyDescent="0.25">
      <c r="C607" s="434" t="s">
        <v>481</v>
      </c>
      <c r="D607" s="434"/>
      <c r="E607" s="434"/>
    </row>
    <row r="608" spans="1:8" x14ac:dyDescent="0.25">
      <c r="C608" s="434"/>
      <c r="D608" s="434"/>
      <c r="E608" s="434"/>
    </row>
    <row r="609" spans="2:8" ht="14.45" customHeight="1" x14ac:dyDescent="0.25">
      <c r="C609" s="434" t="s">
        <v>482</v>
      </c>
      <c r="D609" s="434"/>
      <c r="E609" s="434"/>
    </row>
    <row r="610" spans="2:8" x14ac:dyDescent="0.25">
      <c r="C610" s="434"/>
      <c r="D610" s="434"/>
      <c r="E610" s="434"/>
    </row>
    <row r="612" spans="2:8" ht="14.45" customHeight="1" x14ac:dyDescent="0.25">
      <c r="B612" s="435" t="str">
        <f ca="1">IF(E602&lt;&gt;"CONFORME","ECHEC DE TUS : LA TUS DEVRA DONC ÊTRE RÉALISÉE TOUS LES MOIS JUSQU’À CE QUE 4 TUS CONSÉCUTIVES SOIENT CONFORMES","")</f>
        <v>ECHEC DE TUS : LA TUS DEVRA DONC ÊTRE RÉALISÉE TOUS LES MOIS JUSQU’À CE QUE 4 TUS CONSÉCUTIVES SOIENT CONFORMES</v>
      </c>
      <c r="C612" s="435"/>
      <c r="D612" s="435"/>
      <c r="E612" s="435"/>
      <c r="G612" s="335" t="s">
        <v>483</v>
      </c>
      <c r="H612" s="436">
        <f>IF(D11&lt;&gt;"",D11,"")</f>
        <v>45337</v>
      </c>
    </row>
    <row r="613" spans="2:8" ht="14.45" customHeight="1" x14ac:dyDescent="0.25">
      <c r="B613" s="435"/>
      <c r="C613" s="435"/>
      <c r="D613" s="435"/>
      <c r="E613" s="435"/>
      <c r="G613" s="335"/>
      <c r="H613" s="335"/>
    </row>
    <row r="614" spans="2:8" ht="14.45" customHeight="1" x14ac:dyDescent="0.25">
      <c r="B614" s="435"/>
      <c r="C614" s="435"/>
      <c r="D614" s="435"/>
      <c r="E614" s="435"/>
      <c r="G614" s="335" t="s">
        <v>484</v>
      </c>
      <c r="H614" s="436">
        <f>+IF(D11&lt;&gt;"",EDATE(D11,3),"")</f>
        <v>45427</v>
      </c>
    </row>
    <row r="615" spans="2:8" ht="14.45" customHeight="1" x14ac:dyDescent="0.25">
      <c r="B615" s="435"/>
      <c r="C615" s="435"/>
      <c r="D615" s="435"/>
      <c r="E615" s="435"/>
      <c r="G615" s="335"/>
      <c r="H615" s="335"/>
    </row>
  </sheetData>
  <sheetProtection algorithmName="SHA-512" hashValue="NoK/UHCtZiiWI6vpMHHd/HBesvpFvbERz3eTwCfIyIJ2RU09zLs6miHwcHBBcny4roSKAsKRi7f53gu6n7B8iQ==" saltValue="krxkOZjn/1cmbp07OB6NaQ==" spinCount="100000" sheet="1" objects="1" scenarios="1" selectLockedCells="1" selectUnlockedCells="1"/>
  <mergeCells count="192">
    <mergeCell ref="C606:E606"/>
    <mergeCell ref="C607:E608"/>
    <mergeCell ref="C609:E610"/>
    <mergeCell ref="B612:E615"/>
    <mergeCell ref="G612:G613"/>
    <mergeCell ref="H612:H613"/>
    <mergeCell ref="G614:G615"/>
    <mergeCell ref="H614:H615"/>
    <mergeCell ref="A600:C600"/>
    <mergeCell ref="D600:E600"/>
    <mergeCell ref="F600:G600"/>
    <mergeCell ref="B602:C602"/>
    <mergeCell ref="F602:G602"/>
    <mergeCell ref="C605:E605"/>
    <mergeCell ref="A598:C598"/>
    <mergeCell ref="D598:E598"/>
    <mergeCell ref="F598:G598"/>
    <mergeCell ref="A599:C599"/>
    <mergeCell ref="D599:E599"/>
    <mergeCell ref="F599:G599"/>
    <mergeCell ref="F595:G595"/>
    <mergeCell ref="A596:C596"/>
    <mergeCell ref="D596:E596"/>
    <mergeCell ref="F596:G596"/>
    <mergeCell ref="A597:C597"/>
    <mergeCell ref="D597:E597"/>
    <mergeCell ref="F597:G597"/>
    <mergeCell ref="A590:C590"/>
    <mergeCell ref="A591:C591"/>
    <mergeCell ref="A592:C592"/>
    <mergeCell ref="A593:C593"/>
    <mergeCell ref="A595:C595"/>
    <mergeCell ref="D595:E595"/>
    <mergeCell ref="A584:C584"/>
    <mergeCell ref="A585:C585"/>
    <mergeCell ref="A586:C586"/>
    <mergeCell ref="A587:C587"/>
    <mergeCell ref="A588:C588"/>
    <mergeCell ref="A589:C589"/>
    <mergeCell ref="B571:B572"/>
    <mergeCell ref="C571:D571"/>
    <mergeCell ref="C572:D572"/>
    <mergeCell ref="C573:D573"/>
    <mergeCell ref="B575:D575"/>
    <mergeCell ref="F575:G575"/>
    <mergeCell ref="C566:D566"/>
    <mergeCell ref="E566:F566"/>
    <mergeCell ref="C567:D567"/>
    <mergeCell ref="E567:F567"/>
    <mergeCell ref="C569:D569"/>
    <mergeCell ref="C570:D570"/>
    <mergeCell ref="C563:D563"/>
    <mergeCell ref="E563:F563"/>
    <mergeCell ref="C564:D564"/>
    <mergeCell ref="E564:F564"/>
    <mergeCell ref="C565:D565"/>
    <mergeCell ref="E565:F565"/>
    <mergeCell ref="C558:F558"/>
    <mergeCell ref="C559:D559"/>
    <mergeCell ref="E559:F559"/>
    <mergeCell ref="C560:D560"/>
    <mergeCell ref="E560:F560"/>
    <mergeCell ref="C562:F562"/>
    <mergeCell ref="B503:C503"/>
    <mergeCell ref="B504:C504"/>
    <mergeCell ref="B505:C505"/>
    <mergeCell ref="B514:B515"/>
    <mergeCell ref="C514:C515"/>
    <mergeCell ref="D514:G514"/>
    <mergeCell ref="B474:D474"/>
    <mergeCell ref="F474:G474"/>
    <mergeCell ref="B499:C499"/>
    <mergeCell ref="B500:C500"/>
    <mergeCell ref="B501:C501"/>
    <mergeCell ref="B502:C502"/>
    <mergeCell ref="B470:B471"/>
    <mergeCell ref="C470:D470"/>
    <mergeCell ref="C471:D471"/>
    <mergeCell ref="C472:D472"/>
    <mergeCell ref="C473:D473"/>
    <mergeCell ref="E473:F473"/>
    <mergeCell ref="C465:D465"/>
    <mergeCell ref="E465:F465"/>
    <mergeCell ref="C466:D466"/>
    <mergeCell ref="E466:F466"/>
    <mergeCell ref="C468:D468"/>
    <mergeCell ref="C469:D469"/>
    <mergeCell ref="C462:D462"/>
    <mergeCell ref="E462:F462"/>
    <mergeCell ref="C463:D463"/>
    <mergeCell ref="E463:F463"/>
    <mergeCell ref="C464:D464"/>
    <mergeCell ref="E464:F464"/>
    <mergeCell ref="C457:F457"/>
    <mergeCell ref="C458:D458"/>
    <mergeCell ref="E458:F458"/>
    <mergeCell ref="C459:D459"/>
    <mergeCell ref="E459:F459"/>
    <mergeCell ref="C461:F461"/>
    <mergeCell ref="B401:C401"/>
    <mergeCell ref="B402:C402"/>
    <mergeCell ref="B403:C403"/>
    <mergeCell ref="B412:B413"/>
    <mergeCell ref="C412:C413"/>
    <mergeCell ref="D412:G412"/>
    <mergeCell ref="B372:D372"/>
    <mergeCell ref="F372:G372"/>
    <mergeCell ref="B397:C397"/>
    <mergeCell ref="B398:C398"/>
    <mergeCell ref="B399:C399"/>
    <mergeCell ref="B400:C400"/>
    <mergeCell ref="C366:D366"/>
    <mergeCell ref="C367:D367"/>
    <mergeCell ref="B368:B369"/>
    <mergeCell ref="C368:D368"/>
    <mergeCell ref="C369:D369"/>
    <mergeCell ref="C370:D370"/>
    <mergeCell ref="C362:D362"/>
    <mergeCell ref="E362:F362"/>
    <mergeCell ref="C363:D363"/>
    <mergeCell ref="E363:F363"/>
    <mergeCell ref="C364:D364"/>
    <mergeCell ref="E364:F364"/>
    <mergeCell ref="C357:D357"/>
    <mergeCell ref="E357:F357"/>
    <mergeCell ref="C359:F359"/>
    <mergeCell ref="C360:D360"/>
    <mergeCell ref="E360:F360"/>
    <mergeCell ref="C361:D361"/>
    <mergeCell ref="E361:F361"/>
    <mergeCell ref="B301:C301"/>
    <mergeCell ref="B310:B311"/>
    <mergeCell ref="C310:C311"/>
    <mergeCell ref="D310:G310"/>
    <mergeCell ref="C355:F355"/>
    <mergeCell ref="C356:D356"/>
    <mergeCell ref="E356:F356"/>
    <mergeCell ref="B295:C295"/>
    <mergeCell ref="B296:C296"/>
    <mergeCell ref="B297:C297"/>
    <mergeCell ref="B298:C298"/>
    <mergeCell ref="B299:C299"/>
    <mergeCell ref="B300:C300"/>
    <mergeCell ref="B266:B267"/>
    <mergeCell ref="C266:D266"/>
    <mergeCell ref="C267:D267"/>
    <mergeCell ref="C268:D268"/>
    <mergeCell ref="B270:D270"/>
    <mergeCell ref="F270:G270"/>
    <mergeCell ref="C261:D261"/>
    <mergeCell ref="E261:F261"/>
    <mergeCell ref="C262:D262"/>
    <mergeCell ref="E262:F262"/>
    <mergeCell ref="C264:D264"/>
    <mergeCell ref="C265:D265"/>
    <mergeCell ref="C257:F257"/>
    <mergeCell ref="C258:D258"/>
    <mergeCell ref="E258:F258"/>
    <mergeCell ref="C259:D259"/>
    <mergeCell ref="E259:F259"/>
    <mergeCell ref="C260:D260"/>
    <mergeCell ref="E260:F260"/>
    <mergeCell ref="D211:G211"/>
    <mergeCell ref="C253:F253"/>
    <mergeCell ref="C254:D254"/>
    <mergeCell ref="E254:F254"/>
    <mergeCell ref="C255:D255"/>
    <mergeCell ref="E255:F255"/>
    <mergeCell ref="B198:C198"/>
    <mergeCell ref="B199:C199"/>
    <mergeCell ref="B200:C200"/>
    <mergeCell ref="B201:C201"/>
    <mergeCell ref="B211:B212"/>
    <mergeCell ref="C211:C212"/>
    <mergeCell ref="B195:C195"/>
    <mergeCell ref="B196:C196"/>
    <mergeCell ref="B197:C197"/>
    <mergeCell ref="B57:C57"/>
    <mergeCell ref="B58:C58"/>
    <mergeCell ref="B59:C59"/>
    <mergeCell ref="B60:C60"/>
    <mergeCell ref="B61:C61"/>
    <mergeCell ref="B62:C62"/>
    <mergeCell ref="B5:G5"/>
    <mergeCell ref="C8:D8"/>
    <mergeCell ref="E8:F8"/>
    <mergeCell ref="A30:I47"/>
    <mergeCell ref="B55:C55"/>
    <mergeCell ref="B56:C56"/>
    <mergeCell ref="B63:C63"/>
    <mergeCell ref="B116:H117"/>
    <mergeCell ref="B121:H135"/>
  </mergeCells>
  <conditionalFormatting sqref="E270 E372 E474 E575">
    <cfRule type="cellIs" dxfId="88" priority="9" operator="equal">
      <formula>"CONFORME"</formula>
    </cfRule>
  </conditionalFormatting>
  <conditionalFormatting sqref="D73:E75">
    <cfRule type="containsBlanks" dxfId="87" priority="10">
      <formula>LEN(TRIM(D73))=0</formula>
    </cfRule>
  </conditionalFormatting>
  <conditionalFormatting sqref="G108">
    <cfRule type="expression" dxfId="86" priority="8">
      <formula>$G$108&lt;$D$11</formula>
    </cfRule>
  </conditionalFormatting>
  <conditionalFormatting sqref="E255:F255 E357:F357 E459:F459 E560:F560">
    <cfRule type="cellIs" dxfId="85" priority="7" operator="equal">
      <formula>"NON"</formula>
    </cfRule>
  </conditionalFormatting>
  <conditionalFormatting sqref="E262:F262 E364:F364 E466:F466 E567:F567">
    <cfRule type="cellIs" dxfId="84" priority="6" operator="equal">
      <formula>"CONFORME"</formula>
    </cfRule>
  </conditionalFormatting>
  <conditionalFormatting sqref="D593:G593">
    <cfRule type="cellIs" dxfId="83" priority="5" operator="equal">
      <formula>"CONFORME"</formula>
    </cfRule>
  </conditionalFormatting>
  <conditionalFormatting sqref="E602">
    <cfRule type="cellIs" dxfId="82" priority="4" operator="equal">
      <formula>"CONFORME"</formula>
    </cfRule>
  </conditionalFormatting>
  <conditionalFormatting sqref="D600:G600">
    <cfRule type="cellIs" dxfId="81" priority="3" operator="equal">
      <formula>"NON"</formula>
    </cfRule>
  </conditionalFormatting>
  <conditionalFormatting sqref="B612:E615">
    <cfRule type="cellIs" dxfId="80" priority="2" operator="notEqual">
      <formula>""</formula>
    </cfRule>
  </conditionalFormatting>
  <conditionalFormatting sqref="D586:G586">
    <cfRule type="expression" dxfId="79" priority="11">
      <formula>D$586&gt;D$585+D$587</formula>
    </cfRule>
  </conditionalFormatting>
  <conditionalFormatting sqref="D588:G588">
    <cfRule type="cellIs" dxfId="78" priority="1" operator="equal">
      <formula>"NON"</formula>
    </cfRule>
  </conditionalFormatting>
  <pageMargins left="0.70866141732283472" right="0.70866141732283472" top="0.74803149606299213" bottom="0.74803149606299213" header="0.31496062992125984" footer="0.31496062992125984"/>
  <pageSetup paperSize="9" scale="63" fitToHeight="0" orientation="landscape" r:id="rId1"/>
  <headerFooter>
    <oddFooter>&amp;CPage &amp;P&amp;RIMP 472 ind N du 13-10-2023 (PV TUS INTERNE FOUR THERMIDOR)</oddFooter>
  </headerFooter>
  <rowBreaks count="17" manualBreakCount="17">
    <brk id="47" max="8" man="1"/>
    <brk id="92" max="8" man="1"/>
    <brk id="135" max="8" man="1"/>
    <brk id="171" max="8" man="1"/>
    <brk id="202" max="8" man="1"/>
    <brk id="245" max="8" man="1"/>
    <brk id="271" max="8" man="1"/>
    <brk id="302" max="8" man="1"/>
    <brk id="348" max="8" man="1"/>
    <brk id="373" max="16383" man="1"/>
    <brk id="404" max="8" man="1"/>
    <brk id="450" max="16383" man="1"/>
    <brk id="475" max="8" man="1"/>
    <brk id="506" max="8" man="1"/>
    <brk id="551" max="8" man="1"/>
    <brk id="576" max="8" man="1"/>
    <brk id="616" max="8"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C28BF-FE44-492B-A7C1-4A46F26FF1C3}">
  <sheetPr codeName="Feuil30">
    <tabColor rgb="FF7030A0"/>
  </sheetPr>
  <dimension ref="A1:P51"/>
  <sheetViews>
    <sheetView zoomScaleNormal="100" workbookViewId="0">
      <selection activeCell="M48" sqref="M48:O48"/>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56" t="s">
        <v>11</v>
      </c>
      <c r="C2" s="457"/>
      <c r="D2" s="457"/>
      <c r="E2" s="457"/>
      <c r="F2" s="457"/>
      <c r="G2" s="457"/>
      <c r="H2" s="457"/>
      <c r="I2" s="457"/>
      <c r="J2" s="457"/>
      <c r="K2" s="457"/>
      <c r="L2" s="1"/>
      <c r="M2" s="1"/>
      <c r="N2" s="1"/>
      <c r="O2" s="1"/>
    </row>
    <row r="3" spans="1:16" ht="15" customHeight="1" x14ac:dyDescent="0.25">
      <c r="A3" s="1"/>
      <c r="B3" s="457"/>
      <c r="C3" s="457"/>
      <c r="D3" s="457"/>
      <c r="E3" s="457"/>
      <c r="F3" s="457"/>
      <c r="G3" s="457"/>
      <c r="H3" s="457"/>
      <c r="I3" s="457"/>
      <c r="J3" s="457"/>
      <c r="K3" s="457"/>
      <c r="L3" s="1"/>
      <c r="M3" s="1"/>
      <c r="N3" s="1"/>
      <c r="O3" s="1"/>
    </row>
    <row r="4" spans="1:16" ht="57" x14ac:dyDescent="0.25">
      <c r="A4" s="1"/>
      <c r="B4" s="2"/>
      <c r="C4" s="2"/>
      <c r="D4" s="2"/>
      <c r="E4" s="2"/>
      <c r="F4" s="2"/>
      <c r="G4" s="2"/>
      <c r="H4" s="2"/>
      <c r="I4" s="2"/>
      <c r="J4" s="2"/>
      <c r="K4" s="2"/>
      <c r="L4" s="1"/>
      <c r="M4" s="1"/>
      <c r="N4" s="1"/>
      <c r="O4" s="1"/>
    </row>
    <row r="5" spans="1:16" x14ac:dyDescent="0.25">
      <c r="A5" s="449" t="s">
        <v>0</v>
      </c>
      <c r="B5" s="449"/>
      <c r="C5" s="449"/>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9" t="s">
        <v>1</v>
      </c>
      <c r="B7" s="449"/>
      <c r="C7" s="4"/>
      <c r="D7" s="1"/>
      <c r="E7" s="449" t="s">
        <v>18</v>
      </c>
      <c r="F7" s="449"/>
      <c r="G7" s="4"/>
      <c r="H7" s="1"/>
      <c r="I7" s="1"/>
      <c r="J7" s="1"/>
      <c r="K7" s="1"/>
      <c r="L7" s="1"/>
      <c r="M7" s="1"/>
      <c r="N7" s="1"/>
      <c r="O7" s="5"/>
    </row>
    <row r="8" spans="1:16" x14ac:dyDescent="0.25">
      <c r="A8" s="449" t="s">
        <v>2</v>
      </c>
      <c r="B8" s="449"/>
      <c r="C8" s="6"/>
      <c r="D8" s="1"/>
      <c r="E8" s="449" t="s">
        <v>19</v>
      </c>
      <c r="F8" s="449"/>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5" t="s">
        <v>3</v>
      </c>
      <c r="B10" s="446"/>
      <c r="C10" s="7"/>
      <c r="D10" s="1"/>
      <c r="E10" s="445" t="s">
        <v>20</v>
      </c>
      <c r="F10" s="446"/>
      <c r="G10" s="8"/>
      <c r="H10" s="1"/>
      <c r="I10" s="1"/>
      <c r="J10" s="1"/>
      <c r="K10" s="1"/>
      <c r="L10" s="1"/>
      <c r="M10" s="1"/>
      <c r="N10" s="1"/>
      <c r="O10" s="1"/>
    </row>
    <row r="11" spans="1:16" x14ac:dyDescent="0.25">
      <c r="A11" s="445" t="s">
        <v>4</v>
      </c>
      <c r="B11" s="446"/>
      <c r="C11" s="8"/>
      <c r="D11" s="1"/>
      <c r="E11" s="449" t="s">
        <v>21</v>
      </c>
      <c r="F11" s="449"/>
      <c r="G11" s="160">
        <v>9</v>
      </c>
      <c r="H11" s="1"/>
      <c r="I11" s="1"/>
      <c r="J11" s="1"/>
      <c r="K11" s="1"/>
      <c r="L11" s="1"/>
      <c r="M11" s="1"/>
      <c r="N11" s="1"/>
      <c r="O11" s="1"/>
    </row>
    <row r="12" spans="1:16" x14ac:dyDescent="0.25">
      <c r="A12" s="1"/>
      <c r="B12" s="1"/>
      <c r="C12" s="1"/>
      <c r="D12" s="1"/>
      <c r="E12" s="449" t="s">
        <v>22</v>
      </c>
      <c r="F12" s="449"/>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5" t="s">
        <v>5</v>
      </c>
      <c r="B14" s="446"/>
      <c r="C14" s="4"/>
      <c r="D14" s="1"/>
      <c r="E14" s="1"/>
      <c r="F14" s="1"/>
      <c r="G14" s="1"/>
      <c r="H14" s="1"/>
      <c r="I14" s="1"/>
      <c r="J14" s="1"/>
      <c r="K14" s="1"/>
      <c r="L14" s="1"/>
      <c r="M14" s="1"/>
      <c r="N14" s="1"/>
      <c r="O14" s="1"/>
    </row>
    <row r="15" spans="1:16" x14ac:dyDescent="0.25">
      <c r="A15" s="445" t="s">
        <v>6</v>
      </c>
      <c r="B15" s="446"/>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v>60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9">
        <v>10</v>
      </c>
      <c r="B32" s="11"/>
      <c r="C32" s="11"/>
      <c r="D32" s="175"/>
      <c r="E32" s="175"/>
      <c r="F32" s="1"/>
      <c r="G32" s="1"/>
      <c r="H32" s="1"/>
      <c r="I32" s="1"/>
      <c r="J32" s="1"/>
      <c r="K32" s="1"/>
      <c r="L32" s="1"/>
      <c r="M32" s="1"/>
      <c r="N32" s="1"/>
      <c r="O32" s="1"/>
    </row>
    <row r="33" spans="1:16" x14ac:dyDescent="0.25">
      <c r="A33" s="1"/>
      <c r="B33" s="1"/>
      <c r="C33" s="1"/>
      <c r="D33" s="1"/>
      <c r="E33" s="1"/>
      <c r="F33" s="1"/>
      <c r="G33" s="1"/>
      <c r="H33" s="1"/>
      <c r="I33" s="1"/>
      <c r="J33" s="1"/>
      <c r="K33" s="1"/>
      <c r="L33" s="1"/>
      <c r="M33" s="1"/>
      <c r="N33" s="1"/>
      <c r="O33" s="1"/>
    </row>
    <row r="34" spans="1:16" x14ac:dyDescent="0.25">
      <c r="A34" s="1"/>
      <c r="B34" s="1"/>
      <c r="C34" s="1"/>
      <c r="D34" s="1"/>
      <c r="E34" s="1"/>
      <c r="F34" s="1"/>
      <c r="G34" s="1"/>
      <c r="H34" s="1"/>
      <c r="I34" s="1"/>
      <c r="J34" s="1"/>
      <c r="K34" s="1"/>
      <c r="L34" s="1"/>
      <c r="M34" s="1"/>
      <c r="N34" s="1"/>
      <c r="O34" s="1"/>
    </row>
    <row r="35" spans="1:16" x14ac:dyDescent="0.25">
      <c r="A35" s="1"/>
      <c r="B35" s="1"/>
      <c r="C35" s="1"/>
      <c r="D35" s="1"/>
      <c r="E35" s="1"/>
      <c r="F35" s="1"/>
      <c r="G35" s="1"/>
      <c r="H35" s="1"/>
      <c r="I35" s="1"/>
      <c r="J35" s="1"/>
      <c r="K35" s="1"/>
      <c r="L35" s="1"/>
      <c r="M35" s="1"/>
      <c r="N35" s="1"/>
      <c r="O35" s="1"/>
    </row>
    <row r="36" spans="1:16" x14ac:dyDescent="0.25">
      <c r="A36" s="1"/>
      <c r="B36" s="1"/>
      <c r="C36" s="1"/>
      <c r="D36" s="1"/>
      <c r="E36" s="1"/>
      <c r="F36" s="1"/>
      <c r="G36" s="1"/>
      <c r="H36" s="1"/>
      <c r="I36" s="1"/>
      <c r="J36" s="1"/>
      <c r="K36" s="1"/>
      <c r="L36" s="1"/>
      <c r="M36" s="1"/>
      <c r="N36" s="1"/>
      <c r="O36" s="1"/>
    </row>
    <row r="37" spans="1:16" x14ac:dyDescent="0.25">
      <c r="A37" s="1"/>
      <c r="B37" s="1"/>
      <c r="C37" s="1"/>
      <c r="D37" s="1"/>
      <c r="E37" s="1"/>
      <c r="F37" s="1"/>
      <c r="G37" s="1"/>
      <c r="H37" s="1"/>
      <c r="I37" s="1"/>
      <c r="J37" s="1"/>
      <c r="K37" s="1"/>
      <c r="L37" s="1"/>
      <c r="M37" s="1"/>
      <c r="N37" s="1"/>
      <c r="O37" s="1"/>
    </row>
    <row r="38" spans="1:16" ht="26.25" x14ac:dyDescent="0.25">
      <c r="A38" s="1"/>
      <c r="B38" s="448" t="s">
        <v>13</v>
      </c>
      <c r="C38" s="448"/>
      <c r="D38" s="1"/>
      <c r="E38" s="1"/>
      <c r="F38" s="1"/>
      <c r="G38" s="1"/>
      <c r="H38" s="1"/>
      <c r="I38" s="1"/>
      <c r="J38" s="1"/>
      <c r="K38" s="1"/>
      <c r="L38" s="448" t="s">
        <v>30</v>
      </c>
      <c r="M38" s="448"/>
      <c r="N38" s="1"/>
      <c r="O38" s="1"/>
    </row>
    <row r="39" spans="1:16" x14ac:dyDescent="0.25">
      <c r="A39" s="1"/>
      <c r="B39" s="1"/>
      <c r="C39" s="1"/>
      <c r="D39" s="1"/>
      <c r="E39" s="1"/>
      <c r="F39" s="1"/>
      <c r="G39" s="1"/>
      <c r="H39" s="1"/>
      <c r="I39" s="1"/>
      <c r="J39" s="1"/>
      <c r="K39" s="1"/>
      <c r="L39" s="1"/>
      <c r="M39" s="1"/>
      <c r="N39" s="1"/>
      <c r="O39" s="1"/>
    </row>
    <row r="40" spans="1:16" x14ac:dyDescent="0.25">
      <c r="A40" s="449" t="s">
        <v>10</v>
      </c>
      <c r="B40" s="449"/>
      <c r="C40" s="450"/>
      <c r="D40" s="450"/>
      <c r="E40" s="450"/>
      <c r="F40" s="451"/>
      <c r="G40" s="1"/>
      <c r="H40" s="1"/>
      <c r="I40" s="1"/>
      <c r="J40" s="1"/>
      <c r="K40" s="445" t="s">
        <v>26</v>
      </c>
      <c r="L40" s="455"/>
      <c r="M40" s="455"/>
      <c r="N40" s="455"/>
      <c r="O40" s="455"/>
      <c r="P40" s="446"/>
    </row>
    <row r="41" spans="1:16" ht="45" x14ac:dyDescent="0.25">
      <c r="A41" s="449"/>
      <c r="B41" s="449"/>
      <c r="C41" s="3" t="s">
        <v>15</v>
      </c>
      <c r="D41" s="20" t="s">
        <v>17</v>
      </c>
      <c r="E41" s="20" t="s">
        <v>24</v>
      </c>
      <c r="F41" s="20" t="s">
        <v>25</v>
      </c>
      <c r="G41" s="1"/>
      <c r="H41" s="1"/>
      <c r="I41" s="1"/>
      <c r="J41" s="1"/>
      <c r="K41" s="452"/>
      <c r="L41" s="452"/>
      <c r="M41" s="178" t="s">
        <v>32</v>
      </c>
      <c r="N41" s="178" t="s">
        <v>34</v>
      </c>
      <c r="O41" s="178" t="s">
        <v>35</v>
      </c>
      <c r="P41" s="3" t="s">
        <v>15</v>
      </c>
    </row>
    <row r="42" spans="1:16" x14ac:dyDescent="0.25">
      <c r="A42" s="445" t="str">
        <f>CONCATENATE("Sonde ", B23)</f>
        <v xml:space="preserve">Sonde </v>
      </c>
      <c r="B42" s="446"/>
      <c r="C42" s="10"/>
      <c r="D42" s="10"/>
      <c r="E42" s="10"/>
      <c r="F42" s="10"/>
      <c r="G42" s="1"/>
      <c r="H42" s="1"/>
      <c r="I42" s="1"/>
      <c r="J42" s="1"/>
      <c r="K42" s="453" t="s">
        <v>27</v>
      </c>
      <c r="L42" s="454"/>
      <c r="M42" s="10"/>
      <c r="N42" s="10"/>
      <c r="O42" s="10"/>
      <c r="P42" s="10"/>
    </row>
    <row r="43" spans="1:16" x14ac:dyDescent="0.25">
      <c r="A43" s="445" t="str">
        <f t="shared" ref="A43:A51" si="0">"Sonde " &amp; B24</f>
        <v xml:space="preserve">Sonde </v>
      </c>
      <c r="B43" s="446"/>
      <c r="C43" s="10"/>
      <c r="D43" s="10"/>
      <c r="E43" s="10"/>
      <c r="F43" s="10"/>
      <c r="G43" s="1"/>
      <c r="H43" s="1"/>
      <c r="I43" s="1"/>
      <c r="J43" s="1"/>
      <c r="K43" s="1"/>
      <c r="L43" s="1"/>
      <c r="M43" s="1"/>
      <c r="N43" s="1"/>
      <c r="O43" s="1"/>
    </row>
    <row r="44" spans="1:16" x14ac:dyDescent="0.25">
      <c r="A44" s="445" t="str">
        <f t="shared" si="0"/>
        <v xml:space="preserve">Sonde </v>
      </c>
      <c r="B44" s="446"/>
      <c r="C44" s="10"/>
      <c r="D44" s="10"/>
      <c r="E44" s="10"/>
      <c r="F44" s="10"/>
      <c r="G44" s="1"/>
      <c r="H44" s="1"/>
      <c r="I44" s="1"/>
      <c r="J44" s="1"/>
      <c r="K44" s="1"/>
      <c r="L44" s="1"/>
      <c r="M44" s="1"/>
      <c r="N44" s="1"/>
      <c r="O44" s="1"/>
    </row>
    <row r="45" spans="1:16" x14ac:dyDescent="0.25">
      <c r="A45" s="445" t="str">
        <f t="shared" si="0"/>
        <v xml:space="preserve">Sonde </v>
      </c>
      <c r="B45" s="446"/>
      <c r="C45" s="10"/>
      <c r="D45" s="10"/>
      <c r="E45" s="10"/>
      <c r="F45" s="10"/>
      <c r="G45" s="1"/>
      <c r="H45" s="1"/>
      <c r="I45" s="1"/>
      <c r="J45" s="1"/>
      <c r="K45" s="1"/>
      <c r="L45" s="1"/>
      <c r="M45" s="1"/>
      <c r="N45" s="1"/>
      <c r="O45" s="1"/>
    </row>
    <row r="46" spans="1:16" ht="26.25" x14ac:dyDescent="0.25">
      <c r="A46" s="445" t="str">
        <f t="shared" si="0"/>
        <v xml:space="preserve">Sonde </v>
      </c>
      <c r="B46" s="446"/>
      <c r="C46" s="10"/>
      <c r="D46" s="10"/>
      <c r="E46" s="10"/>
      <c r="F46" s="10"/>
      <c r="G46" s="1"/>
      <c r="H46" s="1"/>
      <c r="I46" s="1"/>
      <c r="J46" s="1"/>
      <c r="K46" s="1"/>
      <c r="L46" s="448" t="s">
        <v>31</v>
      </c>
      <c r="M46" s="448"/>
      <c r="N46" s="1"/>
      <c r="O46" s="1"/>
    </row>
    <row r="47" spans="1:16" ht="45" x14ac:dyDescent="0.25">
      <c r="A47" s="445" t="str">
        <f t="shared" si="0"/>
        <v xml:space="preserve">Sonde </v>
      </c>
      <c r="B47" s="446"/>
      <c r="C47" s="10"/>
      <c r="D47" s="10"/>
      <c r="E47" s="10"/>
      <c r="F47" s="10"/>
      <c r="G47" s="1"/>
      <c r="H47" s="1"/>
      <c r="I47" s="1"/>
      <c r="J47" s="1"/>
      <c r="K47" s="1"/>
      <c r="L47" s="1"/>
      <c r="M47" s="21" t="s">
        <v>33</v>
      </c>
      <c r="N47" s="21" t="s">
        <v>15</v>
      </c>
      <c r="O47" s="21" t="s">
        <v>308</v>
      </c>
    </row>
    <row r="48" spans="1:16" x14ac:dyDescent="0.25">
      <c r="A48" s="445" t="str">
        <f t="shared" si="0"/>
        <v xml:space="preserve">Sonde </v>
      </c>
      <c r="B48" s="446"/>
      <c r="C48" s="10"/>
      <c r="D48" s="10"/>
      <c r="E48" s="10"/>
      <c r="F48" s="10"/>
      <c r="G48" s="1"/>
      <c r="H48" s="1"/>
      <c r="I48" s="1"/>
      <c r="J48" s="1"/>
      <c r="K48" s="447" t="s">
        <v>304</v>
      </c>
      <c r="L48" s="447"/>
      <c r="M48" s="10"/>
      <c r="N48" s="10"/>
      <c r="O48" s="10"/>
    </row>
    <row r="49" spans="1:15" x14ac:dyDescent="0.25">
      <c r="A49" s="445" t="str">
        <f t="shared" si="0"/>
        <v xml:space="preserve">Sonde </v>
      </c>
      <c r="B49" s="446"/>
      <c r="C49" s="10"/>
      <c r="D49" s="10"/>
      <c r="E49" s="10"/>
      <c r="F49" s="10"/>
      <c r="G49" s="1"/>
      <c r="H49" s="1"/>
      <c r="I49" s="1"/>
      <c r="J49" s="1"/>
    </row>
    <row r="50" spans="1:15" x14ac:dyDescent="0.25">
      <c r="A50" s="445" t="str">
        <f t="shared" si="0"/>
        <v xml:space="preserve">Sonde </v>
      </c>
      <c r="B50" s="446"/>
      <c r="C50" s="10"/>
      <c r="D50" s="10"/>
      <c r="E50" s="10"/>
      <c r="F50" s="10"/>
      <c r="G50" s="1"/>
      <c r="H50" s="1"/>
      <c r="I50" s="1"/>
      <c r="J50" s="1"/>
    </row>
    <row r="51" spans="1:15" x14ac:dyDescent="0.25">
      <c r="A51" s="445" t="str">
        <f t="shared" si="0"/>
        <v xml:space="preserve">Sonde </v>
      </c>
      <c r="B51" s="446"/>
      <c r="C51" s="10"/>
      <c r="D51" s="10"/>
      <c r="E51" s="10"/>
      <c r="F51" s="10"/>
      <c r="G51" s="1"/>
      <c r="H51" s="1"/>
      <c r="I51" s="1"/>
      <c r="J51" s="1"/>
      <c r="K51" s="1"/>
      <c r="L51" s="1"/>
      <c r="M51" s="1"/>
      <c r="N51" s="1"/>
      <c r="O51" s="1"/>
    </row>
  </sheetData>
  <sheetProtection algorithmName="SHA-512" hashValue="iRx3l7k2SQ7rKPF5cM4wOm6aUwd0tzbd/ysITOd8NZYcycOZyulD3JdVMCNLyzxalTuhkj85udqfR9UHXgtqlg==" saltValue="ZfwSl1dZiFfezBpjfJAbXQ==" spinCount="100000" sheet="1" objects="1" scenarios="1"/>
  <protectedRanges>
    <protectedRange sqref="C10" name="Donnees controleur_8"/>
  </protectedRanges>
  <mergeCells count="32">
    <mergeCell ref="A14:B14"/>
    <mergeCell ref="B2:K3"/>
    <mergeCell ref="A5:C5"/>
    <mergeCell ref="A7:B7"/>
    <mergeCell ref="E7:F7"/>
    <mergeCell ref="A8:B8"/>
    <mergeCell ref="E8:F8"/>
    <mergeCell ref="A10:B10"/>
    <mergeCell ref="E10:F10"/>
    <mergeCell ref="A11:B11"/>
    <mergeCell ref="E11:F11"/>
    <mergeCell ref="E12:F12"/>
    <mergeCell ref="A46:B46"/>
    <mergeCell ref="L46:M46"/>
    <mergeCell ref="A15:B15"/>
    <mergeCell ref="B38:C38"/>
    <mergeCell ref="L38:M38"/>
    <mergeCell ref="A40:F40"/>
    <mergeCell ref="A41:B41"/>
    <mergeCell ref="K41:L41"/>
    <mergeCell ref="A42:B42"/>
    <mergeCell ref="K42:L42"/>
    <mergeCell ref="A43:B43"/>
    <mergeCell ref="A44:B44"/>
    <mergeCell ref="A45:B45"/>
    <mergeCell ref="K40:P40"/>
    <mergeCell ref="A51:B51"/>
    <mergeCell ref="A47:B47"/>
    <mergeCell ref="A48:B48"/>
    <mergeCell ref="K48:L48"/>
    <mergeCell ref="A49:B49"/>
    <mergeCell ref="A50:B50"/>
  </mergeCells>
  <conditionalFormatting sqref="A1:O39 A40:K40 P41:P42 A51:O51 A49:J50 A41:O48">
    <cfRule type="expression" dxfId="77" priority="1">
      <formula>AND(NOT(CELL("protege", A1)), A1="")</formula>
    </cfRule>
  </conditionalFormatting>
  <dataValidations count="3">
    <dataValidation type="list" allowBlank="1" showInputMessage="1" showErrorMessage="1" sqref="C10" xr:uid="{5A57B2CE-EC73-49F8-8E04-3E39BF674A2B}">
      <formula1>"BCH , LV"</formula1>
    </dataValidation>
    <dataValidation type="list" showInputMessage="1" showErrorMessage="1" sqref="D16:D17" xr:uid="{27D9CD64-D2FA-45FD-86BE-4765942660FF}">
      <formula1>$C$15:$C$17</formula1>
    </dataValidation>
    <dataValidation type="list" showErrorMessage="1" promptTitle="Périodicité" prompt="Veuillez choisir" sqref="C15" xr:uid="{22719636-8374-4843-B418-FDEEA9F1DE48}">
      <formula1>" ,Annuelle,Trimestrielle,Mensuelle"</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C09B-2006-4AEC-90BA-9B21720B1FFD}">
  <sheetPr codeName="Feuil31">
    <tabColor rgb="FF7030A0"/>
  </sheetPr>
  <dimension ref="A1:K2"/>
  <sheetViews>
    <sheetView workbookViewId="0">
      <selection activeCell="B14" sqref="B14"/>
    </sheetView>
  </sheetViews>
  <sheetFormatPr baseColWidth="10" defaultRowHeight="15" x14ac:dyDescent="0.25"/>
  <cols>
    <col min="1" max="1" width="13.7109375" bestFit="1" customWidth="1"/>
    <col min="2" max="10" width="15" bestFit="1" customWidth="1"/>
    <col min="11" max="11" width="16" bestFit="1" customWidth="1"/>
  </cols>
  <sheetData>
    <row r="1" spans="1:11" x14ac:dyDescent="0.25">
      <c r="A1" s="23" t="s">
        <v>36</v>
      </c>
      <c r="B1" t="s">
        <v>37</v>
      </c>
      <c r="C1" t="s">
        <v>38</v>
      </c>
      <c r="D1" t="s">
        <v>39</v>
      </c>
      <c r="E1" t="s">
        <v>40</v>
      </c>
      <c r="F1" t="s">
        <v>41</v>
      </c>
      <c r="G1" t="s">
        <v>42</v>
      </c>
      <c r="H1" t="s">
        <v>43</v>
      </c>
      <c r="I1" t="s">
        <v>44</v>
      </c>
      <c r="J1" t="s">
        <v>45</v>
      </c>
      <c r="K1" t="s">
        <v>46</v>
      </c>
    </row>
    <row r="2" spans="1:11" x14ac:dyDescent="0.25">
      <c r="A2" s="23"/>
    </row>
  </sheetData>
  <sheetProtection algorithmName="SHA-512" hashValue="Y4En5YKKfwgx3ypZFvwdPEfqjEppbb1vcYmlswssNIOVGkQJ/hY+CLJLLY3MddXMZH8mIdkRCPHUuCZp8K6DIw==" saltValue="1JI6O076CPeNtI04NgfKTA==" spinCount="100000" sheet="1" objects="1" scenarios="1"/>
  <dataConsolidate/>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6DFDF-FE9A-4DD3-AAF7-545BF4E6B538}">
  <sheetPr codeName="Feuil32">
    <tabColor rgb="FF7030A0"/>
  </sheetPr>
  <dimension ref="A1:Q25"/>
  <sheetViews>
    <sheetView workbookViewId="0">
      <selection activeCell="A7" sqref="A7:B7"/>
    </sheetView>
  </sheetViews>
  <sheetFormatPr baseColWidth="10" defaultRowHeight="15" x14ac:dyDescent="0.25"/>
  <cols>
    <col min="2" max="3" width="16.42578125" bestFit="1" customWidth="1"/>
    <col min="4" max="11" width="12.7109375" bestFit="1" customWidth="1"/>
    <col min="12" max="12" width="13.7109375" bestFit="1" customWidth="1"/>
    <col min="13" max="13" width="7.140625" customWidth="1"/>
    <col min="15" max="15" width="15.28515625" bestFit="1" customWidth="1"/>
  </cols>
  <sheetData>
    <row r="1" spans="1:17" s="27" customFormat="1" x14ac:dyDescent="0.25">
      <c r="A1" s="458" t="str">
        <f>Mesures_Ressuage_BCH!B19 &amp; "°C"</f>
        <v>60°C</v>
      </c>
      <c r="B1" s="458"/>
      <c r="C1" s="458"/>
      <c r="D1" s="458"/>
      <c r="E1" s="458"/>
      <c r="F1" s="458"/>
      <c r="G1" s="458"/>
      <c r="H1" s="458"/>
      <c r="I1" s="458"/>
      <c r="J1" s="458"/>
      <c r="K1" s="458"/>
      <c r="L1" s="458"/>
      <c r="M1" s="458"/>
      <c r="N1" s="458"/>
      <c r="O1" s="458"/>
      <c r="P1" s="458"/>
      <c r="Q1" s="458"/>
    </row>
    <row r="2" spans="1:17" s="27" customFormat="1" x14ac:dyDescent="0.25">
      <c r="A2" s="458"/>
      <c r="B2" s="458"/>
      <c r="C2" s="458"/>
      <c r="D2" s="458"/>
      <c r="E2" s="458"/>
      <c r="F2" s="458"/>
      <c r="G2" s="458"/>
      <c r="H2" s="458"/>
      <c r="I2" s="458"/>
      <c r="J2" s="458"/>
      <c r="K2" s="458"/>
      <c r="L2" s="458"/>
      <c r="M2" s="458"/>
      <c r="N2" s="458"/>
      <c r="O2" s="458"/>
      <c r="P2" s="458"/>
      <c r="Q2" s="458"/>
    </row>
    <row r="3" spans="1:17" s="27" customFormat="1" x14ac:dyDescent="0.25">
      <c r="A3" s="458"/>
      <c r="B3" s="458"/>
      <c r="C3" s="458"/>
      <c r="D3" s="458"/>
      <c r="E3" s="458"/>
      <c r="F3" s="458"/>
      <c r="G3" s="458"/>
      <c r="H3" s="458"/>
      <c r="I3" s="458"/>
      <c r="J3" s="458"/>
      <c r="K3" s="458"/>
      <c r="L3" s="458"/>
      <c r="M3" s="458"/>
      <c r="N3" s="458"/>
      <c r="O3" s="458"/>
      <c r="P3" s="458"/>
      <c r="Q3" s="458"/>
    </row>
    <row r="4" spans="1:17" s="27" customFormat="1" x14ac:dyDescent="0.25">
      <c r="N4" s="33"/>
    </row>
    <row r="5" spans="1:17" s="27" customFormat="1" x14ac:dyDescent="0.25">
      <c r="B5" s="34" t="s">
        <v>23</v>
      </c>
      <c r="C5" s="35" t="e">
        <f>_xlfn.XLOOKUP(INT(SUBSTITUTE(C14,"Connecteur ","")),Mesures_Ressuage_BCH!C23:C32,Mesures_Ressuage_BCH!D23:D32)</f>
        <v>#N/A</v>
      </c>
      <c r="D5" s="35" t="e">
        <f>_xlfn.XLOOKUP(INT(SUBSTITUTE(D14,"Connecteur ","")),Mesures_Ressuage_BCH!C23:C32,Mesures_Ressuage_BCH!D23:D32)</f>
        <v>#N/A</v>
      </c>
      <c r="E5" s="35" t="e">
        <f>_xlfn.XLOOKUP(INT(SUBSTITUTE(E14,"Connecteur ","")),Mesures_Ressuage_BCH!C23:C32,Mesures_Ressuage_BCH!D23:D32)</f>
        <v>#N/A</v>
      </c>
      <c r="F5" s="35" t="e">
        <f>_xlfn.XLOOKUP(INT(SUBSTITUTE(F14,"Connecteur ","")),Mesures_Ressuage_BCH!C23:C32,Mesures_Ressuage_BCH!D23:D32)</f>
        <v>#N/A</v>
      </c>
      <c r="G5" s="35" t="e">
        <f>_xlfn.XLOOKUP(INT(SUBSTITUTE(G14,"Connecteur ","")),Mesures_Ressuage_BCH!C23:C32,Mesures_Ressuage_BCH!D23:D32)</f>
        <v>#N/A</v>
      </c>
      <c r="H5" s="35" t="e">
        <f>_xlfn.XLOOKUP(INT(SUBSTITUTE(H14,"Connecteur ","")),Mesures_Ressuage_BCH!C23:C32,Mesures_Ressuage_BCH!D23:D32)</f>
        <v>#N/A</v>
      </c>
      <c r="I5" s="35" t="e">
        <f>_xlfn.XLOOKUP(INT(SUBSTITUTE(I14,"Connecteur ","")),Mesures_Ressuage_BCH!C23:C32,Mesures_Ressuage_BCH!D23:D32)</f>
        <v>#N/A</v>
      </c>
      <c r="J5" s="35" t="e">
        <f>_xlfn.XLOOKUP(INT(SUBSTITUTE(J14,"Connecteur ","")),Mesures_Ressuage_BCH!C23:C32,Mesures_Ressuage_BCH!D23:D32)</f>
        <v>#N/A</v>
      </c>
      <c r="K5" s="35" t="e">
        <f>_xlfn.XLOOKUP(INT(SUBSTITUTE(K14,"Connecteur ","")),Mesures_Ressuage_BCH!C23:C32,Mesures_Ressuage_BCH!D23:D32)</f>
        <v>#N/A</v>
      </c>
      <c r="L5" s="35" t="e">
        <f>_xlfn.XLOOKUP(INT(SUBSTITUTE(L14,"Connecteur ","")),Mesures_Ressuage_BCH!C23:C32,Mesures_Ressuage_BCH!D23:D32)</f>
        <v>#N/A</v>
      </c>
      <c r="N5" s="33"/>
    </row>
    <row r="6" spans="1:17" s="27" customFormat="1" x14ac:dyDescent="0.25">
      <c r="B6" s="34" t="s">
        <v>87</v>
      </c>
      <c r="C6" s="35" t="e">
        <f>_xlfn.XLOOKUP(INT(SUBSTITUTE(C14,"Connecteur ","")),Mesures_Ressuage_BCH!C23:C32,Mesures_Ressuage_BCH!E23:E32)</f>
        <v>#N/A</v>
      </c>
      <c r="D6" s="35" t="e">
        <f>_xlfn.XLOOKUP(INT(SUBSTITUTE(D14,"Connecteur ","")),Mesures_Ressuage_BCH!C23:C32,Mesures_Ressuage_BCH!E23:E32)</f>
        <v>#N/A</v>
      </c>
      <c r="E6" s="35" t="e">
        <f>_xlfn.XLOOKUP(INT(SUBSTITUTE(E14,"Connecteur ","")),Mesures_Ressuage_BCH!C23:C32,Mesures_Ressuage_BCH!E23:E32)</f>
        <v>#N/A</v>
      </c>
      <c r="F6" s="35" t="e">
        <f>_xlfn.XLOOKUP(INT(SUBSTITUTE(F14,"Connecteur ","")),Mesures_Ressuage_BCH!C23:C32,Mesures_Ressuage_BCH!E23:E32)</f>
        <v>#N/A</v>
      </c>
      <c r="G6" s="35" t="e">
        <f>_xlfn.XLOOKUP(INT(SUBSTITUTE(G14,"Connecteur ","")),Mesures_Ressuage_BCH!C23:C32,Mesures_Ressuage_BCH!E23:E32)</f>
        <v>#N/A</v>
      </c>
      <c r="H6" s="35" t="e">
        <f>_xlfn.XLOOKUP(INT(SUBSTITUTE(H14,"Connecteur ","")),Mesures_Ressuage_BCH!C23:C32,Mesures_Ressuage_BCH!E23:E32)</f>
        <v>#N/A</v>
      </c>
      <c r="I6" s="35" t="e">
        <f>_xlfn.XLOOKUP(INT(SUBSTITUTE(I14,"Connecteur ","")),Mesures_Ressuage_BCH!C23:C32,Mesures_Ressuage_BCH!E23:E32)</f>
        <v>#N/A</v>
      </c>
      <c r="J6" s="35" t="e">
        <f>_xlfn.XLOOKUP(INT(SUBSTITUTE(J14,"Connecteur ","")),Mesures_Ressuage_BCH!C23:C32,Mesures_Ressuage_BCH!E23:E32)</f>
        <v>#N/A</v>
      </c>
      <c r="K6" s="35" t="e">
        <f>_xlfn.XLOOKUP(INT(SUBSTITUTE(K14,"Connecteur ","")),Mesures_Ressuage_BCH!C23:C32,Mesures_Ressuage_BCH!E23:E32)</f>
        <v>#N/A</v>
      </c>
      <c r="L6" s="35" t="e">
        <f>_xlfn.XLOOKUP(INT(SUBSTITUTE(L14,"Connecteur ","")),Mesures_Ressuage_BCH!C23:C32,Mesures_Ressuage_BCH!E23:E32)</f>
        <v>#N/A</v>
      </c>
      <c r="N6" s="33"/>
    </row>
    <row r="7" spans="1:17" s="27" customFormat="1" x14ac:dyDescent="0.25">
      <c r="N7" s="33"/>
    </row>
    <row r="8" spans="1:17" s="27" customFormat="1" x14ac:dyDescent="0.25">
      <c r="N8" s="33"/>
    </row>
    <row r="9" spans="1:17" s="27" customFormat="1" x14ac:dyDescent="0.25">
      <c r="A9" s="342" t="s">
        <v>88</v>
      </c>
      <c r="B9" s="342"/>
      <c r="C9" s="342"/>
      <c r="D9" s="342"/>
      <c r="E9" s="342"/>
      <c r="F9" s="342"/>
      <c r="G9" s="342"/>
      <c r="H9" s="342"/>
      <c r="I9" s="342"/>
      <c r="J9" s="342"/>
      <c r="K9" s="342"/>
      <c r="L9" s="342"/>
      <c r="N9" s="33"/>
    </row>
    <row r="10" spans="1:17" s="27" customFormat="1" ht="15" customHeight="1" x14ac:dyDescent="0.25">
      <c r="A10" s="33"/>
      <c r="B10" s="34" t="str" cm="1">
        <f t="array" ref="B10:L10">Valeurs_Brutes_Ressuage_BCH[#Headers]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N10" s="33"/>
    </row>
    <row r="11" spans="1:17" s="27" customFormat="1" ht="13.5" customHeight="1" x14ac:dyDescent="0.25">
      <c r="A11" s="144" t="s">
        <v>89</v>
      </c>
      <c r="B11" s="37" cm="1">
        <f t="array" ref="B11:L11">Valeurs_Brutes_Ressuage_BCH[]</f>
        <v>0</v>
      </c>
      <c r="C11" s="38">
        <v>0</v>
      </c>
      <c r="D11" s="38">
        <v>0</v>
      </c>
      <c r="E11" s="38">
        <v>0</v>
      </c>
      <c r="F11" s="38">
        <v>0</v>
      </c>
      <c r="G11" s="38">
        <v>0</v>
      </c>
      <c r="H11" s="38">
        <v>0</v>
      </c>
      <c r="I11" s="38">
        <v>0</v>
      </c>
      <c r="J11" s="38">
        <v>0</v>
      </c>
      <c r="K11" s="38">
        <v>0</v>
      </c>
      <c r="L11" s="38">
        <v>0</v>
      </c>
      <c r="N11" s="33"/>
    </row>
    <row r="12" spans="1:17" s="27" customFormat="1" ht="13.5" customHeight="1" x14ac:dyDescent="0.25">
      <c r="A12" s="143" t="s">
        <v>89</v>
      </c>
      <c r="B12" s="39"/>
      <c r="C12" s="40"/>
      <c r="D12" s="40"/>
      <c r="E12" s="40"/>
      <c r="F12" s="40"/>
      <c r="G12" s="40"/>
      <c r="H12" s="40"/>
      <c r="I12" s="40"/>
      <c r="J12" s="40"/>
      <c r="K12" s="40"/>
      <c r="L12" s="40"/>
      <c r="N12" s="33"/>
    </row>
    <row r="13" spans="1:17" s="459" customFormat="1" x14ac:dyDescent="0.25"/>
    <row r="14" spans="1:17" s="27" customFormat="1" x14ac:dyDescent="0.25">
      <c r="C14" s="41" t="str" cm="1">
        <f t="array" ref="C14:L14">C10:L10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N14" s="33"/>
    </row>
    <row r="15" spans="1:17" s="27" customFormat="1" x14ac:dyDescent="0.25">
      <c r="B15" s="42" t="s">
        <v>90</v>
      </c>
      <c r="C15" s="43" t="e" cm="1">
        <f t="array" ref="C15">MAX(Valeurs_Brutes_Ressuage_BCH[Connecteur 1]+Ressuage_BCH!C5+Ressuage_BCH!C6)</f>
        <v>#N/A</v>
      </c>
      <c r="D15" s="43" t="e" cm="1">
        <f t="array" ref="D15">MAX(Valeurs_Brutes_Ressuage_BCH[Connecteur 2]+Ressuage_BCH!D5+Ressuage_BCH!D6)</f>
        <v>#N/A</v>
      </c>
      <c r="E15" s="43" t="e" cm="1">
        <f t="array" ref="E15">MAX(Valeurs_Brutes_Ressuage_BCH[Connecteur 3]+Ressuage_BCH!E5+Ressuage_BCH!E6)</f>
        <v>#N/A</v>
      </c>
      <c r="F15" s="43" t="e" cm="1">
        <f t="array" ref="F15">MAX(Valeurs_Brutes_Ressuage_BCH[Connecteur 4]+Ressuage_BCH!F5+Ressuage_BCH!F6)</f>
        <v>#N/A</v>
      </c>
      <c r="G15" s="43" t="e" cm="1">
        <f t="array" ref="G15">MAX(Valeurs_Brutes_Ressuage_BCH[Connecteur 5]+Ressuage_BCH!G5+Ressuage_BCH!G6)</f>
        <v>#N/A</v>
      </c>
      <c r="H15" s="43" t="e" cm="1">
        <f t="array" ref="H15">MAX(Valeurs_Brutes_Ressuage_BCH[Connecteur 6]+Ressuage_BCH!H5+Ressuage_BCH!H6)</f>
        <v>#N/A</v>
      </c>
      <c r="I15" s="43" t="e" cm="1">
        <f t="array" ref="I15">MAX(Valeurs_Brutes_Ressuage_BCH[Connecteur 7]+Ressuage_BCH!I5+Ressuage_BCH!I6)</f>
        <v>#N/A</v>
      </c>
      <c r="J15" s="43" t="e" cm="1">
        <f t="array" ref="J15">MAX(Valeurs_Brutes_Ressuage_BCH[Connecteur 8]+Ressuage_BCH!J5+Ressuage_BCH!J6)</f>
        <v>#N/A</v>
      </c>
      <c r="K15" s="43" t="e" cm="1">
        <f t="array" ref="K15">MAX(Valeurs_Brutes_Ressuage_BCH[Connecteur 9]+Ressuage_BCH!K5+Ressuage_BCH!K6)</f>
        <v>#N/A</v>
      </c>
      <c r="L15" s="43" t="e" cm="1">
        <f t="array" ref="L15">MAX(Valeurs_Brutes_Ressuage_BCH[Connecteur 10]+Ressuage_BCH!L5+Ressuage_BCH!L6)</f>
        <v>#N/A</v>
      </c>
      <c r="M15" s="48">
        <f>P15+Mesures_Ressuage_BCH!B20</f>
        <v>60</v>
      </c>
      <c r="N15" s="33"/>
      <c r="O15" s="36" t="s">
        <v>7</v>
      </c>
      <c r="P15" s="48">
        <f>Mesures_Ressuage_BCH!B19</f>
        <v>60</v>
      </c>
    </row>
    <row r="16" spans="1:17" s="27" customFormat="1" x14ac:dyDescent="0.25">
      <c r="B16" s="42" t="s">
        <v>91</v>
      </c>
      <c r="C16" s="43" t="e">
        <f ca="1">MAX(OFFSET(INDEX(Valeurs_Brutes_Ressuage_BCH[Connecteur 1],1),COUNT(Valeurs_Brutes_Ressuage_BCH[Connecteur 1])-30,0,30))+C5+C6</f>
        <v>#REF!</v>
      </c>
      <c r="D16" s="43" t="e">
        <f ca="1">MAX(OFFSET(INDEX(Valeurs_Brutes_Ressuage_BCH[Connecteur 2],1),COUNT(Valeurs_Brutes_Ressuage_BCH[Connecteur 2])-30,0,30))+D5+D6</f>
        <v>#REF!</v>
      </c>
      <c r="E16" s="43" t="e">
        <f ca="1">MAX(OFFSET(INDEX(Valeurs_Brutes_Ressuage_BCH[Connecteur 3],1),COUNT(Valeurs_Brutes_Ressuage_BCH[Connecteur 3])-30,0,30))+E5+E6</f>
        <v>#REF!</v>
      </c>
      <c r="F16" s="43" t="e">
        <f ca="1">MAX(OFFSET(INDEX(Valeurs_Brutes_Ressuage_BCH[Connecteur 4],1),COUNT(Valeurs_Brutes_Ressuage_BCH[Connecteur 4])-30,0,30))+F5+F6</f>
        <v>#REF!</v>
      </c>
      <c r="G16" s="43" t="e">
        <f ca="1">MAX(OFFSET(INDEX(Valeurs_Brutes_Ressuage_BCH[Connecteur 5],1),COUNT(Valeurs_Brutes_Ressuage_BCH[Connecteur 5])-30,0,30))+G5+G6</f>
        <v>#REF!</v>
      </c>
      <c r="H16" s="43" t="e">
        <f ca="1">MAX(OFFSET(INDEX(Valeurs_Brutes_Ressuage_BCH[Connecteur 6],1),COUNT(Valeurs_Brutes_Ressuage_BCH[Connecteur 6])-30,0,30))+H5+H6</f>
        <v>#REF!</v>
      </c>
      <c r="I16" s="43" t="e">
        <f ca="1">MAX(OFFSET(INDEX(Valeurs_Brutes_Ressuage_BCH[Connecteur 7],1),COUNT(Valeurs_Brutes_Ressuage_BCH[Connecteur 7])-30,0,30))+I5+I6</f>
        <v>#REF!</v>
      </c>
      <c r="J16" s="43" t="e">
        <f ca="1">MAX(OFFSET(INDEX(Valeurs_Brutes_Ressuage_BCH[Connecteur 8],1),COUNT(Valeurs_Brutes_Ressuage_BCH[Connecteur 8])-30,0,30))+J5+J6</f>
        <v>#REF!</v>
      </c>
      <c r="K16" s="43" t="e">
        <f ca="1">MAX(OFFSET(INDEX(Valeurs_Brutes_Ressuage_BCH[Connecteur 9],1),COUNT(Valeurs_Brutes_Ressuage_BCH[Connecteur 9])-30,0,30))+K5+K6</f>
        <v>#REF!</v>
      </c>
      <c r="L16" s="43" t="e">
        <f ca="1">MAX(OFFSET(INDEX(Valeurs_Brutes_Ressuage_BCH[Connecteur 10],1),COUNT(Valeurs_Brutes_Ressuage_BCH[Connecteur 10])-30,0,30))+L5+L6</f>
        <v>#REF!</v>
      </c>
      <c r="M16" s="48">
        <f>P15+Mesures_Ressuage_BCH!B20</f>
        <v>60</v>
      </c>
      <c r="N16" s="33"/>
      <c r="O16" s="36" t="s">
        <v>92</v>
      </c>
      <c r="P16" s="35" t="str">
        <f>"+" &amp; Mesures_Ressuage_BCH!B20 &amp; "°C"</f>
        <v>+°C</v>
      </c>
    </row>
    <row r="17" spans="2:16" s="27" customFormat="1" x14ac:dyDescent="0.25">
      <c r="B17" s="42" t="s">
        <v>93</v>
      </c>
      <c r="C17" s="43" t="e">
        <f ca="1">MIN(OFFSET(INDEX(Valeurs_Brutes_Ressuage_BCH[Connecteur 1],1),COUNT(Valeurs_Brutes_Ressuage_BCH[Connecteur 1])-30,0,30))+C5+C6</f>
        <v>#REF!</v>
      </c>
      <c r="D17" s="43" t="e">
        <f ca="1">MIN(OFFSET(INDEX(Valeurs_Brutes_Ressuage_BCH[Connecteur 2],1),COUNT(Valeurs_Brutes_Ressuage_BCH[Connecteur 2])-30,0,30))+D5+D6</f>
        <v>#REF!</v>
      </c>
      <c r="E17" s="43" t="e">
        <f ca="1">MIN(OFFSET(INDEX(Valeurs_Brutes_Ressuage_BCH[Connecteur 3],1),COUNT(Valeurs_Brutes_Ressuage_BCH[Connecteur 3])-30,0,30))+E5+E6</f>
        <v>#REF!</v>
      </c>
      <c r="F17" s="43" t="e">
        <f ca="1">MIN(OFFSET(INDEX(Valeurs_Brutes_Ressuage_BCH[Connecteur 4],1),COUNT(Valeurs_Brutes_Ressuage_BCH[Connecteur 4])-30,0,30))+F5+F6</f>
        <v>#REF!</v>
      </c>
      <c r="G17" s="43" t="e">
        <f ca="1">MIN(OFFSET(INDEX(Valeurs_Brutes_Ressuage_BCH[Connecteur 5],1),COUNT(Valeurs_Brutes_Ressuage_BCH[Connecteur 5])-30,0,30))+G5+G6</f>
        <v>#REF!</v>
      </c>
      <c r="H17" s="43" t="e">
        <f ca="1">MIN(OFFSET(INDEX(Valeurs_Brutes_Ressuage_BCH[Connecteur 6],1),COUNT(Valeurs_Brutes_Ressuage_BCH[Connecteur 6])-30,0,30))+H5+H6</f>
        <v>#REF!</v>
      </c>
      <c r="I17" s="43" t="e">
        <f ca="1">MIN(OFFSET(INDEX(Valeurs_Brutes_Ressuage_BCH[Connecteur 7],1),COUNT(Valeurs_Brutes_Ressuage_BCH[Connecteur 7])-30,0,30))+I5+I6</f>
        <v>#REF!</v>
      </c>
      <c r="J17" s="43" t="e">
        <f ca="1">MIN(OFFSET(INDEX(Valeurs_Brutes_Ressuage_BCH[Connecteur 8],1),COUNT(Valeurs_Brutes_Ressuage_BCH[Connecteur 8])-30,0,30))+J5+J6</f>
        <v>#REF!</v>
      </c>
      <c r="K17" s="43" t="e">
        <f ca="1">MIN(OFFSET(INDEX(Valeurs_Brutes_Ressuage_BCH[Connecteur 9],1),COUNT(Valeurs_Brutes_Ressuage_BCH[Connecteur 9])-30,0,30))+K5+K6</f>
        <v>#REF!</v>
      </c>
      <c r="L17" s="43" t="e">
        <f ca="1">MIN(OFFSET(INDEX(Valeurs_Brutes_Ressuage_BCH[Connecteur 10],1),COUNT(Valeurs_Brutes_Ressuage_BCH[Connecteur 10])-30,0,30))+L5+L6</f>
        <v>#REF!</v>
      </c>
      <c r="M17" s="48">
        <f>P15 - Mesures_Ressuage_BCH!B20</f>
        <v>60</v>
      </c>
      <c r="N17" s="33"/>
      <c r="O17" s="36" t="s">
        <v>94</v>
      </c>
      <c r="P17" s="35" t="str">
        <f>"-" &amp; Mesures_Ressuage_BCH!B20 &amp; "°C"</f>
        <v>-°C</v>
      </c>
    </row>
    <row r="18" spans="2:16" s="27" customFormat="1" x14ac:dyDescent="0.25">
      <c r="B18" s="42" t="s">
        <v>95</v>
      </c>
      <c r="C18" s="43" t="e">
        <f ca="1">AVERAGE(OFFSET(INDEX(Valeurs_Brutes_Ressuage_BCH[Connecteur 1],1),COUNT(Valeurs_Brutes_Ressuage_BCH[Connecteur 1])-30,0,30))+C5+C6</f>
        <v>#REF!</v>
      </c>
      <c r="D18" s="43" t="e">
        <f ca="1">AVERAGE(OFFSET(INDEX(Valeurs_Brutes_Ressuage_BCH[Connecteur 2],1),COUNT(Valeurs_Brutes_Ressuage_BCH[Connecteur 2])-30,0,30))+D5+D6</f>
        <v>#REF!</v>
      </c>
      <c r="E18" s="43" t="e">
        <f ca="1">AVERAGE(OFFSET(INDEX(Valeurs_Brutes_Ressuage_BCH[Connecteur 3],1),COUNT(Valeurs_Brutes_Ressuage_BCH[Connecteur 3])-30,0,30))+E5+E6</f>
        <v>#REF!</v>
      </c>
      <c r="F18" s="43" t="e">
        <f ca="1">AVERAGE(OFFSET(INDEX(Valeurs_Brutes_Ressuage_BCH[Connecteur 4],1),COUNT(Valeurs_Brutes_Ressuage_BCH[Connecteur 4])-30,0,30))+F5+F6</f>
        <v>#REF!</v>
      </c>
      <c r="G18" s="43" t="e">
        <f ca="1">AVERAGE(OFFSET(INDEX(Valeurs_Brutes_Ressuage_BCH[Connecteur 5],1),COUNT(Valeurs_Brutes_Ressuage_BCH[Connecteur 5])-30,0,30))+G5+G6</f>
        <v>#REF!</v>
      </c>
      <c r="H18" s="43" t="e">
        <f ca="1">AVERAGE(OFFSET(INDEX(Valeurs_Brutes_Ressuage_BCH[Connecteur 6],1),COUNT(Valeurs_Brutes_Ressuage_BCH[Connecteur 6])-30,0,30))+H5+H6</f>
        <v>#REF!</v>
      </c>
      <c r="I18" s="43" t="e">
        <f ca="1">AVERAGE(OFFSET(INDEX(Valeurs_Brutes_Ressuage_BCH[Connecteur 7],1),COUNT(Valeurs_Brutes_Ressuage_BCH[Connecteur 7])-30,0,30))+I5+I6</f>
        <v>#REF!</v>
      </c>
      <c r="J18" s="43" t="e">
        <f ca="1">AVERAGE(OFFSET(INDEX(Valeurs_Brutes_Ressuage_BCH[Connecteur 8],1),COUNT(Valeurs_Brutes_Ressuage_BCH[Connecteur 8])-30,0,30))+J5+J6</f>
        <v>#REF!</v>
      </c>
      <c r="K18" s="43" t="e">
        <f ca="1">AVERAGE(OFFSET(INDEX(Valeurs_Brutes_Ressuage_BCH[Connecteur 9],1),COUNT(Valeurs_Brutes_Ressuage_BCH[Connecteur 9])-30,0,30))+K5+K6</f>
        <v>#REF!</v>
      </c>
      <c r="L18" s="43" t="e">
        <f ca="1">AVERAGE(OFFSET(INDEX(Valeurs_Brutes_Ressuage_BCH[Connecteur 10],1),COUNT(Valeurs_Brutes_Ressuage_BCH[Connecteur 10])-30,0,30))+L5+L6</f>
        <v>#REF!</v>
      </c>
      <c r="M18" s="44"/>
      <c r="N18" s="33"/>
    </row>
    <row r="19" spans="2:16" s="27" customFormat="1" x14ac:dyDescent="0.25">
      <c r="B19" s="42" t="s">
        <v>96</v>
      </c>
      <c r="C19" s="45" t="e">
        <f ca="1">C16-C17</f>
        <v>#REF!</v>
      </c>
      <c r="D19" s="45" t="e">
        <f t="shared" ref="D19:L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4"/>
      <c r="N19" s="33"/>
    </row>
    <row r="20" spans="2:16" s="27" customFormat="1" x14ac:dyDescent="0.25">
      <c r="B20" s="42" t="s">
        <v>97</v>
      </c>
      <c r="C20" s="376" t="e">
        <f ca="1">ABS(MAX(C16:L16)- MIN(C17:L17))</f>
        <v>#REF!</v>
      </c>
      <c r="D20" s="376"/>
      <c r="E20" s="376"/>
      <c r="F20" s="376"/>
      <c r="G20" s="376"/>
      <c r="H20" s="376"/>
      <c r="I20" s="376"/>
      <c r="J20" s="376"/>
      <c r="K20" s="376"/>
      <c r="L20" s="376"/>
      <c r="M20" s="376"/>
      <c r="N20" s="33"/>
    </row>
    <row r="21" spans="2:16" s="27" customFormat="1" x14ac:dyDescent="0.25">
      <c r="B21" s="42" t="s">
        <v>98</v>
      </c>
      <c r="C21" s="376" t="e">
        <f ca="1">AVERAGE(C18:L18)</f>
        <v>#REF!</v>
      </c>
      <c r="D21" s="376"/>
      <c r="E21" s="376"/>
      <c r="F21" s="376"/>
      <c r="G21" s="376"/>
      <c r="H21" s="376"/>
      <c r="I21" s="376"/>
      <c r="J21" s="376"/>
      <c r="K21" s="376"/>
      <c r="L21" s="376"/>
      <c r="M21" s="376"/>
      <c r="N21" s="33"/>
    </row>
    <row r="22" spans="2:16" s="27" customFormat="1" x14ac:dyDescent="0.25">
      <c r="B22" s="36" t="s">
        <v>99</v>
      </c>
      <c r="C22" s="46" t="e">
        <f ca="1">STDEV(OFFSET(INDEX(Valeurs_Brutes_Ressuage_BCH[Connecteur 1],1),COUNT(Valeurs_Brutes_Ressuage_BCH[Connecteur 1])-30,0,30))+C5+C6</f>
        <v>#REF!</v>
      </c>
      <c r="D22" s="46" t="e">
        <f ca="1">STDEV(OFFSET(INDEX(Valeurs_Brutes_Ressuage_BCH[Connecteur 2],1),COUNT(Valeurs_Brutes_Ressuage_BCH[Connecteur 2])-30,0,30))+D5+D6</f>
        <v>#REF!</v>
      </c>
      <c r="E22" s="46" t="e">
        <f ca="1">STDEV(OFFSET(INDEX(Valeurs_Brutes_Ressuage_BCH[Connecteur 3],1),COUNT(Valeurs_Brutes_Ressuage_BCH[Connecteur 3])-30,0,30))+E5+E6</f>
        <v>#REF!</v>
      </c>
      <c r="F22" s="46" t="e">
        <f ca="1">STDEV(OFFSET(INDEX(Valeurs_Brutes_Ressuage_BCH[Connecteur 4],1),COUNT(Valeurs_Brutes_Ressuage_BCH[Connecteur 4])-30,0,30))+F5+F6</f>
        <v>#REF!</v>
      </c>
      <c r="G22" s="46" t="e">
        <f ca="1">STDEV(OFFSET(INDEX(Valeurs_Brutes_Ressuage_BCH[Connecteur 5],1),COUNT(Valeurs_Brutes_Ressuage_BCH[Connecteur 5])-30,0,30))+G5+G6</f>
        <v>#REF!</v>
      </c>
      <c r="H22" s="46" t="e">
        <f ca="1">STDEV(OFFSET(INDEX(Valeurs_Brutes_Ressuage_BCH[Connecteur 6],1),COUNT(Valeurs_Brutes_Ressuage_BCH[Connecteur 6])-30,0,30))+H5+H6</f>
        <v>#REF!</v>
      </c>
      <c r="I22" s="46" t="e">
        <f ca="1">STDEV(OFFSET(INDEX(Valeurs_Brutes_Ressuage_BCH[Connecteur 7],1),COUNT(Valeurs_Brutes_Ressuage_BCH[Connecteur 7])-30,0,30))+I5+I6</f>
        <v>#REF!</v>
      </c>
      <c r="J22" s="46" t="e">
        <f ca="1">STDEV(OFFSET(INDEX(Valeurs_Brutes_Ressuage_BCH[Connecteur 8],1),COUNT(Valeurs_Brutes_Ressuage_BCH[Connecteur 8])-30,0,30))+J5+J6</f>
        <v>#REF!</v>
      </c>
      <c r="K22" s="46" t="e">
        <f ca="1">STDEV(OFFSET(INDEX(Valeurs_Brutes_Ressuage_BCH[Connecteur 9],1),COUNT(Valeurs_Brutes_Ressuage_BCH[Connecteur 9])-30,0,30))+K5+K6</f>
        <v>#REF!</v>
      </c>
      <c r="L22" s="46" t="e">
        <f ca="1">STDEV(OFFSET(INDEX(Valeurs_Brutes_Ressuage_BCH[Connecteur 10],1),COUNT(Valeurs_Brutes_Ressuage_BCH[Connecteur 10])-30,0,30))+L5+L6</f>
        <v>#REF!</v>
      </c>
      <c r="M22" s="44"/>
      <c r="N22" s="33"/>
      <c r="O22" s="47"/>
    </row>
    <row r="23" spans="2:16" s="27" customFormat="1" x14ac:dyDescent="0.25">
      <c r="N23" s="33"/>
    </row>
    <row r="24" spans="2:16" s="27" customFormat="1" x14ac:dyDescent="0.25">
      <c r="N24" s="33"/>
    </row>
    <row r="25" spans="2:16" s="27" customFormat="1" x14ac:dyDescent="0.25">
      <c r="N25" s="33"/>
    </row>
  </sheetData>
  <sheetProtection algorithmName="SHA-512" hashValue="fgRy1a89ViRDU1CFjpkp0TewCDnZH82XIFc+H5YSqnbsKL0nTi9nRFLjGWPN83VL3r+mbORWhB1h6VzFhZFuQA==" saltValue="Ejt4LiEZ1jPUtqdSyz95Zw==" spinCount="100000" sheet="1" objects="1" scenarios="1"/>
  <mergeCells count="5">
    <mergeCell ref="A1:Q3"/>
    <mergeCell ref="A9:L9"/>
    <mergeCell ref="A13:XFD13"/>
    <mergeCell ref="C20:M20"/>
    <mergeCell ref="C21:M21"/>
  </mergeCells>
  <conditionalFormatting sqref="C15:L15">
    <cfRule type="cellIs" dxfId="75" priority="3" operator="greaterThan">
      <formula>$M$15</formula>
    </cfRule>
  </conditionalFormatting>
  <conditionalFormatting sqref="C16:L16">
    <cfRule type="cellIs" dxfId="74" priority="2" operator="greaterThan">
      <formula>$M$16</formula>
    </cfRule>
  </conditionalFormatting>
  <conditionalFormatting sqref="C17:L17">
    <cfRule type="cellIs" dxfId="73" priority="1" operator="lessThan">
      <formula>$M$17</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3E106-5C40-4955-B49C-031E49470D18}">
  <sheetPr codeName="Feuil33">
    <tabColor rgb="FF7030A0"/>
  </sheetPr>
  <dimension ref="A5:J310"/>
  <sheetViews>
    <sheetView view="pageLayout" topLeftCell="A172" zoomScale="70" zoomScaleNormal="60" zoomScaleSheetLayoutView="77" zoomScalePageLayoutView="70" workbookViewId="0">
      <selection activeCell="G202" sqref="G202"/>
    </sheetView>
  </sheetViews>
  <sheetFormatPr baseColWidth="10" defaultRowHeight="15" x14ac:dyDescent="0.25"/>
  <cols>
    <col min="1" max="1" width="13.5703125" bestFit="1" customWidth="1"/>
    <col min="2" max="2" width="42.7109375" customWidth="1"/>
    <col min="3" max="3" width="27" customWidth="1"/>
    <col min="4" max="4" width="21"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318</v>
      </c>
      <c r="C5" s="88"/>
      <c r="D5" s="88"/>
      <c r="E5" s="88"/>
      <c r="F5" s="88"/>
      <c r="G5" s="88"/>
      <c r="H5" s="88"/>
      <c r="I5" s="89"/>
    </row>
    <row r="10" spans="2:9" ht="21" x14ac:dyDescent="0.25">
      <c r="C10" s="383" t="s">
        <v>138</v>
      </c>
      <c r="D10" s="383"/>
      <c r="E10" s="476">
        <f>Mesures_Ressuage_BCH!D5</f>
        <v>0</v>
      </c>
      <c r="F10" s="476"/>
    </row>
    <row r="11" spans="2:9" ht="21" x14ac:dyDescent="0.25">
      <c r="C11" s="90"/>
      <c r="D11" s="90"/>
      <c r="E11" s="91"/>
      <c r="F11" s="91"/>
    </row>
    <row r="12" spans="2:9" x14ac:dyDescent="0.25">
      <c r="C12" s="92" t="s">
        <v>1</v>
      </c>
      <c r="D12" s="93">
        <f>Mesures_Ressuage_BCH!C7</f>
        <v>0</v>
      </c>
      <c r="F12" s="92" t="s">
        <v>18</v>
      </c>
      <c r="G12" s="93">
        <f>Mesures_Ressuage_BCH!G7</f>
        <v>0</v>
      </c>
    </row>
    <row r="13" spans="2:9" ht="15.75" x14ac:dyDescent="0.25">
      <c r="C13" s="94" t="s">
        <v>2</v>
      </c>
      <c r="D13" s="95">
        <f>Mesures_Ressuage_BCH!C8</f>
        <v>0</v>
      </c>
      <c r="F13" s="96" t="s">
        <v>19</v>
      </c>
      <c r="G13" s="95">
        <f>Mesures_Ressuage_BCH!G8</f>
        <v>0</v>
      </c>
    </row>
    <row r="14" spans="2:9" ht="15.75" x14ac:dyDescent="0.25">
      <c r="C14" s="97"/>
      <c r="D14" s="98"/>
      <c r="G14" s="99"/>
    </row>
    <row r="15" spans="2:9" ht="15.75" x14ac:dyDescent="0.25">
      <c r="C15" s="100" t="s">
        <v>139</v>
      </c>
      <c r="D15" s="101">
        <f>Mesures_Ressuage_BCH!C14</f>
        <v>0</v>
      </c>
      <c r="F15" s="92" t="s">
        <v>140</v>
      </c>
      <c r="G15" s="102">
        <f>Mesures_Ressuage_BCH!C15</f>
        <v>0</v>
      </c>
    </row>
    <row r="16" spans="2:9" ht="15.75" x14ac:dyDescent="0.25">
      <c r="C16" s="100" t="s">
        <v>141</v>
      </c>
      <c r="D16" s="103">
        <f>Mesures_Ressuage_BCH!G11</f>
        <v>9</v>
      </c>
      <c r="F16" s="92" t="s">
        <v>142</v>
      </c>
      <c r="G16" s="102">
        <f>Mesures_Ressuage_BCH!G12</f>
        <v>0</v>
      </c>
    </row>
    <row r="17" spans="1:9" ht="15.75" x14ac:dyDescent="0.25">
      <c r="C17" s="97"/>
      <c r="D17" s="98"/>
      <c r="F17" s="97"/>
      <c r="G17" s="27"/>
    </row>
    <row r="18" spans="1:9" ht="15.75" x14ac:dyDescent="0.25">
      <c r="C18" s="100" t="s">
        <v>143</v>
      </c>
      <c r="D18" s="140">
        <f>Mesures_Ressuage_BCH!C11</f>
        <v>0</v>
      </c>
      <c r="F18" s="92" t="s">
        <v>144</v>
      </c>
      <c r="G18" s="141">
        <f>Mesures_Ressuage_BCH!G10</f>
        <v>0</v>
      </c>
    </row>
    <row r="19" spans="1:9" ht="15.75" x14ac:dyDescent="0.25">
      <c r="C19" s="94" t="s">
        <v>145</v>
      </c>
      <c r="D19" s="101">
        <f>Mesures_Ressuage_BCH!C10</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385" t="s">
        <v>319</v>
      </c>
      <c r="B30" s="385"/>
      <c r="C30" s="385"/>
      <c r="D30" s="385"/>
      <c r="E30" s="385"/>
      <c r="F30" s="385"/>
      <c r="G30" s="385"/>
      <c r="H30" s="385"/>
      <c r="I30" s="385"/>
    </row>
    <row r="31" spans="1:9" x14ac:dyDescent="0.25">
      <c r="A31" s="385"/>
      <c r="B31" s="385"/>
      <c r="C31" s="385"/>
      <c r="D31" s="385"/>
      <c r="E31" s="385"/>
      <c r="F31" s="385"/>
      <c r="G31" s="385"/>
      <c r="H31" s="385"/>
      <c r="I31" s="385"/>
    </row>
    <row r="32" spans="1:9" x14ac:dyDescent="0.25">
      <c r="A32" s="385"/>
      <c r="B32" s="385"/>
      <c r="C32" s="385"/>
      <c r="D32" s="385"/>
      <c r="E32" s="385"/>
      <c r="F32" s="385"/>
      <c r="G32" s="385"/>
      <c r="H32" s="385"/>
      <c r="I32" s="385"/>
    </row>
    <row r="33" spans="1:9" x14ac:dyDescent="0.25">
      <c r="A33" s="385"/>
      <c r="B33" s="385"/>
      <c r="C33" s="385"/>
      <c r="D33" s="385"/>
      <c r="E33" s="385"/>
      <c r="F33" s="385"/>
      <c r="G33" s="385"/>
      <c r="H33" s="385"/>
      <c r="I33" s="385"/>
    </row>
    <row r="34" spans="1:9" x14ac:dyDescent="0.25">
      <c r="A34" s="385"/>
      <c r="B34" s="385"/>
      <c r="C34" s="385"/>
      <c r="D34" s="385"/>
      <c r="E34" s="385"/>
      <c r="F34" s="385"/>
      <c r="G34" s="385"/>
      <c r="H34" s="385"/>
      <c r="I34" s="385"/>
    </row>
    <row r="35" spans="1:9" x14ac:dyDescent="0.25">
      <c r="A35" s="385"/>
      <c r="B35" s="385"/>
      <c r="C35" s="385"/>
      <c r="D35" s="385"/>
      <c r="E35" s="385"/>
      <c r="F35" s="385"/>
      <c r="G35" s="385"/>
      <c r="H35" s="385"/>
      <c r="I35" s="385"/>
    </row>
    <row r="36" spans="1:9" x14ac:dyDescent="0.25">
      <c r="A36" s="385"/>
      <c r="B36" s="385"/>
      <c r="C36" s="385"/>
      <c r="D36" s="385"/>
      <c r="E36" s="385"/>
      <c r="F36" s="385"/>
      <c r="G36" s="385"/>
      <c r="H36" s="385"/>
      <c r="I36" s="385"/>
    </row>
    <row r="37" spans="1:9" x14ac:dyDescent="0.25">
      <c r="A37" s="385"/>
      <c r="B37" s="385"/>
      <c r="C37" s="385"/>
      <c r="D37" s="385"/>
      <c r="E37" s="385"/>
      <c r="F37" s="385"/>
      <c r="G37" s="385"/>
      <c r="H37" s="385"/>
      <c r="I37" s="385"/>
    </row>
    <row r="38" spans="1:9" x14ac:dyDescent="0.25">
      <c r="A38" s="385"/>
      <c r="B38" s="385"/>
      <c r="C38" s="385"/>
      <c r="D38" s="385"/>
      <c r="E38" s="385"/>
      <c r="F38" s="385"/>
      <c r="G38" s="385"/>
      <c r="H38" s="385"/>
      <c r="I38" s="385"/>
    </row>
    <row r="39" spans="1:9" x14ac:dyDescent="0.25">
      <c r="A39" s="385"/>
      <c r="B39" s="385"/>
      <c r="C39" s="385"/>
      <c r="D39" s="385"/>
      <c r="E39" s="385"/>
      <c r="F39" s="385"/>
      <c r="G39" s="385"/>
      <c r="H39" s="385"/>
      <c r="I39" s="385"/>
    </row>
    <row r="40" spans="1:9" x14ac:dyDescent="0.25">
      <c r="A40" s="385"/>
      <c r="B40" s="385"/>
      <c r="C40" s="385"/>
      <c r="D40" s="385"/>
      <c r="E40" s="385"/>
      <c r="F40" s="385"/>
      <c r="G40" s="385"/>
      <c r="H40" s="385"/>
      <c r="I40" s="385"/>
    </row>
    <row r="41" spans="1:9" x14ac:dyDescent="0.25">
      <c r="A41" s="385"/>
      <c r="B41" s="385"/>
      <c r="C41" s="385"/>
      <c r="D41" s="385"/>
      <c r="E41" s="385"/>
      <c r="F41" s="385"/>
      <c r="G41" s="385"/>
      <c r="H41" s="385"/>
      <c r="I41" s="385"/>
    </row>
    <row r="42" spans="1:9" x14ac:dyDescent="0.25">
      <c r="A42" s="385"/>
      <c r="B42" s="385"/>
      <c r="C42" s="385"/>
      <c r="D42" s="385"/>
      <c r="E42" s="385"/>
      <c r="F42" s="385"/>
      <c r="G42" s="385"/>
      <c r="H42" s="385"/>
      <c r="I42" s="385"/>
    </row>
    <row r="43" spans="1:9" x14ac:dyDescent="0.25">
      <c r="A43" s="385"/>
      <c r="B43" s="385"/>
      <c r="C43" s="385"/>
      <c r="D43" s="385"/>
      <c r="E43" s="385"/>
      <c r="F43" s="385"/>
      <c r="G43" s="385"/>
      <c r="H43" s="385"/>
      <c r="I43" s="385"/>
    </row>
    <row r="44" spans="1:9" x14ac:dyDescent="0.25">
      <c r="A44" s="385"/>
      <c r="B44" s="385"/>
      <c r="C44" s="385"/>
      <c r="D44" s="385"/>
      <c r="E44" s="385"/>
      <c r="F44" s="385"/>
      <c r="G44" s="385"/>
      <c r="H44" s="385"/>
      <c r="I44" s="385"/>
    </row>
    <row r="45" spans="1:9" x14ac:dyDescent="0.25">
      <c r="A45" s="385"/>
      <c r="B45" s="385"/>
      <c r="C45" s="385"/>
      <c r="D45" s="385"/>
      <c r="E45" s="385"/>
      <c r="F45" s="385"/>
      <c r="G45" s="385"/>
      <c r="H45" s="385"/>
      <c r="I45" s="385"/>
    </row>
    <row r="46" spans="1:9" x14ac:dyDescent="0.25">
      <c r="A46" s="385"/>
      <c r="B46" s="385"/>
      <c r="C46" s="385"/>
      <c r="D46" s="385"/>
      <c r="E46" s="385"/>
      <c r="F46" s="385"/>
      <c r="G46" s="385"/>
      <c r="H46" s="385"/>
      <c r="I46" s="385"/>
    </row>
    <row r="47" spans="1:9" x14ac:dyDescent="0.25">
      <c r="A47" s="385"/>
      <c r="B47" s="385"/>
      <c r="C47" s="385"/>
      <c r="D47" s="385"/>
      <c r="E47" s="385"/>
      <c r="F47" s="385"/>
      <c r="G47" s="385"/>
      <c r="H47" s="385"/>
      <c r="I47" s="385"/>
    </row>
    <row r="51" spans="2:8" ht="36" x14ac:dyDescent="0.25">
      <c r="C51" s="466" t="s">
        <v>148</v>
      </c>
      <c r="D51" s="466"/>
      <c r="E51" s="466"/>
      <c r="F51" s="466"/>
    </row>
    <row r="52" spans="2:8" ht="20.25" customHeight="1" x14ac:dyDescent="0.25">
      <c r="B52" s="105"/>
    </row>
    <row r="53" spans="2:8" ht="23.25" x14ac:dyDescent="0.25">
      <c r="B53" s="106" t="s">
        <v>149</v>
      </c>
    </row>
    <row r="55" spans="2:8" ht="21" x14ac:dyDescent="0.25">
      <c r="B55" s="107" t="s">
        <v>320</v>
      </c>
      <c r="E55" s="475" t="s">
        <v>328</v>
      </c>
      <c r="F55" s="475"/>
      <c r="G55" s="475"/>
      <c r="H55" s="108"/>
    </row>
    <row r="56" spans="2:8" ht="21" customHeight="1" x14ac:dyDescent="0.25">
      <c r="B56" s="107" t="s">
        <v>321</v>
      </c>
      <c r="E56" s="475" t="str">
        <f>"Températures (mini et maxi) d’utilisation : " &amp; Mesures_Ressuage_BCH!B19 + Mesures_Ressuage_BCH!B20 &amp; "°C à ambiante"</f>
        <v>Températures (mini et maxi) d’utilisation : 60°C à ambiante</v>
      </c>
      <c r="F56" s="475"/>
      <c r="G56" s="475"/>
      <c r="H56" s="475"/>
    </row>
    <row r="57" spans="2:8" ht="21" x14ac:dyDescent="0.25">
      <c r="B57" s="107" t="s">
        <v>322</v>
      </c>
      <c r="E57" s="475" t="s">
        <v>155</v>
      </c>
      <c r="F57" s="475"/>
      <c r="G57" s="108"/>
      <c r="H57" s="108"/>
    </row>
    <row r="59" spans="2:8" ht="23.25" x14ac:dyDescent="0.25">
      <c r="B59" s="106" t="s">
        <v>156</v>
      </c>
    </row>
    <row r="61" spans="2:8" ht="21" x14ac:dyDescent="0.25">
      <c r="B61" s="475"/>
      <c r="C61" s="475"/>
      <c r="D61" s="475"/>
      <c r="E61" s="475"/>
      <c r="F61" s="475"/>
      <c r="G61" s="475"/>
    </row>
    <row r="62" spans="2:8" ht="21" x14ac:dyDescent="0.25">
      <c r="B62" s="475"/>
      <c r="C62" s="475"/>
      <c r="D62" s="475"/>
    </row>
    <row r="64" spans="2:8" ht="21" x14ac:dyDescent="0.25">
      <c r="B64" s="107" t="s">
        <v>160</v>
      </c>
    </row>
    <row r="66" spans="1:10" ht="21" x14ac:dyDescent="0.25">
      <c r="B66" s="475" t="s">
        <v>329</v>
      </c>
      <c r="C66" s="475"/>
      <c r="D66" s="475"/>
      <c r="E66" s="475" t="s">
        <v>332</v>
      </c>
      <c r="F66" s="475"/>
      <c r="G66" s="475"/>
      <c r="H66" s="475"/>
      <c r="I66" s="475"/>
    </row>
    <row r="67" spans="1:10" ht="21" x14ac:dyDescent="0.25">
      <c r="B67" s="475"/>
      <c r="C67" s="475"/>
      <c r="D67" s="475"/>
      <c r="E67" s="475" t="s">
        <v>330</v>
      </c>
      <c r="F67" s="475"/>
      <c r="G67" s="475"/>
      <c r="H67" s="475"/>
      <c r="I67" s="475"/>
    </row>
    <row r="68" spans="1:10" ht="21" x14ac:dyDescent="0.25">
      <c r="B68" s="475"/>
      <c r="C68" s="475"/>
      <c r="D68" s="475"/>
      <c r="E68" s="475" t="s">
        <v>331</v>
      </c>
      <c r="F68" s="475"/>
      <c r="G68" s="475"/>
      <c r="H68" s="475"/>
      <c r="I68" s="475"/>
    </row>
    <row r="69" spans="1:10" ht="21" x14ac:dyDescent="0.25">
      <c r="B69" s="475"/>
      <c r="C69" s="475"/>
      <c r="D69" s="475"/>
      <c r="E69" s="475" t="s">
        <v>333</v>
      </c>
      <c r="F69" s="475"/>
      <c r="G69" s="475"/>
      <c r="H69" s="475"/>
      <c r="I69" s="108"/>
    </row>
    <row r="72" spans="1:10" ht="21" customHeight="1" x14ac:dyDescent="0.25">
      <c r="A72" s="467" t="s">
        <v>327</v>
      </c>
      <c r="B72" s="467"/>
      <c r="C72" s="467"/>
      <c r="D72" s="467"/>
      <c r="E72" s="467"/>
      <c r="F72" s="467"/>
      <c r="G72" s="467"/>
      <c r="H72" s="467"/>
      <c r="I72" s="467"/>
      <c r="J72" s="467"/>
    </row>
    <row r="73" spans="1:10" ht="21" customHeight="1" x14ac:dyDescent="0.25">
      <c r="A73" s="467"/>
      <c r="B73" s="467"/>
      <c r="C73" s="467"/>
      <c r="D73" s="467"/>
      <c r="E73" s="467"/>
      <c r="F73" s="467"/>
      <c r="G73" s="467"/>
      <c r="H73" s="467"/>
      <c r="I73" s="467"/>
      <c r="J73" s="467"/>
    </row>
    <row r="74" spans="1:10" ht="15" customHeight="1" x14ac:dyDescent="0.25">
      <c r="A74" s="467"/>
      <c r="B74" s="467"/>
      <c r="C74" s="467"/>
      <c r="D74" s="467"/>
      <c r="E74" s="467"/>
      <c r="F74" s="467"/>
      <c r="G74" s="467"/>
      <c r="H74" s="467"/>
      <c r="I74" s="467"/>
      <c r="J74" s="467"/>
    </row>
    <row r="75" spans="1:10" ht="15" customHeight="1" x14ac:dyDescent="0.25">
      <c r="A75" s="467"/>
      <c r="B75" s="467"/>
      <c r="C75" s="467"/>
      <c r="D75" s="467"/>
      <c r="E75" s="467"/>
      <c r="F75" s="467"/>
      <c r="G75" s="467"/>
      <c r="H75" s="467"/>
      <c r="I75" s="467"/>
      <c r="J75" s="467"/>
    </row>
    <row r="76" spans="1:10" x14ac:dyDescent="0.25">
      <c r="A76" s="467"/>
      <c r="B76" s="467"/>
      <c r="C76" s="467"/>
      <c r="D76" s="467"/>
      <c r="E76" s="467"/>
      <c r="F76" s="467"/>
      <c r="G76" s="467"/>
      <c r="H76" s="467"/>
      <c r="I76" s="467"/>
      <c r="J76" s="467"/>
    </row>
    <row r="77" spans="1:10" x14ac:dyDescent="0.25">
      <c r="A77" s="467"/>
      <c r="B77" s="467"/>
      <c r="C77" s="467"/>
      <c r="D77" s="467"/>
      <c r="E77" s="467"/>
      <c r="F77" s="467"/>
      <c r="G77" s="467"/>
      <c r="H77" s="467"/>
      <c r="I77" s="467"/>
      <c r="J77" s="467"/>
    </row>
    <row r="78" spans="1:10" x14ac:dyDescent="0.25">
      <c r="A78" s="467"/>
      <c r="B78" s="467"/>
      <c r="C78" s="467"/>
      <c r="D78" s="467"/>
      <c r="E78" s="467"/>
      <c r="F78" s="467"/>
      <c r="G78" s="467"/>
      <c r="H78" s="467"/>
      <c r="I78" s="467"/>
      <c r="J78" s="467"/>
    </row>
    <row r="79" spans="1:10" x14ac:dyDescent="0.25">
      <c r="A79" s="467"/>
      <c r="B79" s="467"/>
      <c r="C79" s="467"/>
      <c r="D79" s="467"/>
      <c r="E79" s="467"/>
      <c r="F79" s="467"/>
      <c r="G79" s="467"/>
      <c r="H79" s="467"/>
      <c r="I79" s="467"/>
      <c r="J79" s="467"/>
    </row>
    <row r="80" spans="1:10" x14ac:dyDescent="0.25">
      <c r="A80" s="467"/>
      <c r="B80" s="467"/>
      <c r="C80" s="467"/>
      <c r="D80" s="467"/>
      <c r="E80" s="467"/>
      <c r="F80" s="467"/>
      <c r="G80" s="467"/>
      <c r="H80" s="467"/>
      <c r="I80" s="467"/>
      <c r="J80" s="467"/>
    </row>
    <row r="81" spans="1:10" x14ac:dyDescent="0.25">
      <c r="A81" s="467"/>
      <c r="B81" s="467"/>
      <c r="C81" s="467"/>
      <c r="D81" s="467"/>
      <c r="E81" s="467"/>
      <c r="F81" s="467"/>
      <c r="G81" s="467"/>
      <c r="H81" s="467"/>
      <c r="I81" s="467"/>
      <c r="J81" s="467"/>
    </row>
    <row r="85" spans="1:10" ht="36" x14ac:dyDescent="0.25">
      <c r="C85" s="466" t="s">
        <v>170</v>
      </c>
      <c r="D85" s="466"/>
      <c r="E85" s="466"/>
      <c r="F85" s="466"/>
      <c r="G85" s="466"/>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8" t="s">
        <v>10</v>
      </c>
      <c r="D94" s="468"/>
      <c r="E94" s="468"/>
      <c r="F94" s="468"/>
      <c r="G94" s="468"/>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5">Mesures_Ressuage_BCH!A42:A51</f>
        <v xml:space="preserve">Sonde </v>
      </c>
      <c r="D96" s="115" cm="1">
        <f t="array" ref="D96:G105">Mesures_Ressuage_BCH!C42:F51</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9" t="s">
        <v>176</v>
      </c>
      <c r="C116" s="469"/>
      <c r="D116" s="469"/>
      <c r="E116" s="469"/>
      <c r="F116" s="469"/>
    </row>
    <row r="118" spans="1:9" ht="26.25" x14ac:dyDescent="0.25">
      <c r="B118" s="109" t="s">
        <v>177</v>
      </c>
    </row>
    <row r="119" spans="1:9" ht="21" x14ac:dyDescent="0.3">
      <c r="E119" s="107" t="s">
        <v>178</v>
      </c>
      <c r="F119" s="107"/>
      <c r="G119" s="116">
        <f>Mesures_Ressuage_BCH!$M$42</f>
        <v>0</v>
      </c>
    </row>
    <row r="120" spans="1:9" ht="21" x14ac:dyDescent="0.3">
      <c r="B120" s="117" t="s">
        <v>179</v>
      </c>
      <c r="C120" s="107" t="s">
        <v>180</v>
      </c>
      <c r="E120" s="107" t="s">
        <v>181</v>
      </c>
      <c r="F120" s="107"/>
      <c r="G120" s="116">
        <f>Mesures_Ressuage_BCH!$N$42</f>
        <v>0</v>
      </c>
    </row>
    <row r="121" spans="1:9" ht="21" x14ac:dyDescent="0.25">
      <c r="B121" s="117" t="s">
        <v>182</v>
      </c>
      <c r="C121" s="110" t="s">
        <v>183</v>
      </c>
      <c r="E121" s="107" t="s">
        <v>184</v>
      </c>
      <c r="F121" s="107"/>
      <c r="G121" s="118">
        <f>Mesures_Ressuage_BCH!$O$42</f>
        <v>0</v>
      </c>
    </row>
    <row r="122" spans="1:9" ht="21" x14ac:dyDescent="0.35">
      <c r="B122" s="119" t="s">
        <v>185</v>
      </c>
      <c r="C122" s="120" t="s">
        <v>186</v>
      </c>
      <c r="E122" s="107" t="s">
        <v>187</v>
      </c>
      <c r="F122" s="107"/>
      <c r="G122" s="121" t="e">
        <f>"±" &amp;  SUBSTITUTE(ROUND(AVERAGE(Mesures_Ressuage_BCH!$D$23:$D$32),2),"-"," ") &amp; "°C"</f>
        <v>#DIV/0!</v>
      </c>
    </row>
    <row r="127" spans="1:9" ht="36" x14ac:dyDescent="0.25">
      <c r="C127" s="466" t="s">
        <v>188</v>
      </c>
      <c r="D127" s="466"/>
      <c r="E127" s="466"/>
      <c r="F127" s="466"/>
    </row>
    <row r="128" spans="1:9" ht="36" x14ac:dyDescent="0.25">
      <c r="B128" s="104"/>
      <c r="C128" s="104"/>
      <c r="D128" s="104"/>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6" t="s">
        <v>323</v>
      </c>
      <c r="D163" s="466"/>
      <c r="E163" s="466"/>
      <c r="F163" s="466"/>
      <c r="G163" s="466"/>
      <c r="H163" s="466"/>
    </row>
    <row r="167" spans="1:8" x14ac:dyDescent="0.25">
      <c r="A167" s="122" t="str" cm="1">
        <f t="array" ref="A167:C177">Mesures_Ressuage_BCH!A22:C32</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96" spans="1:9" ht="36" x14ac:dyDescent="0.25">
      <c r="C196" s="466" t="str">
        <f>"6. Résultats et exploitation des résultats à " &amp; Mesures_Ressuage_BCH!$B$19 &amp; "°C"</f>
        <v>6. Résultats et exploitation des résultats à 60°C</v>
      </c>
      <c r="D196" s="466"/>
      <c r="E196" s="466"/>
      <c r="F196" s="466"/>
      <c r="G196" s="466"/>
      <c r="H196" s="466"/>
    </row>
    <row r="200" spans="1:9" x14ac:dyDescent="0.25">
      <c r="A200" s="122" t="str" cm="1">
        <f t="array" ref="A200:B201">Mesures_Ressuage_BCH!$A$19:$B$20</f>
        <v>Consignes</v>
      </c>
      <c r="B200" s="124">
        <v>60</v>
      </c>
      <c r="G200" s="470" t="s">
        <v>191</v>
      </c>
      <c r="H200" s="471"/>
      <c r="I200" s="472"/>
    </row>
    <row r="201" spans="1:9" x14ac:dyDescent="0.25">
      <c r="A201" s="122" t="str">
        <v>Tolérances +/-</v>
      </c>
      <c r="B201" s="124">
        <v>0</v>
      </c>
      <c r="G201" s="22" t="s">
        <v>192</v>
      </c>
      <c r="H201" s="22" t="s">
        <v>193</v>
      </c>
      <c r="I201" s="22" t="s">
        <v>194</v>
      </c>
    </row>
    <row r="202" spans="1:9" x14ac:dyDescent="0.25">
      <c r="G202" s="125" t="e" cm="1">
        <f t="array" ref="G202">INDEX(Valeurs_Brutes_Ressuage_BCH[Connecteur 1], COUNTA(Valeurs_Brutes_Ressuage_BCH[Connecteur 1])-30)</f>
        <v>#VALUE!</v>
      </c>
      <c r="H202" s="125" cm="1">
        <f t="array" ref="H202">INDEX(Valeurs_Brutes_Ressuage_BCH[Connecteur 1], COUNTA(Valeurs_Brutes_Ressuage_BCH[Connecteur 1]))</f>
        <v>0</v>
      </c>
      <c r="I202" s="125" t="e">
        <f>H202-G202</f>
        <v>#VALUE!</v>
      </c>
    </row>
    <row r="205" spans="1:9" ht="23.25" x14ac:dyDescent="0.25">
      <c r="B205" s="473" t="s">
        <v>195</v>
      </c>
      <c r="C205" s="473"/>
    </row>
    <row r="208" spans="1:9" ht="30" x14ac:dyDescent="0.25">
      <c r="B208" s="126" t="s">
        <v>196</v>
      </c>
      <c r="C208" s="127" t="s">
        <v>197</v>
      </c>
      <c r="D208" s="127" t="s">
        <v>112</v>
      </c>
      <c r="E208" s="128" t="s">
        <v>198</v>
      </c>
      <c r="F208" s="127" t="s">
        <v>199</v>
      </c>
    </row>
    <row r="209" spans="1:6" x14ac:dyDescent="0.25">
      <c r="B209" s="129" t="s">
        <v>200</v>
      </c>
      <c r="C209" s="130" t="str">
        <f>B200 &amp; "°C"</f>
        <v>60°C</v>
      </c>
      <c r="D209" s="130" t="s">
        <v>201</v>
      </c>
      <c r="E209" s="130" t="s">
        <v>201</v>
      </c>
      <c r="F209" s="131" t="s">
        <v>201</v>
      </c>
    </row>
    <row r="210" spans="1:6" x14ac:dyDescent="0.25">
      <c r="B210" s="129" t="s">
        <v>202</v>
      </c>
      <c r="C210" s="130" t="str">
        <f>B200 &amp; "°C"</f>
        <v>60°C</v>
      </c>
      <c r="D210" s="130" t="s">
        <v>201</v>
      </c>
      <c r="E210" s="130" t="s">
        <v>201</v>
      </c>
      <c r="F210" s="131" t="s">
        <v>201</v>
      </c>
    </row>
    <row r="211" spans="1:6" ht="15" customHeight="1" x14ac:dyDescent="0.25">
      <c r="A211" s="474" t="s">
        <v>203</v>
      </c>
      <c r="B211" s="129" t="s">
        <v>204</v>
      </c>
      <c r="C211" s="132" t="e">
        <f ca="1">MAX(Ressuage_BCH!C16:L16)</f>
        <v>#REF!</v>
      </c>
      <c r="D211" s="130" t="e">
        <f ca="1">_xlfn.XLOOKUP(INT(SUBSTITUTE(E211,"Connecteur ","")),Mesures_Ressuage_BCH!$C$23:$C$32,Mesures_Ressuage_BCH!$A$23:$A$32)</f>
        <v>#REF!</v>
      </c>
      <c r="E211" s="130" t="e" cm="1">
        <f t="array" aca="1" ref="E211" ca="1">_xlfn.XLOOKUP(C211,Ressuage_BCH!C16:L16,_xlfn.ANCHORARRAY(Ressuage_BCH!C14))</f>
        <v>#REF!</v>
      </c>
      <c r="F211" s="130" t="e">
        <f ca="1">_xlfn.XLOOKUP(INT(SUBSTITUTE(E211,"Connecteur ","")),Mesures_Ressuage_BCH!$C$23:$C$32,Mesures_Ressuage_BCH!$B$23:$B$32)</f>
        <v>#REF!</v>
      </c>
    </row>
    <row r="212" spans="1:6" x14ac:dyDescent="0.25">
      <c r="A212" s="474"/>
      <c r="B212" s="129" t="s">
        <v>205</v>
      </c>
      <c r="C212" s="132" t="e">
        <f ca="1">MIN(Ressuage_BCH!C16:L16)</f>
        <v>#REF!</v>
      </c>
      <c r="D212" s="130" t="e">
        <f ca="1">_xlfn.XLOOKUP(INT(SUBSTITUTE(E212,"Connecteur ","")),Mesures_Ressuage_BCH!$C$23:$C$32,Mesures_Ressuage_BCH!$A$23:$A$32)</f>
        <v>#REF!</v>
      </c>
      <c r="E212" s="130" t="e" cm="1">
        <f t="array" aca="1" ref="E212" ca="1">_xlfn.XLOOKUP(C212,Ressuage_BCH!C16:L16,_xlfn.ANCHORARRAY(Ressuage_BCH!C14))</f>
        <v>#REF!</v>
      </c>
      <c r="F212" s="131" t="e">
        <f ca="1">_xlfn.XLOOKUP(INT(SUBSTITUTE(E212,"Connecteur ","")),Mesures_Ressuage_BCH!$C$23:$C$32,Mesures_Ressuage_BCH!$B$23:$B$32)</f>
        <v>#REF!</v>
      </c>
    </row>
    <row r="213" spans="1:6" ht="34.5" customHeight="1" x14ac:dyDescent="0.25">
      <c r="A213" s="474"/>
      <c r="B213" s="129" t="s">
        <v>206</v>
      </c>
      <c r="C213" s="132" t="e">
        <f ca="1">MIN(Ressuage_BCH!C17:L17)</f>
        <v>#REF!</v>
      </c>
      <c r="D213" s="130" t="e">
        <f ca="1">_xlfn.XLOOKUP(INT(SUBSTITUTE(E213,"Connecteur ","")),Mesures_Ressuage_BCH!$C$23:$C$32,Mesures_Ressuage_BCH!$A$23:$A$32)</f>
        <v>#REF!</v>
      </c>
      <c r="E213" s="130" t="e" cm="1">
        <f t="array" aca="1" ref="E213" ca="1">_xlfn.XLOOKUP(C213,Ressuage_BCH!C17:L17,_xlfn.ANCHORARRAY(Ressuage_BCH!C14))</f>
        <v>#REF!</v>
      </c>
      <c r="F213" s="131" t="e">
        <f ca="1">_xlfn.XLOOKUP(INT(SUBSTITUTE(E213,"Connecteur ","")),Mesures_Ressuage_BCH!$C$23:$C$32,Mesures_Ressuage_BCH!$B$23:$B$32)</f>
        <v>#REF!</v>
      </c>
    </row>
    <row r="214" spans="1:6" x14ac:dyDescent="0.25">
      <c r="A214" s="474"/>
      <c r="B214" s="129" t="s">
        <v>207</v>
      </c>
      <c r="C214" s="132" t="e">
        <f ca="1">Ressuage_BCH!C21</f>
        <v>#REF!</v>
      </c>
      <c r="D214" s="130" t="s">
        <v>201</v>
      </c>
      <c r="E214" s="130" t="s">
        <v>201</v>
      </c>
      <c r="F214" s="131" t="s">
        <v>201</v>
      </c>
    </row>
    <row r="215" spans="1:6" x14ac:dyDescent="0.25">
      <c r="C215" s="89"/>
      <c r="D215" s="89"/>
      <c r="E215" s="89"/>
      <c r="F215" s="89"/>
    </row>
    <row r="226" spans="2:9" ht="36" x14ac:dyDescent="0.25">
      <c r="B226" s="466" t="str">
        <f>"7. Résultats et exploitation des résultats à " &amp; Mesures_Ressuage_BCH!$B$19 &amp; "°C"</f>
        <v>7. Résultats et exploitation des résultats à 60°C</v>
      </c>
      <c r="C226" s="466"/>
      <c r="D226" s="466"/>
      <c r="E226" s="466"/>
      <c r="F226" s="466"/>
    </row>
    <row r="229" spans="2:9" x14ac:dyDescent="0.25">
      <c r="B229" s="342" t="s">
        <v>209</v>
      </c>
      <c r="C229" s="342"/>
    </row>
    <row r="232" spans="2:9" x14ac:dyDescent="0.25">
      <c r="C232" s="27"/>
      <c r="D232" s="27"/>
      <c r="E232" s="27"/>
      <c r="F232" s="461" t="s">
        <v>191</v>
      </c>
      <c r="G232" s="463"/>
      <c r="H232" s="463"/>
      <c r="I232" s="462"/>
    </row>
    <row r="233" spans="2:9" ht="30" x14ac:dyDescent="0.25">
      <c r="C233" s="36" t="s">
        <v>9</v>
      </c>
      <c r="D233" s="36" t="s">
        <v>12</v>
      </c>
      <c r="E233" s="133" t="s">
        <v>210</v>
      </c>
      <c r="F233" s="36" t="s">
        <v>211</v>
      </c>
      <c r="G233" s="36" t="s">
        <v>212</v>
      </c>
      <c r="H233" s="36" t="s">
        <v>213</v>
      </c>
      <c r="I233" s="36" t="s">
        <v>214</v>
      </c>
    </row>
    <row r="234" spans="2:9" x14ac:dyDescent="0.25">
      <c r="C234" s="38" cm="1">
        <f t="array" ref="C234:E243">Mesures_Ressuage_BCH!$A$23:$C$32</f>
        <v>1</v>
      </c>
      <c r="D234" s="38">
        <v>0</v>
      </c>
      <c r="E234" s="38">
        <v>0</v>
      </c>
      <c r="F234" s="134" t="e" cm="1">
        <f t="array" ref="F234">_xlfn.XLOOKUP(SUBSTITUTE(Ressuage_PV_BCH!E234,Ressuage_PV_BCH!E234,"Connecteur " &amp; Ressuage_PV_BCH!E234),_xlfn.ANCHORARRAY(Ressuage_BCH!C14),Ressuage_BCH!C17:L17)</f>
        <v>#N/A</v>
      </c>
      <c r="G234" s="134" t="e" cm="1">
        <f t="array" ref="G234">_xlfn.XLOOKUP(SUBSTITUTE(Ressuage_PV_BCH!E234,Ressuage_PV_BCH!E234,"Connecteur " &amp; Ressuage_PV_BCH!E234),_xlfn.ANCHORARRAY(Ressuage_BCH!C14),Ressuage_BCH!C16:L16)</f>
        <v>#N/A</v>
      </c>
      <c r="H234" s="134" t="e" cm="1">
        <f t="array" ref="H234">_xlfn.XLOOKUP(SUBSTITUTE(Ressuage_PV_BCH!E234,Ressuage_PV_BCH!E234,"Connecteur " &amp; Ressuage_PV_BCH!E234),_xlfn.ANCHORARRAY(Ressuage_BCH!C14),Ressuage_BCH!C18:L18)</f>
        <v>#N/A</v>
      </c>
      <c r="I234" s="134" t="e" cm="1">
        <f t="array" ref="I234">_xlfn.XLOOKUP(SUBSTITUTE(Ressuage_PV_BCH!E234,Ressuage_PV_BCH!E234,"Connecteur " &amp; Ressuage_PV_BCH!E234),_xlfn.ANCHORARRAY(Ressuage_BCH!C14),Ressuage_BCH!C19:L19)</f>
        <v>#N/A</v>
      </c>
    </row>
    <row r="235" spans="2:9" x14ac:dyDescent="0.25">
      <c r="C235" s="38">
        <v>2</v>
      </c>
      <c r="D235" s="38">
        <v>0</v>
      </c>
      <c r="E235" s="38">
        <v>0</v>
      </c>
      <c r="F235" s="134" t="e" cm="1">
        <f t="array" ref="F235">_xlfn.XLOOKUP(SUBSTITUTE(Ressuage_PV_BCH!E235,Ressuage_PV_BCH!E235,"Connecteur " &amp; Ressuage_PV_BCH!E235),_xlfn.ANCHORARRAY(Ressuage_BCH!C14),Ressuage_BCH!C17:L17)</f>
        <v>#N/A</v>
      </c>
      <c r="G235" s="134" t="e" cm="1">
        <f t="array" ref="G235">_xlfn.XLOOKUP(SUBSTITUTE(Ressuage_PV_BCH!E235,Ressuage_PV_BCH!E235,"Connecteur " &amp; Ressuage_PV_BCH!E235),_xlfn.ANCHORARRAY(Ressuage_BCH!C14),Ressuage_BCH!C16:L16)</f>
        <v>#N/A</v>
      </c>
      <c r="H235" s="134" t="e" cm="1">
        <f t="array" ref="H235">_xlfn.XLOOKUP(SUBSTITUTE(Ressuage_PV_BCH!E235,Ressuage_PV_BCH!E235,"Connecteur " &amp; Ressuage_PV_BCH!E235),_xlfn.ANCHORARRAY(Ressuage_BCH!C14),Ressuage_BCH!C18:L18)</f>
        <v>#N/A</v>
      </c>
      <c r="I235" s="134" t="e" cm="1">
        <f t="array" ref="I235">_xlfn.XLOOKUP(SUBSTITUTE(Ressuage_PV_BCH!E235,Ressuage_PV_BCH!E235,"Connecteur " &amp; Ressuage_PV_BCH!E235),_xlfn.ANCHORARRAY(Ressuage_BCH!C14),Ressuage_BCH!C19:L19)</f>
        <v>#N/A</v>
      </c>
    </row>
    <row r="236" spans="2:9" x14ac:dyDescent="0.25">
      <c r="C236" s="38">
        <v>3</v>
      </c>
      <c r="D236" s="38">
        <v>0</v>
      </c>
      <c r="E236" s="38">
        <v>0</v>
      </c>
      <c r="F236" s="134" t="e" cm="1">
        <f t="array" ref="F236">_xlfn.XLOOKUP(SUBSTITUTE(Ressuage_PV_BCH!E236,Ressuage_PV_BCH!E236,"Connecteur " &amp; Ressuage_PV_BCH!E236),_xlfn.ANCHORARRAY(Ressuage_BCH!C14),Ressuage_BCH!C17:L17)</f>
        <v>#N/A</v>
      </c>
      <c r="G236" s="134" t="e" cm="1">
        <f t="array" ref="G236">_xlfn.XLOOKUP(SUBSTITUTE(Ressuage_PV_BCH!E236,Ressuage_PV_BCH!E236,"Connecteur " &amp; Ressuage_PV_BCH!E236),_xlfn.ANCHORARRAY(Ressuage_BCH!C14),Ressuage_BCH!C16:L16)</f>
        <v>#N/A</v>
      </c>
      <c r="H236" s="134" t="e" cm="1">
        <f t="array" ref="H236">_xlfn.XLOOKUP(SUBSTITUTE(Ressuage_PV_BCH!E236,Ressuage_PV_BCH!E236,"Connecteur " &amp; Ressuage_PV_BCH!E236),_xlfn.ANCHORARRAY(Ressuage_BCH!C14),Ressuage_BCH!C18:L18)</f>
        <v>#N/A</v>
      </c>
      <c r="I236" s="134" t="e" cm="1">
        <f t="array" ref="I236">_xlfn.XLOOKUP(SUBSTITUTE(Ressuage_PV_BCH!E236,Ressuage_PV_BCH!E236,"Connecteur " &amp; Ressuage_PV_BCH!E236),_xlfn.ANCHORARRAY(Ressuage_BCH!C14),Ressuage_BCH!C19:L19)</f>
        <v>#N/A</v>
      </c>
    </row>
    <row r="237" spans="2:9" x14ac:dyDescent="0.25">
      <c r="C237" s="38">
        <v>4</v>
      </c>
      <c r="D237" s="38">
        <v>0</v>
      </c>
      <c r="E237" s="38">
        <v>0</v>
      </c>
      <c r="F237" s="134" t="e" cm="1">
        <f t="array" ref="F237">_xlfn.XLOOKUP(SUBSTITUTE(Ressuage_PV_BCH!E237,Ressuage_PV_BCH!E237,"Connecteur " &amp; Ressuage_PV_BCH!E237),_xlfn.ANCHORARRAY(Ressuage_BCH!C14),Ressuage_BCH!C17:L17)</f>
        <v>#N/A</v>
      </c>
      <c r="G237" s="134" t="e" cm="1">
        <f t="array" ref="G237">_xlfn.XLOOKUP(SUBSTITUTE(Ressuage_PV_BCH!E237,Ressuage_PV_BCH!E237,"Connecteur " &amp; Ressuage_PV_BCH!E237),_xlfn.ANCHORARRAY(Ressuage_BCH!C14),Ressuage_BCH!C16:L16)</f>
        <v>#N/A</v>
      </c>
      <c r="H237" s="134" t="e" cm="1">
        <f t="array" ref="H237">_xlfn.XLOOKUP(SUBSTITUTE(Ressuage_PV_BCH!E237,Ressuage_PV_BCH!E237,"Connecteur " &amp; Ressuage_PV_BCH!E237),_xlfn.ANCHORARRAY(Ressuage_BCH!C14),Ressuage_BCH!C18:L18)</f>
        <v>#N/A</v>
      </c>
      <c r="I237" s="134" t="e" cm="1">
        <f t="array" ref="I237">_xlfn.XLOOKUP(SUBSTITUTE(Ressuage_PV_BCH!E237,Ressuage_PV_BCH!E237,"Connecteur " &amp; Ressuage_PV_BCH!E237),_xlfn.ANCHORARRAY(Ressuage_BCH!C14),Ressuage_BCH!C19:L19)</f>
        <v>#N/A</v>
      </c>
    </row>
    <row r="238" spans="2:9" x14ac:dyDescent="0.25">
      <c r="C238" s="38">
        <v>5</v>
      </c>
      <c r="D238" s="38">
        <v>0</v>
      </c>
      <c r="E238" s="38">
        <v>0</v>
      </c>
      <c r="F238" s="134" t="e" cm="1">
        <f t="array" ref="F238">_xlfn.XLOOKUP(SUBSTITUTE(Ressuage_PV_BCH!E238,Ressuage_PV_BCH!E238,"Connecteur " &amp; Ressuage_PV_BCH!E238),_xlfn.ANCHORARRAY(Ressuage_BCH!C14),Ressuage_BCH!C17:L17)</f>
        <v>#N/A</v>
      </c>
      <c r="G238" s="134" t="e" cm="1">
        <f t="array" ref="G238">_xlfn.XLOOKUP(SUBSTITUTE(Ressuage_PV_BCH!E238,Ressuage_PV_BCH!E238,"Connecteur "&amp;Ressuage_PV_BCH!E238),_xlfn.ANCHORARRAY(Ressuage_BCH!C14),Ressuage_BCH!C16:L16)</f>
        <v>#N/A</v>
      </c>
      <c r="H238" s="134" t="e" cm="1">
        <f t="array" ref="H238">_xlfn.XLOOKUP(SUBSTITUTE(Ressuage_PV_BCH!E238,Ressuage_PV_BCH!E238,"Connecteur " &amp; Ressuage_PV_BCH!E238),_xlfn.ANCHORARRAY(Ressuage_BCH!C14),Ressuage_BCH!C18:L18)</f>
        <v>#N/A</v>
      </c>
      <c r="I238" s="134" t="e" cm="1">
        <f t="array" ref="I238">_xlfn.XLOOKUP(SUBSTITUTE(Ressuage_PV_BCH!E238,Ressuage_PV_BCH!E238,"Connecteur " &amp; Ressuage_PV_BCH!E238),_xlfn.ANCHORARRAY(Ressuage_BCH!C14),Ressuage_BCH!C19:L19)</f>
        <v>#N/A</v>
      </c>
    </row>
    <row r="239" spans="2:9" x14ac:dyDescent="0.25">
      <c r="C239" s="38">
        <v>6</v>
      </c>
      <c r="D239" s="38">
        <v>0</v>
      </c>
      <c r="E239" s="38">
        <v>0</v>
      </c>
      <c r="F239" s="134" t="e" cm="1">
        <f t="array" ref="F239">_xlfn.XLOOKUP(SUBSTITUTE(Ressuage_PV_BCH!E239,Ressuage_PV_BCH!E239,"Connecteur " &amp; Ressuage_PV_BCH!E239),_xlfn.ANCHORARRAY(Ressuage_BCH!C14),Ressuage_BCH!C17:L17)</f>
        <v>#N/A</v>
      </c>
      <c r="G239" s="134" t="e" cm="1">
        <f t="array" ref="G239">_xlfn.XLOOKUP(SUBSTITUTE(Ressuage_PV_BCH!E239,Ressuage_PV_BCH!E239,"Connecteur " &amp; Ressuage_PV_BCH!E239),_xlfn.ANCHORARRAY(Ressuage_BCH!C14),Ressuage_BCH!C16:L16)</f>
        <v>#N/A</v>
      </c>
      <c r="H239" s="134" t="e" cm="1">
        <f t="array" ref="H239">_xlfn.XLOOKUP(SUBSTITUTE(Ressuage_PV_BCH!E239,Ressuage_PV_BCH!E239,"Connecteur " &amp; Ressuage_PV_BCH!E239),_xlfn.ANCHORARRAY(Ressuage_BCH!C14),Ressuage_BCH!C18:L18)</f>
        <v>#N/A</v>
      </c>
      <c r="I239" s="134" t="e" cm="1">
        <f t="array" ref="I239">_xlfn.XLOOKUP(SUBSTITUTE(Ressuage_PV_BCH!E239,Ressuage_PV_BCH!E239,"Connecteur " &amp; Ressuage_PV_BCH!E239),_xlfn.ANCHORARRAY(Ressuage_BCH!C14),Ressuage_BCH!C19:L19)</f>
        <v>#N/A</v>
      </c>
    </row>
    <row r="240" spans="2:9" x14ac:dyDescent="0.25">
      <c r="C240" s="38">
        <v>7</v>
      </c>
      <c r="D240" s="38">
        <v>0</v>
      </c>
      <c r="E240" s="38">
        <v>0</v>
      </c>
      <c r="F240" s="134" t="e" cm="1">
        <f t="array" ref="F240">_xlfn.XLOOKUP(SUBSTITUTE(Ressuage_PV_BCH!E240,Ressuage_PV_BCH!E240,"Connecteur " &amp; Ressuage_PV_BCH!E240),_xlfn.ANCHORARRAY(Ressuage_BCH!C14),Ressuage_BCH!C17:L17)</f>
        <v>#N/A</v>
      </c>
      <c r="G240" s="134" t="e" cm="1">
        <f t="array" ref="G240">_xlfn.XLOOKUP(SUBSTITUTE(Ressuage_PV_BCH!E240,Ressuage_PV_BCH!E240,"Connecteur " &amp; Ressuage_PV_BCH!E240),_xlfn.ANCHORARRAY(Ressuage_BCH!C14),Ressuage_BCH!C16:L16)</f>
        <v>#N/A</v>
      </c>
      <c r="H240" s="134" t="e" cm="1">
        <f t="array" ref="H240">_xlfn.XLOOKUP(SUBSTITUTE(Ressuage_PV_BCH!E240,Ressuage_PV_BCH!E240,"Connecteur " &amp; Ressuage_PV_BCH!E240),_xlfn.ANCHORARRAY(Ressuage_BCH!C14),Ressuage_BCH!C18:L18)</f>
        <v>#N/A</v>
      </c>
      <c r="I240" s="134" t="e" cm="1">
        <f t="array" ref="I240">_xlfn.XLOOKUP(SUBSTITUTE(Ressuage_PV_BCH!E240,Ressuage_PV_BCH!E240,"Connecteur " &amp; Ressuage_PV_BCH!E240),_xlfn.ANCHORARRAY(Ressuage_BCH!C14),Ressuage_BCH!C19:L19)</f>
        <v>#N/A</v>
      </c>
    </row>
    <row r="241" spans="2:9" x14ac:dyDescent="0.25">
      <c r="C241" s="38">
        <v>8</v>
      </c>
      <c r="D241" s="38">
        <v>0</v>
      </c>
      <c r="E241" s="38">
        <v>0</v>
      </c>
      <c r="F241" s="134" t="e" cm="1">
        <f t="array" ref="F241">_xlfn.XLOOKUP(SUBSTITUTE(Ressuage_PV_BCH!E241,Ressuage_PV_BCH!E241,"Connecteur " &amp; Ressuage_PV_BCH!E241),_xlfn.ANCHORARRAY(Ressuage_BCH!C14),Ressuage_BCH!C17:L17)</f>
        <v>#N/A</v>
      </c>
      <c r="G241" s="134" t="e" cm="1">
        <f t="array" ref="G241">_xlfn.XLOOKUP(SUBSTITUTE(Ressuage_PV_BCH!E241,Ressuage_PV_BCH!E241,"Connecteur " &amp; Ressuage_PV_BCH!E241),_xlfn.ANCHORARRAY(Ressuage_BCH!C14),Ressuage_BCH!C16:L16)</f>
        <v>#N/A</v>
      </c>
      <c r="H241" s="134" t="e" cm="1">
        <f t="array" ref="H241">_xlfn.XLOOKUP(SUBSTITUTE(Ressuage_PV_BCH!E241,Ressuage_PV_BCH!E241,"Connecteur " &amp; Ressuage_PV_BCH!E241),_xlfn.ANCHORARRAY(Ressuage_BCH!C14),Ressuage_BCH!C18:L18)</f>
        <v>#N/A</v>
      </c>
      <c r="I241" s="134" t="e" cm="1">
        <f t="array" ref="I241">_xlfn.XLOOKUP(SUBSTITUTE(Ressuage_PV_BCH!E241,Ressuage_PV_BCH!E241,"Connecteur " &amp; Ressuage_PV_BCH!E241),_xlfn.ANCHORARRAY(Ressuage_BCH!C14),Ressuage_BCH!C19:L19)</f>
        <v>#N/A</v>
      </c>
    </row>
    <row r="242" spans="2:9" x14ac:dyDescent="0.25">
      <c r="C242" s="38">
        <v>9</v>
      </c>
      <c r="D242" s="38">
        <v>0</v>
      </c>
      <c r="E242" s="38">
        <v>0</v>
      </c>
      <c r="F242" s="134" t="e" cm="1">
        <f t="array" ref="F242">_xlfn.XLOOKUP(SUBSTITUTE(Ressuage_PV_BCH!E242,Ressuage_PV_BCH!E242,"Connecteur " &amp; Ressuage_PV_BCH!E242),_xlfn.ANCHORARRAY(Ressuage_BCH!C14),Ressuage_BCH!C17:L17)</f>
        <v>#N/A</v>
      </c>
      <c r="G242" s="134" t="e" cm="1">
        <f t="array" ref="G242">_xlfn.XLOOKUP(SUBSTITUTE(Ressuage_PV_BCH!E242,Ressuage_PV_BCH!E242,"Connecteur " &amp; Ressuage_PV_BCH!E242),_xlfn.ANCHORARRAY(Ressuage_BCH!C14),Ressuage_BCH!C16:L16)</f>
        <v>#N/A</v>
      </c>
      <c r="H242" s="134" t="e" cm="1">
        <f t="array" ref="H242">_xlfn.XLOOKUP(SUBSTITUTE(Ressuage_PV_BCH!E242,Ressuage_PV_BCH!E242,"Connecteur " &amp; Ressuage_PV_BCH!E242),_xlfn.ANCHORARRAY(Ressuage_BCH!C14),Ressuage_BCH!C18:L18)</f>
        <v>#N/A</v>
      </c>
      <c r="I242" s="134" t="e" cm="1">
        <f t="array" ref="I242">_xlfn.XLOOKUP(SUBSTITUTE(Ressuage_PV_BCH!E242,Ressuage_PV_BCH!E242,"Connecteur " &amp; Ressuage_PV_BCH!E242),_xlfn.ANCHORARRAY(Ressuage_BCH!C14),Ressuage_BCH!C19:L19)</f>
        <v>#N/A</v>
      </c>
    </row>
    <row r="243" spans="2:9" x14ac:dyDescent="0.25">
      <c r="C243" s="38">
        <v>10</v>
      </c>
      <c r="D243" s="38">
        <v>0</v>
      </c>
      <c r="E243" s="38">
        <v>0</v>
      </c>
      <c r="F243" s="134" t="e" cm="1">
        <f t="array" ref="F243">_xlfn.XLOOKUP(SUBSTITUTE(Ressuage_PV_BCH!E243,Ressuage_PV_BCH!E243,"Connecteur " &amp; Ressuage_PV_BCH!E243),_xlfn.ANCHORARRAY(Ressuage_BCH!C14),Ressuage_BCH!C17:L17)</f>
        <v>#N/A</v>
      </c>
      <c r="G243" s="134" t="e" cm="1">
        <f t="array" ref="G243">_xlfn.XLOOKUP(SUBSTITUTE(Ressuage_PV_BCH!E243,Ressuage_PV_BCH!E243,"Connecteur " &amp; Ressuage_PV_BCH!E243),_xlfn.ANCHORARRAY(Ressuage_BCH!C14),Ressuage_BCH!C16:L16)</f>
        <v>#N/A</v>
      </c>
      <c r="H243" s="134" t="e" cm="1">
        <f t="array" ref="H243">_xlfn.XLOOKUP(SUBSTITUTE(Ressuage_PV_BCH!E243,Ressuage_PV_BCH!E243,"Connecteur " &amp; Ressuage_PV_BCH!E243),_xlfn.ANCHORARRAY(Ressuage_BCH!C14),Ressuage_BCH!C18:L18)</f>
        <v>#N/A</v>
      </c>
      <c r="I243" s="134" t="e" cm="1">
        <f t="array" ref="I243">_xlfn.XLOOKUP(SUBSTITUTE(Ressuage_PV_BCH!E243,Ressuage_PV_BCH!E243,"Connecteur " &amp; Ressuage_PV_BCH!E243),_xlfn.ANCHORARRAY(Ressuage_BCH!C14),Ressuage_BCH!C19:L19)</f>
        <v>#N/A</v>
      </c>
    </row>
    <row r="252" spans="2:9" x14ac:dyDescent="0.25">
      <c r="B252" s="135"/>
    </row>
    <row r="254" spans="2:9" ht="36" x14ac:dyDescent="0.3">
      <c r="C254" s="136" t="str">
        <f>"8. Résultats et exploitation des résultats à " &amp; Mesures_Ressuage_BCH!B19 &amp; "°C"</f>
        <v>8. Résultats et exploitation des résultats à 60°C</v>
      </c>
      <c r="D254" s="137"/>
      <c r="E254" s="137"/>
      <c r="F254" s="137"/>
    </row>
    <row r="257" spans="2:2" x14ac:dyDescent="0.25">
      <c r="B257" t="s">
        <v>216</v>
      </c>
    </row>
    <row r="293" spans="2:8" ht="36" x14ac:dyDescent="0.55000000000000004">
      <c r="G293" s="464" t="s">
        <v>217</v>
      </c>
      <c r="H293" s="464"/>
    </row>
    <row r="297" spans="2:8" ht="23.25" customHeight="1" x14ac:dyDescent="0.25">
      <c r="B297" s="465" t="s">
        <v>326</v>
      </c>
      <c r="C297" s="465"/>
      <c r="D297" s="465"/>
      <c r="E297" s="465"/>
      <c r="F297" s="138" t="e">
        <f ca="1">IF(OR(AVERAGE(Ressuage_BCH!C16:L16)&gt;Ressuage_BCH!M16,AVERAGE(Ressuage_BCH!C17:L17)&lt;Ressuage_BCH!M17),"NON CONFORME","CONFORME")</f>
        <v>#REF!</v>
      </c>
      <c r="G297" s="139"/>
    </row>
    <row r="298" spans="2:8" ht="23.25" customHeight="1" x14ac:dyDescent="0.25">
      <c r="B298" s="465"/>
      <c r="C298" s="465"/>
      <c r="D298" s="465"/>
      <c r="E298" s="465"/>
      <c r="F298" s="139"/>
      <c r="G298" s="139"/>
    </row>
    <row r="299" spans="2:8" ht="15" customHeight="1" x14ac:dyDescent="0.25">
      <c r="B299" s="139"/>
      <c r="C299" s="139"/>
      <c r="D299" s="139"/>
      <c r="E299" s="139"/>
      <c r="F299" s="139"/>
      <c r="G299" s="139"/>
    </row>
    <row r="303" spans="2:8" x14ac:dyDescent="0.25">
      <c r="C303" s="129" t="s">
        <v>219</v>
      </c>
      <c r="D303" s="129"/>
      <c r="E303" s="129" t="str">
        <f>Mesures_Ressuage_BCH!$B$19 &amp; "°C"</f>
        <v>60°C</v>
      </c>
    </row>
    <row r="304" spans="2:8" x14ac:dyDescent="0.25">
      <c r="C304" s="460" t="s">
        <v>220</v>
      </c>
      <c r="D304" s="460"/>
      <c r="E304" s="142">
        <f>Mesures_Ressuage_BCH!$B$19</f>
        <v>60</v>
      </c>
    </row>
    <row r="305" spans="3:5" x14ac:dyDescent="0.25">
      <c r="C305" s="460" t="s">
        <v>221</v>
      </c>
      <c r="D305" s="460"/>
      <c r="E305" s="134" t="e">
        <f ca="1">Ressuage_BCH!C20</f>
        <v>#REF!</v>
      </c>
    </row>
    <row r="306" spans="3:5" x14ac:dyDescent="0.25">
      <c r="C306" s="460" t="s">
        <v>222</v>
      </c>
      <c r="D306" s="460"/>
      <c r="E306" s="38" t="str">
        <f>"±" &amp; Mesures_Ressuage_BCH!$B$20</f>
        <v>±</v>
      </c>
    </row>
    <row r="307" spans="3:5" x14ac:dyDescent="0.25">
      <c r="C307" s="461" t="s">
        <v>324</v>
      </c>
      <c r="D307" s="462"/>
      <c r="E307" s="38" t="e">
        <f ca="1">IF(MIN(Ressuage_BCH!$C$17:$L$17)&lt;Ressuage_BCH!$M$17,"NON CONFORME","CONFORME")</f>
        <v>#REF!</v>
      </c>
    </row>
    <row r="308" spans="3:5" x14ac:dyDescent="0.25">
      <c r="C308" s="461" t="s">
        <v>325</v>
      </c>
      <c r="D308" s="462"/>
      <c r="E308" s="38" t="e">
        <f ca="1">IF(MAX(Ressuage_BCH!$C$16:$L$16)&lt;Ressuage_BCH!$M$17,"NON CONFORME","CONFORME")</f>
        <v>#REF!</v>
      </c>
    </row>
    <row r="309" spans="3:5" x14ac:dyDescent="0.25">
      <c r="C309" s="461" t="s">
        <v>245</v>
      </c>
      <c r="D309" s="462"/>
      <c r="E309" s="38" t="e">
        <f ca="1">IF(F297="CONFORME","OUI","NON")</f>
        <v>#REF!</v>
      </c>
    </row>
    <row r="310" spans="3:5" x14ac:dyDescent="0.25">
      <c r="C310" s="460" t="s">
        <v>224</v>
      </c>
      <c r="D310" s="460"/>
      <c r="E310" s="38">
        <v>2</v>
      </c>
    </row>
  </sheetData>
  <sheetProtection algorithmName="SHA-512" hashValue="ELwKJOUna+gmdqJw/YItLsqGy0nNYrAjoHErgIhsZsPJoJCZK0ptifK7fg2fSu6KjpvoaH68w4X8sYX/LmxfRw==" saltValue="w7pdjbXr32VELdik1rlg5w==" spinCount="100000" sheet="1" objects="1" scenarios="1"/>
  <mergeCells count="42">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9:D309"/>
    <mergeCell ref="C310:D310"/>
    <mergeCell ref="B229:C229"/>
    <mergeCell ref="F232:I232"/>
    <mergeCell ref="G293:H293"/>
    <mergeCell ref="B297:E298"/>
    <mergeCell ref="C304:D304"/>
    <mergeCell ref="C305:D305"/>
    <mergeCell ref="C307:D307"/>
    <mergeCell ref="C308:D308"/>
  </mergeCells>
  <conditionalFormatting sqref="F297">
    <cfRule type="containsText" dxfId="72" priority="1" operator="containsText" text="NON CONFORME">
      <formula>NOT(ISERROR(SEARCH("NON CONFORME",F297)))</formula>
    </cfRule>
    <cfRule type="containsText" dxfId="71"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B6EC-37D0-4C99-ACD6-DD34200E5566}">
  <sheetPr codeName="Feuil34">
    <tabColor rgb="FF7030A0"/>
  </sheetPr>
  <dimension ref="A1:M28"/>
  <sheetViews>
    <sheetView view="pageBreakPreview" topLeftCell="A7" zoomScale="60" zoomScaleNormal="100" workbookViewId="0">
      <selection activeCell="A28" sqref="A28"/>
    </sheetView>
  </sheetViews>
  <sheetFormatPr baseColWidth="10" defaultRowHeight="15.75" x14ac:dyDescent="0.25"/>
  <cols>
    <col min="1" max="1" width="32.5703125" style="49" bestFit="1" customWidth="1"/>
    <col min="2" max="2" width="34.42578125" style="49" bestFit="1" customWidth="1"/>
    <col min="3" max="3" width="35.140625" style="49" customWidth="1"/>
    <col min="4" max="4" width="36.5703125" style="49" bestFit="1" customWidth="1"/>
    <col min="5" max="5" width="48.85546875" style="49" customWidth="1"/>
    <col min="6" max="6" width="38.2851562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9" t="s">
        <v>293</v>
      </c>
      <c r="C1" s="479"/>
      <c r="D1" s="479"/>
      <c r="E1" s="479"/>
      <c r="F1" s="479"/>
      <c r="G1" s="479"/>
      <c r="H1" s="479"/>
      <c r="I1" s="479"/>
      <c r="J1" s="51"/>
      <c r="K1" s="51"/>
      <c r="L1" s="51"/>
      <c r="M1" s="51"/>
    </row>
    <row r="2" spans="1:13" x14ac:dyDescent="0.25">
      <c r="L2" s="51"/>
      <c r="M2" s="51"/>
    </row>
    <row r="3" spans="1:13" x14ac:dyDescent="0.25">
      <c r="A3" s="480" t="s">
        <v>101</v>
      </c>
      <c r="B3" s="480"/>
      <c r="C3" s="480"/>
      <c r="D3" s="480"/>
      <c r="E3" s="480"/>
      <c r="F3" s="480"/>
      <c r="G3" s="480"/>
      <c r="H3" s="480"/>
      <c r="I3" s="480"/>
    </row>
    <row r="4" spans="1:13" x14ac:dyDescent="0.25">
      <c r="A4" t="s">
        <v>294</v>
      </c>
      <c r="B4" s="52"/>
      <c r="C4" s="52"/>
      <c r="D4" s="52"/>
      <c r="E4" s="52"/>
      <c r="F4" s="52"/>
      <c r="G4" s="52"/>
      <c r="H4" s="52"/>
      <c r="I4" s="52"/>
    </row>
    <row r="5" spans="1:13" x14ac:dyDescent="0.25">
      <c r="A5" t="s">
        <v>295</v>
      </c>
      <c r="B5" s="52"/>
      <c r="C5" s="52"/>
      <c r="D5" s="52"/>
      <c r="E5" s="52"/>
      <c r="F5" s="52"/>
      <c r="G5" s="52"/>
      <c r="H5" s="52"/>
      <c r="I5" s="52"/>
    </row>
    <row r="6" spans="1:13" x14ac:dyDescent="0.25">
      <c r="A6" t="s">
        <v>296</v>
      </c>
      <c r="B6" s="52"/>
      <c r="C6" s="52"/>
      <c r="D6" s="52"/>
      <c r="E6" s="52"/>
      <c r="F6" s="52"/>
      <c r="G6" s="52"/>
      <c r="H6" s="52"/>
      <c r="I6" s="52"/>
    </row>
    <row r="8" spans="1:13" x14ac:dyDescent="0.25">
      <c r="A8" s="481" t="s">
        <v>105</v>
      </c>
      <c r="B8" s="481"/>
      <c r="C8" s="481"/>
      <c r="D8" s="481"/>
      <c r="E8" s="481"/>
      <c r="F8" s="481"/>
      <c r="G8" s="481"/>
      <c r="H8" s="481"/>
      <c r="I8" s="481"/>
    </row>
    <row r="9" spans="1:13" x14ac:dyDescent="0.25">
      <c r="A9" s="52"/>
    </row>
    <row r="10" spans="1:13" x14ac:dyDescent="0.25">
      <c r="A10" s="52" t="s">
        <v>297</v>
      </c>
    </row>
    <row r="12" spans="1:13" x14ac:dyDescent="0.25">
      <c r="B12" s="180" t="s">
        <v>196</v>
      </c>
      <c r="C12" s="180" t="s">
        <v>299</v>
      </c>
    </row>
    <row r="13" spans="1:13" x14ac:dyDescent="0.25">
      <c r="B13" s="181" t="s">
        <v>298</v>
      </c>
      <c r="C13" s="181">
        <f>Mesures_Ressuage_BCH!P42</f>
        <v>0</v>
      </c>
      <c r="E13" s="49" t="s">
        <v>305</v>
      </c>
      <c r="H13" s="181" t="e">
        <f>AVERAGE(Mesures_Ressuage_BCH!D23:D32)</f>
        <v>#DIV/0!</v>
      </c>
    </row>
    <row r="14" spans="1:13" x14ac:dyDescent="0.25">
      <c r="B14" s="181" t="str">
        <f>"Sonde TUS N°" &amp; Mesures_Ressuage_BCH!B32</f>
        <v>Sonde TUS N°</v>
      </c>
      <c r="C14" s="181">
        <f>Mesures_Ressuage_BCH!C51</f>
        <v>0</v>
      </c>
      <c r="E14" s="49" t="s">
        <v>306</v>
      </c>
      <c r="H14" s="181">
        <f>Mesures_Ressuage_BCH!E32</f>
        <v>0</v>
      </c>
    </row>
    <row r="16" spans="1:13" x14ac:dyDescent="0.25">
      <c r="A16" s="49" t="s">
        <v>300</v>
      </c>
    </row>
    <row r="18" spans="1:9" x14ac:dyDescent="0.25">
      <c r="B18" s="180" t="s">
        <v>301</v>
      </c>
      <c r="C18" s="180" t="s">
        <v>302</v>
      </c>
    </row>
    <row r="19" spans="1:9" x14ac:dyDescent="0.25">
      <c r="B19" s="181" t="s">
        <v>303</v>
      </c>
      <c r="C19" s="181">
        <f>Mesures_Ressuage_BCH!N48</f>
        <v>0</v>
      </c>
      <c r="E19" s="27" t="s">
        <v>307</v>
      </c>
      <c r="H19" s="181">
        <f>Mesures_Ressuage_BCH!O48</f>
        <v>0</v>
      </c>
    </row>
    <row r="23" spans="1:9" x14ac:dyDescent="0.25">
      <c r="A23" s="49" t="str">
        <f>"Température : " &amp; Mesures_Ressuage_BCH!B19 &amp; "°C"</f>
        <v>Température : 60°C</v>
      </c>
      <c r="B23" s="49" t="str">
        <f>"Critère d'acceptation : +/- " &amp; Mesures_Ressuage_BCH!B20 &amp; "°C"</f>
        <v>Critère d'acceptation : +/- °C</v>
      </c>
    </row>
    <row r="25" spans="1:9" ht="16.5" thickBot="1" x14ac:dyDescent="0.3"/>
    <row r="26" spans="1:9" x14ac:dyDescent="0.25">
      <c r="A26" s="477" t="s">
        <v>309</v>
      </c>
      <c r="B26" s="478"/>
      <c r="C26" s="478"/>
      <c r="D26" s="478"/>
      <c r="E26" s="478"/>
      <c r="F26" s="478"/>
      <c r="G26" s="478"/>
      <c r="H26" s="478"/>
      <c r="I26" s="182" t="s">
        <v>315</v>
      </c>
    </row>
    <row r="27" spans="1:9" ht="47.25" x14ac:dyDescent="0.25">
      <c r="A27" s="183" t="s">
        <v>36</v>
      </c>
      <c r="B27" s="180" t="s">
        <v>310</v>
      </c>
      <c r="C27" s="180" t="s">
        <v>311</v>
      </c>
      <c r="D27" s="180" t="s">
        <v>312</v>
      </c>
      <c r="E27" s="70" t="s">
        <v>313</v>
      </c>
      <c r="F27" s="180" t="s">
        <v>314</v>
      </c>
      <c r="G27" s="70" t="s">
        <v>316</v>
      </c>
      <c r="H27" s="180" t="s">
        <v>317</v>
      </c>
      <c r="I27" s="184" t="s">
        <v>131</v>
      </c>
    </row>
    <row r="28" spans="1:9" ht="33.75" customHeight="1" thickBot="1" x14ac:dyDescent="0.3">
      <c r="A28" s="188">
        <f>Ressuage_BCH!test_propagation</f>
        <v>0</v>
      </c>
      <c r="B28" s="186">
        <f>Mesures_Ressuage_BCH!C11</f>
        <v>0</v>
      </c>
      <c r="C28" s="187">
        <f>Mesures_Ressuage_BCH!B32</f>
        <v>0</v>
      </c>
      <c r="D28" s="82" t="e">
        <f ca="1">Ressuage_BCH!C18</f>
        <v>#REF!</v>
      </c>
      <c r="E28" s="82" t="e">
        <f ca="1">D28+H13+H14</f>
        <v>#REF!</v>
      </c>
      <c r="F28" s="77">
        <f>Mesures_Ressuage_BCH!M48</f>
        <v>0</v>
      </c>
      <c r="G28" s="77">
        <f>F28+H19</f>
        <v>0</v>
      </c>
      <c r="H28" s="82" t="e">
        <f ca="1">G28-E28</f>
        <v>#REF!</v>
      </c>
      <c r="I28" s="185" t="e">
        <f ca="1">IF(OR(H28&lt;5,H28&gt;5),"CONFORME","NON CONFORME")</f>
        <v>#REF!</v>
      </c>
    </row>
  </sheetData>
  <sheetProtection algorithmName="SHA-512" hashValue="+nzAczA5HYp+CEjLjph46Wl+oR64Kv6fR+wGV471FTxFMvQ3U/WwoUwjMWBsruEroFWaf/0VhzcIjBKJRciAjg==" saltValue="DkNRdyc3ptS73nxXQhUq1w==" spinCount="100000" sheet="1" objects="1" scenarios="1"/>
  <mergeCells count="4">
    <mergeCell ref="A26:H26"/>
    <mergeCell ref="B1:I1"/>
    <mergeCell ref="A3:I3"/>
    <mergeCell ref="A8:I8"/>
  </mergeCells>
  <conditionalFormatting sqref="I28">
    <cfRule type="containsText" dxfId="70" priority="1" operator="containsText" text="NON CONFORME">
      <formula>NOT(ISERROR(SEARCH("NON CONFORME",I28)))</formula>
    </cfRule>
    <cfRule type="containsText" dxfId="69" priority="2" operator="containsText" text="CONFORME">
      <formula>NOT(ISERROR(SEARCH("CONFORME",I28)))</formula>
    </cfRule>
  </conditionalFormatting>
  <pageMargins left="0.7" right="0.7" top="0.75" bottom="0.75" header="0.3" footer="0.3"/>
  <pageSetup paperSize="9" scale="25" orientation="portrait" r:id="rId1"/>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topLeftCell="A4" zoomScaleNormal="100" workbookViewId="0">
      <selection activeCell="D24" sqref="D24"/>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456" t="s">
        <v>11</v>
      </c>
      <c r="C2" s="457"/>
      <c r="D2" s="457"/>
      <c r="E2" s="457"/>
      <c r="F2" s="457"/>
      <c r="G2" s="457"/>
      <c r="H2" s="457"/>
      <c r="I2" s="457"/>
      <c r="J2" s="457"/>
      <c r="K2" s="457"/>
      <c r="L2" s="1"/>
      <c r="M2" s="1"/>
      <c r="N2" s="1"/>
      <c r="O2" s="1"/>
    </row>
    <row r="3" spans="1:16" ht="15" customHeight="1" x14ac:dyDescent="0.25">
      <c r="A3" s="1"/>
      <c r="B3" s="457"/>
      <c r="C3" s="457"/>
      <c r="D3" s="457"/>
      <c r="E3" s="457"/>
      <c r="F3" s="457"/>
      <c r="G3" s="457"/>
      <c r="H3" s="457"/>
      <c r="I3" s="457"/>
      <c r="J3" s="457"/>
      <c r="K3" s="457"/>
      <c r="L3" s="1"/>
      <c r="M3" s="1"/>
      <c r="N3" s="1"/>
      <c r="O3" s="1"/>
    </row>
    <row r="4" spans="1:16" ht="57" x14ac:dyDescent="0.25">
      <c r="A4" s="1"/>
      <c r="B4" s="2"/>
      <c r="C4" s="2"/>
      <c r="D4" s="2"/>
      <c r="E4" s="2"/>
      <c r="F4" s="2"/>
      <c r="G4" s="2"/>
      <c r="H4" s="2"/>
      <c r="I4" s="2"/>
      <c r="J4" s="2"/>
      <c r="K4" s="2"/>
      <c r="L4" s="1"/>
      <c r="M4" s="1"/>
      <c r="N4" s="1"/>
      <c r="O4" s="1"/>
    </row>
    <row r="5" spans="1:16" x14ac:dyDescent="0.25">
      <c r="A5" s="449" t="s">
        <v>0</v>
      </c>
      <c r="B5" s="449"/>
      <c r="C5" s="449"/>
      <c r="D5" s="163"/>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449" t="s">
        <v>1</v>
      </c>
      <c r="B7" s="449"/>
      <c r="C7" s="4"/>
      <c r="D7" s="1"/>
      <c r="E7" s="449" t="s">
        <v>18</v>
      </c>
      <c r="F7" s="449"/>
      <c r="G7" s="4"/>
      <c r="H7" s="1"/>
      <c r="I7" s="1"/>
      <c r="J7" s="1"/>
      <c r="K7" s="1"/>
      <c r="L7" s="1"/>
      <c r="M7" s="1"/>
      <c r="N7" s="1"/>
      <c r="O7" s="5"/>
    </row>
    <row r="8" spans="1:16" x14ac:dyDescent="0.25">
      <c r="A8" s="449" t="s">
        <v>2</v>
      </c>
      <c r="B8" s="449"/>
      <c r="C8" s="6"/>
      <c r="D8" s="1"/>
      <c r="E8" s="449" t="s">
        <v>19</v>
      </c>
      <c r="F8" s="449"/>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445" t="s">
        <v>3</v>
      </c>
      <c r="B10" s="446"/>
      <c r="C10" s="7"/>
      <c r="D10" s="1"/>
      <c r="E10" s="445" t="s">
        <v>20</v>
      </c>
      <c r="F10" s="446"/>
      <c r="G10" s="8"/>
      <c r="H10" s="1"/>
      <c r="I10" s="1"/>
      <c r="J10" s="1"/>
      <c r="K10" s="1"/>
      <c r="L10" s="1"/>
      <c r="M10" s="1"/>
      <c r="N10" s="1"/>
      <c r="O10" s="1"/>
    </row>
    <row r="11" spans="1:16" x14ac:dyDescent="0.25">
      <c r="A11" s="445" t="s">
        <v>4</v>
      </c>
      <c r="B11" s="446"/>
      <c r="C11" s="8"/>
      <c r="D11" s="1"/>
      <c r="E11" s="449" t="s">
        <v>21</v>
      </c>
      <c r="F11" s="449"/>
      <c r="G11" s="160">
        <v>9</v>
      </c>
      <c r="H11" s="1"/>
      <c r="I11" s="1"/>
      <c r="J11" s="1"/>
      <c r="K11" s="1"/>
      <c r="L11" s="1"/>
      <c r="M11" s="1"/>
      <c r="N11" s="1"/>
      <c r="O11" s="1"/>
    </row>
    <row r="12" spans="1:16" x14ac:dyDescent="0.25">
      <c r="A12" s="1"/>
      <c r="B12" s="1"/>
      <c r="C12" s="1"/>
      <c r="D12" s="1"/>
      <c r="E12" s="449" t="s">
        <v>22</v>
      </c>
      <c r="F12" s="449"/>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445" t="s">
        <v>5</v>
      </c>
      <c r="B14" s="446"/>
      <c r="C14" s="4"/>
      <c r="D14" s="1"/>
      <c r="E14" s="1"/>
      <c r="F14" s="1"/>
      <c r="G14" s="1"/>
      <c r="H14" s="1"/>
      <c r="I14" s="1"/>
      <c r="J14" s="1"/>
      <c r="K14" s="1"/>
      <c r="L14" s="1"/>
      <c r="M14" s="1"/>
      <c r="N14" s="1"/>
      <c r="O14" s="1"/>
    </row>
    <row r="15" spans="1:16" x14ac:dyDescent="0.25">
      <c r="A15" s="445" t="s">
        <v>6</v>
      </c>
      <c r="B15" s="446"/>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1"/>
      <c r="E23" s="11"/>
      <c r="F23" s="1"/>
      <c r="G23" s="1"/>
      <c r="H23" s="1"/>
      <c r="I23" s="1"/>
      <c r="J23" s="1"/>
      <c r="K23" s="1"/>
      <c r="L23" s="1"/>
      <c r="M23" s="1"/>
      <c r="N23" s="1"/>
      <c r="O23" s="1"/>
    </row>
    <row r="24" spans="1:15" x14ac:dyDescent="0.25">
      <c r="A24" s="19">
        <v>2</v>
      </c>
      <c r="B24" s="11"/>
      <c r="C24" s="11"/>
      <c r="D24" s="11"/>
      <c r="E24" s="11"/>
      <c r="F24" s="1"/>
      <c r="G24" s="1"/>
      <c r="H24" s="1"/>
      <c r="I24" s="1"/>
      <c r="J24" s="1"/>
      <c r="K24" s="1"/>
      <c r="L24" s="1"/>
      <c r="M24" s="1"/>
      <c r="N24" s="1"/>
      <c r="O24" s="1"/>
    </row>
    <row r="25" spans="1:15" x14ac:dyDescent="0.25">
      <c r="A25" s="15">
        <v>3</v>
      </c>
      <c r="B25" s="11"/>
      <c r="C25" s="11"/>
      <c r="D25" s="11"/>
      <c r="E25" s="11"/>
      <c r="F25" s="1"/>
      <c r="G25" s="1"/>
      <c r="H25" s="1"/>
      <c r="I25" s="1"/>
      <c r="J25" s="1"/>
      <c r="K25" s="1"/>
      <c r="L25" s="1"/>
      <c r="M25" s="1"/>
      <c r="N25" s="1"/>
      <c r="O25" s="1"/>
    </row>
    <row r="26" spans="1:15" x14ac:dyDescent="0.25">
      <c r="A26" s="19">
        <v>4</v>
      </c>
      <c r="B26" s="11"/>
      <c r="C26" s="11"/>
      <c r="D26" s="11"/>
      <c r="E26" s="11"/>
      <c r="F26" s="1"/>
      <c r="G26" s="1"/>
      <c r="H26" s="1"/>
      <c r="I26" s="1"/>
      <c r="J26" s="1"/>
      <c r="K26" s="1"/>
      <c r="L26" s="1"/>
      <c r="M26" s="1"/>
      <c r="N26" s="1"/>
      <c r="O26" s="1"/>
    </row>
    <row r="27" spans="1:15" x14ac:dyDescent="0.25">
      <c r="A27" s="15">
        <v>5</v>
      </c>
      <c r="B27" s="11"/>
      <c r="C27" s="11"/>
      <c r="D27" s="11"/>
      <c r="E27" s="11"/>
      <c r="F27" s="1"/>
      <c r="G27" s="1"/>
      <c r="H27" s="1"/>
      <c r="I27" s="1"/>
      <c r="J27" s="1"/>
      <c r="K27" s="1"/>
      <c r="L27" s="1"/>
      <c r="M27" s="1"/>
      <c r="N27" s="1"/>
      <c r="O27" s="1"/>
    </row>
    <row r="28" spans="1:15" x14ac:dyDescent="0.25">
      <c r="A28" s="19">
        <v>6</v>
      </c>
      <c r="B28" s="11"/>
      <c r="C28" s="11"/>
      <c r="D28" s="11"/>
      <c r="E28" s="11"/>
      <c r="F28" s="1"/>
      <c r="G28" s="1"/>
      <c r="H28" s="1"/>
      <c r="I28" s="1"/>
      <c r="J28" s="1"/>
      <c r="K28" s="1"/>
      <c r="L28" s="1"/>
      <c r="M28" s="1"/>
      <c r="N28" s="1"/>
      <c r="O28" s="1"/>
    </row>
    <row r="29" spans="1:15" x14ac:dyDescent="0.25">
      <c r="A29" s="15">
        <v>7</v>
      </c>
      <c r="B29" s="11"/>
      <c r="C29" s="11"/>
      <c r="D29" s="11"/>
      <c r="E29" s="11"/>
      <c r="F29" s="1"/>
      <c r="G29" s="1"/>
      <c r="H29" s="1"/>
      <c r="I29" s="1"/>
      <c r="J29" s="1"/>
      <c r="K29" s="1"/>
      <c r="L29" s="1"/>
      <c r="M29" s="1"/>
      <c r="N29" s="1"/>
      <c r="O29" s="1"/>
    </row>
    <row r="30" spans="1:15" x14ac:dyDescent="0.25">
      <c r="A30" s="19">
        <v>8</v>
      </c>
      <c r="B30" s="11"/>
      <c r="C30" s="11"/>
      <c r="D30" s="11"/>
      <c r="E30" s="11"/>
      <c r="F30" s="1"/>
      <c r="G30" s="1"/>
      <c r="H30" s="1"/>
      <c r="I30" s="1"/>
      <c r="J30" s="1"/>
      <c r="K30" s="1"/>
      <c r="L30" s="1"/>
      <c r="M30" s="1"/>
      <c r="N30" s="1"/>
      <c r="O30" s="1"/>
    </row>
    <row r="31" spans="1:15" x14ac:dyDescent="0.25">
      <c r="A31" s="15">
        <v>9</v>
      </c>
      <c r="B31" s="11"/>
      <c r="C31" s="11"/>
      <c r="D31" s="11"/>
      <c r="E31" s="11"/>
      <c r="F31" s="1"/>
      <c r="G31" s="1"/>
      <c r="H31" s="1"/>
      <c r="I31" s="1"/>
      <c r="J31" s="1"/>
      <c r="K31" s="1"/>
      <c r="L31" s="1"/>
      <c r="M31" s="1"/>
      <c r="N31" s="1"/>
      <c r="O31" s="1"/>
    </row>
    <row r="32" spans="1:15" x14ac:dyDescent="0.25">
      <c r="A32" s="19">
        <v>10</v>
      </c>
      <c r="B32" s="11"/>
      <c r="C32" s="11"/>
      <c r="D32" s="11"/>
      <c r="E32" s="11"/>
      <c r="F32" s="1"/>
      <c r="G32" s="1"/>
      <c r="H32" s="1"/>
      <c r="I32" s="1"/>
      <c r="J32" s="1"/>
      <c r="K32" s="1"/>
      <c r="L32" s="1"/>
      <c r="M32" s="1"/>
      <c r="N32" s="1"/>
      <c r="O32" s="1"/>
    </row>
    <row r="33" spans="1:15" x14ac:dyDescent="0.25">
      <c r="A33" s="15">
        <v>11</v>
      </c>
      <c r="B33" s="11"/>
      <c r="C33" s="11"/>
      <c r="D33" s="11"/>
      <c r="E33" s="11"/>
      <c r="F33" s="1"/>
      <c r="G33" s="1"/>
      <c r="H33" s="1"/>
      <c r="I33" s="1"/>
      <c r="J33" s="1"/>
      <c r="K33" s="1"/>
      <c r="L33" s="1"/>
      <c r="M33" s="1"/>
      <c r="N33" s="1"/>
      <c r="O33" s="1"/>
    </row>
    <row r="34" spans="1:15" x14ac:dyDescent="0.25">
      <c r="A34" s="19">
        <v>12</v>
      </c>
      <c r="B34" s="11"/>
      <c r="C34" s="11"/>
      <c r="D34" s="11"/>
      <c r="E34" s="11"/>
      <c r="F34" s="1"/>
      <c r="G34" s="1"/>
      <c r="H34" s="1"/>
      <c r="I34" s="1"/>
      <c r="J34" s="1"/>
      <c r="K34" s="1"/>
      <c r="L34" s="1"/>
      <c r="M34" s="1"/>
      <c r="N34" s="1"/>
      <c r="O34" s="1"/>
    </row>
    <row r="35" spans="1:15" x14ac:dyDescent="0.25">
      <c r="A35" s="1"/>
      <c r="B35" s="161"/>
      <c r="C35" s="161"/>
      <c r="D35" s="161"/>
      <c r="E35" s="16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8" t="s">
        <v>13</v>
      </c>
      <c r="C38" s="448"/>
      <c r="D38" s="1"/>
      <c r="E38" s="1"/>
      <c r="F38" s="1"/>
      <c r="G38" s="1"/>
      <c r="H38" s="1"/>
      <c r="I38" s="1"/>
      <c r="J38" s="1"/>
      <c r="K38" s="1"/>
      <c r="L38" s="448" t="s">
        <v>30</v>
      </c>
      <c r="M38" s="448"/>
      <c r="N38" s="1"/>
      <c r="O38" s="1"/>
    </row>
    <row r="39" spans="1:15" x14ac:dyDescent="0.25">
      <c r="A39" s="1"/>
      <c r="B39" s="1"/>
      <c r="C39" s="1"/>
      <c r="D39" s="1"/>
      <c r="E39" s="1"/>
      <c r="F39" s="1"/>
      <c r="G39" s="1"/>
      <c r="H39" s="1"/>
      <c r="I39" s="1"/>
      <c r="J39" s="1"/>
      <c r="K39" s="1"/>
      <c r="L39" s="1"/>
      <c r="M39" s="1"/>
      <c r="N39" s="1"/>
      <c r="O39" s="1"/>
    </row>
    <row r="40" spans="1:15" x14ac:dyDescent="0.25">
      <c r="A40" s="449" t="s">
        <v>10</v>
      </c>
      <c r="B40" s="449"/>
      <c r="C40" s="450"/>
      <c r="D40" s="450"/>
      <c r="E40" s="450"/>
      <c r="F40" s="451"/>
      <c r="G40" s="1"/>
      <c r="H40" s="1"/>
      <c r="I40" s="1"/>
      <c r="J40" s="1"/>
      <c r="K40" s="449" t="s">
        <v>26</v>
      </c>
      <c r="L40" s="449"/>
      <c r="M40" s="449"/>
      <c r="N40" s="449"/>
      <c r="O40" s="449"/>
    </row>
    <row r="41" spans="1:15" ht="45" x14ac:dyDescent="0.25">
      <c r="A41" s="449"/>
      <c r="B41" s="449"/>
      <c r="C41" s="3" t="s">
        <v>15</v>
      </c>
      <c r="D41" s="20" t="s">
        <v>17</v>
      </c>
      <c r="E41" s="20" t="s">
        <v>24</v>
      </c>
      <c r="F41" s="20" t="s">
        <v>25</v>
      </c>
      <c r="G41" s="1"/>
      <c r="H41" s="1"/>
      <c r="I41" s="1"/>
      <c r="J41" s="1"/>
      <c r="K41" s="452"/>
      <c r="L41" s="452"/>
      <c r="M41" s="3" t="s">
        <v>32</v>
      </c>
      <c r="N41" s="3" t="s">
        <v>34</v>
      </c>
      <c r="O41" s="3" t="s">
        <v>35</v>
      </c>
    </row>
    <row r="42" spans="1:15" x14ac:dyDescent="0.25">
      <c r="A42" s="445" t="str">
        <f>CONCATENATE("Sonde ", B23)</f>
        <v xml:space="preserve">Sonde </v>
      </c>
      <c r="B42" s="446"/>
      <c r="C42" s="10"/>
      <c r="D42" s="10"/>
      <c r="E42" s="10"/>
      <c r="F42" s="10"/>
      <c r="G42" s="1"/>
      <c r="H42" s="1"/>
      <c r="I42" s="1"/>
      <c r="J42" s="1"/>
      <c r="K42" s="453" t="s">
        <v>27</v>
      </c>
      <c r="L42" s="454"/>
      <c r="M42" s="10"/>
      <c r="N42" s="10"/>
      <c r="O42" s="10"/>
    </row>
    <row r="43" spans="1:15" x14ac:dyDescent="0.25">
      <c r="A43" s="445" t="str">
        <f t="shared" ref="A43:A53" si="0">"Sonde " &amp; B24</f>
        <v xml:space="preserve">Sonde </v>
      </c>
      <c r="B43" s="446"/>
      <c r="C43" s="10"/>
      <c r="D43" s="10"/>
      <c r="E43" s="10"/>
      <c r="F43" s="10"/>
      <c r="G43" s="1"/>
      <c r="H43" s="1"/>
      <c r="I43" s="1"/>
      <c r="J43" s="1"/>
      <c r="K43" s="1"/>
      <c r="L43" s="1"/>
      <c r="M43" s="1"/>
      <c r="N43" s="1"/>
      <c r="O43" s="1"/>
    </row>
    <row r="44" spans="1:15" x14ac:dyDescent="0.25">
      <c r="A44" s="445" t="str">
        <f>"Sonde " &amp; B25</f>
        <v xml:space="preserve">Sonde </v>
      </c>
      <c r="B44" s="446"/>
      <c r="C44" s="10"/>
      <c r="D44" s="10"/>
      <c r="E44" s="10"/>
      <c r="F44" s="10"/>
      <c r="G44" s="1"/>
      <c r="H44" s="1"/>
      <c r="I44" s="1"/>
      <c r="J44" s="1"/>
      <c r="K44" s="1"/>
      <c r="L44" s="1"/>
      <c r="M44" s="1"/>
      <c r="N44" s="1"/>
      <c r="O44" s="1"/>
    </row>
    <row r="45" spans="1:15" x14ac:dyDescent="0.25">
      <c r="A45" s="445" t="str">
        <f t="shared" si="0"/>
        <v xml:space="preserve">Sonde </v>
      </c>
      <c r="B45" s="446"/>
      <c r="C45" s="10"/>
      <c r="D45" s="10"/>
      <c r="E45" s="10"/>
      <c r="F45" s="10"/>
      <c r="G45" s="1"/>
      <c r="H45" s="1"/>
      <c r="I45" s="1"/>
      <c r="J45" s="1"/>
      <c r="K45" s="1"/>
      <c r="L45" s="1"/>
      <c r="M45" s="1"/>
      <c r="N45" s="1"/>
      <c r="O45" s="1"/>
    </row>
    <row r="46" spans="1:15" ht="26.25" x14ac:dyDescent="0.25">
      <c r="A46" s="445" t="str">
        <f t="shared" si="0"/>
        <v xml:space="preserve">Sonde </v>
      </c>
      <c r="B46" s="446"/>
      <c r="C46" s="10"/>
      <c r="D46" s="10"/>
      <c r="E46" s="10"/>
      <c r="F46" s="10"/>
      <c r="G46" s="1"/>
      <c r="H46" s="1"/>
      <c r="I46" s="1"/>
      <c r="J46" s="1"/>
      <c r="K46" s="1"/>
      <c r="L46" s="448" t="s">
        <v>31</v>
      </c>
      <c r="M46" s="448"/>
      <c r="N46" s="1"/>
      <c r="O46" s="1"/>
    </row>
    <row r="47" spans="1:15" ht="45" x14ac:dyDescent="0.25">
      <c r="A47" s="445" t="str">
        <f t="shared" si="0"/>
        <v xml:space="preserve">Sonde </v>
      </c>
      <c r="B47" s="446"/>
      <c r="C47" s="10"/>
      <c r="D47" s="10"/>
      <c r="E47" s="10"/>
      <c r="F47" s="10"/>
      <c r="G47" s="1"/>
      <c r="H47" s="1"/>
      <c r="I47" s="1"/>
      <c r="J47" s="1"/>
      <c r="K47" s="1"/>
      <c r="L47" s="1"/>
      <c r="M47" s="21" t="s">
        <v>33</v>
      </c>
      <c r="N47" s="1"/>
      <c r="O47" s="1"/>
    </row>
    <row r="48" spans="1:15" x14ac:dyDescent="0.25">
      <c r="A48" s="445" t="str">
        <f t="shared" si="0"/>
        <v xml:space="preserve">Sonde </v>
      </c>
      <c r="B48" s="446"/>
      <c r="C48" s="10"/>
      <c r="D48" s="10"/>
      <c r="E48" s="10"/>
      <c r="F48" s="10"/>
      <c r="G48" s="1"/>
      <c r="H48" s="1"/>
      <c r="I48" s="1"/>
      <c r="J48" s="1"/>
      <c r="K48" s="447" t="s">
        <v>28</v>
      </c>
      <c r="L48" s="447"/>
      <c r="M48" s="10"/>
      <c r="N48" s="1"/>
      <c r="O48" s="1"/>
    </row>
    <row r="49" spans="1:15" x14ac:dyDescent="0.25">
      <c r="A49" s="445" t="str">
        <f t="shared" si="0"/>
        <v xml:space="preserve">Sonde </v>
      </c>
      <c r="B49" s="446"/>
      <c r="C49" s="10"/>
      <c r="D49" s="10"/>
      <c r="E49" s="10"/>
      <c r="F49" s="10"/>
      <c r="G49" s="1"/>
      <c r="H49" s="1"/>
      <c r="I49" s="1"/>
      <c r="J49" s="1"/>
      <c r="K49" s="447" t="s">
        <v>29</v>
      </c>
      <c r="L49" s="447"/>
      <c r="M49" s="10"/>
      <c r="N49" s="1"/>
      <c r="O49" s="1"/>
    </row>
    <row r="50" spans="1:15" x14ac:dyDescent="0.25">
      <c r="A50" s="445" t="str">
        <f t="shared" si="0"/>
        <v xml:space="preserve">Sonde </v>
      </c>
      <c r="B50" s="446"/>
      <c r="C50" s="10"/>
      <c r="D50" s="10"/>
      <c r="E50" s="10"/>
      <c r="F50" s="10"/>
      <c r="G50" s="1"/>
      <c r="H50" s="1"/>
      <c r="I50" s="1"/>
      <c r="J50" s="1"/>
      <c r="K50" s="447" t="s">
        <v>30</v>
      </c>
      <c r="L50" s="447"/>
      <c r="M50" s="10"/>
      <c r="N50" s="1"/>
      <c r="O50" s="1"/>
    </row>
    <row r="51" spans="1:15" x14ac:dyDescent="0.25">
      <c r="A51" s="445" t="str">
        <f t="shared" si="0"/>
        <v xml:space="preserve">Sonde </v>
      </c>
      <c r="B51" s="446"/>
      <c r="C51" s="10"/>
      <c r="D51" s="10"/>
      <c r="E51" s="10"/>
      <c r="F51" s="10"/>
      <c r="G51" s="1"/>
      <c r="H51" s="1"/>
      <c r="I51" s="1"/>
      <c r="J51" s="1"/>
      <c r="K51" s="1"/>
      <c r="L51" s="1"/>
      <c r="M51" s="1"/>
      <c r="N51" s="1"/>
      <c r="O51" s="1"/>
    </row>
    <row r="52" spans="1:15" x14ac:dyDescent="0.25">
      <c r="A52" s="445" t="str">
        <f t="shared" si="0"/>
        <v xml:space="preserve">Sonde </v>
      </c>
      <c r="B52" s="446"/>
      <c r="C52" s="10"/>
      <c r="D52" s="10"/>
      <c r="E52" s="10"/>
      <c r="F52" s="10"/>
      <c r="G52" s="1"/>
      <c r="H52" s="1"/>
      <c r="I52" s="1"/>
      <c r="J52" s="1"/>
      <c r="K52" s="1"/>
      <c r="L52" s="1"/>
      <c r="M52" s="1"/>
      <c r="N52" s="1"/>
      <c r="O52" s="1"/>
    </row>
    <row r="53" spans="1:15" x14ac:dyDescent="0.25">
      <c r="A53" s="445" t="str">
        <f t="shared" si="0"/>
        <v xml:space="preserve">Sonde </v>
      </c>
      <c r="B53" s="446"/>
      <c r="C53" s="10"/>
      <c r="D53" s="10"/>
      <c r="E53" s="10"/>
      <c r="F53" s="10"/>
      <c r="G53" s="1"/>
      <c r="H53" s="1"/>
      <c r="I53" s="1"/>
      <c r="J53" s="1"/>
      <c r="K53" s="1"/>
      <c r="L53" s="1"/>
      <c r="M53" s="1"/>
      <c r="N53" s="1"/>
      <c r="O53" s="1"/>
    </row>
  </sheetData>
  <sheetProtection algorithmName="SHA-512" hashValue="d8f6E/+eHwHmkmJr6+DzfaUwRrYu+E3tcxgF9bPHN4UupPS6DLd+XOM+Rvgd0EPVK7GzcajYz3HUr/Ob0+ooWA==" saltValue="vwROhni6AKYrZMy2nBC1aA==" spinCount="100000" sheet="1" objects="1" scenarios="1"/>
  <protectedRanges>
    <protectedRange sqref="C10" name="Donnees controleur_8"/>
  </protectedRanges>
  <mergeCells count="36">
    <mergeCell ref="A51:B51"/>
    <mergeCell ref="A52:B52"/>
    <mergeCell ref="A53:B53"/>
    <mergeCell ref="A47:B47"/>
    <mergeCell ref="A48:B48"/>
    <mergeCell ref="K48:L48"/>
    <mergeCell ref="A49:B49"/>
    <mergeCell ref="K49:L49"/>
    <mergeCell ref="A50:B50"/>
    <mergeCell ref="K50:L50"/>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A14:B14"/>
    <mergeCell ref="B2:K3"/>
    <mergeCell ref="A5:C5"/>
    <mergeCell ref="A7:B7"/>
    <mergeCell ref="E7:F7"/>
    <mergeCell ref="A8:B8"/>
    <mergeCell ref="E8:F8"/>
    <mergeCell ref="A10:B10"/>
    <mergeCell ref="E10:F10"/>
    <mergeCell ref="A11:B11"/>
    <mergeCell ref="E11:F11"/>
    <mergeCell ref="E12:F12"/>
  </mergeCells>
  <conditionalFormatting sqref="A1:O53">
    <cfRule type="expression" dxfId="68" priority="1">
      <formula>AND(NOT(CELL("protege", A1)), A1="")</formula>
    </cfRule>
  </conditionalFormatting>
  <dataValidations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2"/>
  <sheetViews>
    <sheetView workbookViewId="0">
      <selection activeCell="A2" sqref="A2"/>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36</v>
      </c>
      <c r="B1" t="s">
        <v>37</v>
      </c>
      <c r="C1" t="s">
        <v>38</v>
      </c>
      <c r="D1" t="s">
        <v>39</v>
      </c>
      <c r="E1" t="s">
        <v>40</v>
      </c>
      <c r="F1" t="s">
        <v>41</v>
      </c>
      <c r="G1" t="s">
        <v>42</v>
      </c>
      <c r="H1" t="s">
        <v>43</v>
      </c>
      <c r="I1" t="s">
        <v>44</v>
      </c>
      <c r="J1" t="s">
        <v>45</v>
      </c>
      <c r="K1" t="s">
        <v>46</v>
      </c>
      <c r="L1" t="s">
        <v>47</v>
      </c>
      <c r="M1" t="s">
        <v>48</v>
      </c>
    </row>
    <row r="2" spans="1:13" x14ac:dyDescent="0.25">
      <c r="A2" s="23"/>
    </row>
  </sheetData>
  <sheetProtection algorithmName="SHA-512" hashValue="KPgUoEq1wlU7pS3ZJocD1PFeHMW0eUgSJW/lQTkD7V04uu3JYWqlCaZvNankMKaKvePaxRf+x8ULhAYvh8aB+Q==" saltValue="/WMt8HlyXELna6oJ514AgQ=="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C997-D30E-4AA8-B9BA-F56A87517468}">
  <sheetPr codeName="Feuil6">
    <tabColor theme="8" tint="0.39997558519241921"/>
  </sheetPr>
  <dimension ref="A1:S25"/>
  <sheetViews>
    <sheetView workbookViewId="0">
      <selection activeCell="N27" sqref="N27"/>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458" t="str">
        <f>"-30°C"</f>
        <v>-30°C</v>
      </c>
      <c r="B1" s="458"/>
      <c r="C1" s="458"/>
      <c r="D1" s="458"/>
      <c r="E1" s="458"/>
      <c r="F1" s="458"/>
      <c r="G1" s="458"/>
      <c r="H1" s="458"/>
      <c r="I1" s="458"/>
      <c r="J1" s="458"/>
      <c r="K1" s="458"/>
      <c r="L1" s="458"/>
      <c r="M1" s="458"/>
      <c r="N1" s="458"/>
      <c r="O1" s="458"/>
      <c r="P1" s="458"/>
      <c r="Q1" s="458"/>
      <c r="R1" s="458"/>
      <c r="S1" s="458"/>
    </row>
    <row r="2" spans="1:19" s="27" customFormat="1" x14ac:dyDescent="0.25">
      <c r="A2" s="458"/>
      <c r="B2" s="458"/>
      <c r="C2" s="458"/>
      <c r="D2" s="458"/>
      <c r="E2" s="458"/>
      <c r="F2" s="458"/>
      <c r="G2" s="458"/>
      <c r="H2" s="458"/>
      <c r="I2" s="458"/>
      <c r="J2" s="458"/>
      <c r="K2" s="458"/>
      <c r="L2" s="458"/>
      <c r="M2" s="458"/>
      <c r="N2" s="458"/>
      <c r="O2" s="458"/>
      <c r="P2" s="458"/>
      <c r="Q2" s="458"/>
      <c r="R2" s="458"/>
      <c r="S2" s="458"/>
    </row>
    <row r="3" spans="1:19" s="27" customFormat="1" x14ac:dyDescent="0.25">
      <c r="A3" s="458"/>
      <c r="B3" s="458"/>
      <c r="C3" s="458"/>
      <c r="D3" s="458"/>
      <c r="E3" s="458"/>
      <c r="F3" s="458"/>
      <c r="G3" s="458"/>
      <c r="H3" s="458"/>
      <c r="I3" s="458"/>
      <c r="J3" s="458"/>
      <c r="K3" s="458"/>
      <c r="L3" s="458"/>
      <c r="M3" s="458"/>
      <c r="N3" s="458"/>
      <c r="O3" s="458"/>
      <c r="P3" s="458"/>
      <c r="Q3" s="458"/>
      <c r="R3" s="458"/>
      <c r="S3" s="458"/>
    </row>
    <row r="4" spans="1:19" s="27" customFormat="1" x14ac:dyDescent="0.25">
      <c r="P4" s="33"/>
    </row>
    <row r="5" spans="1:19" s="27" customFormat="1" x14ac:dyDescent="0.25">
      <c r="B5" s="34" t="s">
        <v>23</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87</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342" t="s">
        <v>88</v>
      </c>
      <c r="B9" s="342"/>
      <c r="C9" s="342"/>
      <c r="D9" s="342"/>
      <c r="E9" s="342"/>
      <c r="F9" s="342"/>
      <c r="G9" s="342"/>
      <c r="H9" s="342"/>
      <c r="I9" s="342"/>
      <c r="J9" s="342"/>
      <c r="K9" s="342"/>
      <c r="L9" s="342"/>
      <c r="M9" s="342"/>
      <c r="N9" s="342"/>
      <c r="P9" s="33"/>
    </row>
    <row r="10" spans="1:19" s="27" customFormat="1" ht="15" customHeight="1" x14ac:dyDescent="0.25">
      <c r="A10" s="33"/>
      <c r="B10" s="34" t="str" cm="1">
        <f t="array" ref="B10:N10">Valeurs_Brutes_Congel[#Headers]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89</v>
      </c>
      <c r="B11" s="37" cm="1">
        <f t="array" ref="B11">Valeurs_Brutes_Congel[Date/Heure]</f>
        <v>0</v>
      </c>
      <c r="C11" s="38" cm="1">
        <f t="array" ref="C11:N11">Valeurs_Brutes_Congel[[Connecteur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89</v>
      </c>
      <c r="B12" s="39"/>
      <c r="C12" s="40"/>
      <c r="D12" s="40"/>
      <c r="E12" s="40"/>
      <c r="F12" s="40"/>
      <c r="G12" s="40"/>
      <c r="H12" s="40"/>
      <c r="I12" s="40"/>
      <c r="J12" s="40"/>
      <c r="K12" s="40"/>
      <c r="L12" s="40"/>
      <c r="M12" s="40"/>
      <c r="N12" s="40"/>
      <c r="P12" s="33"/>
    </row>
    <row r="13" spans="1:19" s="459"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90</v>
      </c>
      <c r="C15" s="43" t="e" cm="1">
        <f t="array" ref="C15">MAX(Valeurs_Brutes_Congel[Connecteur 1]+Congel!C5+Congel!C6)</f>
        <v>#N/A</v>
      </c>
      <c r="D15" s="43" t="e" cm="1">
        <f t="array" ref="D15">MAX(Valeurs_Brutes_Congel[Connecteur 2]+Congel!D5+Congel!D6)</f>
        <v>#N/A</v>
      </c>
      <c r="E15" s="43" t="e" cm="1">
        <f t="array" ref="E15">MAX(Valeurs_Brutes_Congel[Connecteur 3]+Congel!E5+Congel!E6)</f>
        <v>#N/A</v>
      </c>
      <c r="F15" s="43" t="e" cm="1">
        <f t="array" ref="F15">MAX(Valeurs_Brutes_Congel[Connecteur 4]+Congel!F5+Congel!F6)</f>
        <v>#N/A</v>
      </c>
      <c r="G15" s="43" t="e" cm="1">
        <f t="array" ref="G15">MAX(Valeurs_Brutes_Congel[Connecteur 5]+Congel!G5+Congel!G6)</f>
        <v>#N/A</v>
      </c>
      <c r="H15" s="43" t="e" cm="1">
        <f t="array" ref="H15">MAX(Valeurs_Brutes_Congel[Connecteur 6]+Congel!H5+Congel!H6)</f>
        <v>#N/A</v>
      </c>
      <c r="I15" s="43" t="e" cm="1">
        <f t="array" ref="I15">MAX(Valeurs_Brutes_Congel[Connecteur 7]+Congel!I5+Congel!I6)</f>
        <v>#N/A</v>
      </c>
      <c r="J15" s="43" t="e" cm="1">
        <f t="array" ref="J15">MAX(Valeurs_Brutes_Congel[Connecteur 8]+Congel!J5+Congel!J6)</f>
        <v>#N/A</v>
      </c>
      <c r="K15" s="43" t="e" cm="1">
        <f t="array" ref="K15">MAX(Valeurs_Brutes_Congel[Connecteur 9]+Congel!K5+Congel!K6)</f>
        <v>#N/A</v>
      </c>
      <c r="L15" s="43" t="e" cm="1">
        <f t="array" ref="L15">MAX(Valeurs_Brutes_Congel[Connecteur 10]+Congel!L5+Congel!L6)</f>
        <v>#N/A</v>
      </c>
      <c r="M15" s="43" t="e" cm="1">
        <f t="array" ref="M15">MAX(Valeurs_Brutes_Congel[Connecteur 11]+Congel!M5+Congel!M6)</f>
        <v>#N/A</v>
      </c>
      <c r="N15" s="43" t="e" cm="1">
        <f t="array" ref="N15">MAX(Valeurs_Brutes_Congel[Connecteur 12]+Congel!N5+Congel!N6)</f>
        <v>#N/A</v>
      </c>
      <c r="O15" s="48">
        <f>R15+Mesures_Congel!B20</f>
        <v>0</v>
      </c>
      <c r="P15" s="33"/>
      <c r="Q15" s="36" t="s">
        <v>7</v>
      </c>
      <c r="R15" s="48">
        <f>Mesures_Congel!B19</f>
        <v>0</v>
      </c>
    </row>
    <row r="16" spans="1:19" s="27" customFormat="1" x14ac:dyDescent="0.25">
      <c r="B16" s="42" t="s">
        <v>91</v>
      </c>
      <c r="C16" s="43" t="e">
        <f ca="1">MAX(OFFSET(INDEX(Valeurs_Brutes_Congel[Connecteur 1],1),COUNT(Valeurs_Brutes_Congel[Connecteur 1])-30,0,30))+C5+C6</f>
        <v>#REF!</v>
      </c>
      <c r="D16" s="43" t="e">
        <f ca="1">MAX(OFFSET(INDEX(Valeurs_Brutes_Congel[Connecteur 2],1),COUNT(Valeurs_Brutes_Congel[Connecteur 2])-30,0,30))+D5+D6</f>
        <v>#REF!</v>
      </c>
      <c r="E16" s="43" t="e">
        <f ca="1">MAX(OFFSET(INDEX(Valeurs_Brutes_Congel[Connecteur 3],1),COUNT(Valeurs_Brutes_Congel[Connecteur 3])-30,0,30))+E5+E6</f>
        <v>#REF!</v>
      </c>
      <c r="F16" s="43" t="e">
        <f ca="1">MAX(OFFSET(INDEX(Valeurs_Brutes_Congel[Connecteur 4],1),COUNT(Valeurs_Brutes_Congel[Connecteur 4])-30,0,30))+F5+F6</f>
        <v>#REF!</v>
      </c>
      <c r="G16" s="43" t="e">
        <f ca="1">MAX(OFFSET(INDEX(Valeurs_Brutes_Congel[Connecteur 5],1),COUNT(Valeurs_Brutes_Congel[Connecteur 5])-30,0,30))+G5+G6</f>
        <v>#REF!</v>
      </c>
      <c r="H16" s="43" t="e">
        <f ca="1">MAX(OFFSET(INDEX(Valeurs_Brutes_Congel[Connecteur 6],1),COUNT(Valeurs_Brutes_Congel[Connecteur 6])-30,0,30))+H5+H6</f>
        <v>#REF!</v>
      </c>
      <c r="I16" s="43" t="e">
        <f ca="1">MAX(OFFSET(INDEX(Valeurs_Brutes_Congel[Connecteur 7],1),COUNT(Valeurs_Brutes_Congel[Connecteur 7])-30,0,30))+I5+I6</f>
        <v>#REF!</v>
      </c>
      <c r="J16" s="43" t="e">
        <f ca="1">MAX(OFFSET(INDEX(Valeurs_Brutes_Congel[Connecteur 8],1),COUNT(Valeurs_Brutes_Congel[Connecteur 8])-30,0,30))+J5+J6</f>
        <v>#REF!</v>
      </c>
      <c r="K16" s="43" t="e">
        <f ca="1">MAX(OFFSET(INDEX(Valeurs_Brutes_Congel[Connecteur 9],1),COUNT(Valeurs_Brutes_Congel[Connecteur 9])-30,0,30))+K5+K6</f>
        <v>#REF!</v>
      </c>
      <c r="L16" s="43" t="e">
        <f ca="1">MAX(OFFSET(INDEX(Valeurs_Brutes_Congel[Connecteur 10],1),COUNT(Valeurs_Brutes_Congel[Connecteur 10])-30,0,30))+L5+L6</f>
        <v>#REF!</v>
      </c>
      <c r="M16" s="43" t="e">
        <f ca="1">MAX(OFFSET(INDEX(Valeurs_Brutes_Congel[Connecteur 11],1),COUNT(Valeurs_Brutes_Congel[Connecteur 11])-30,0,30))+M5+M6</f>
        <v>#REF!</v>
      </c>
      <c r="N16" s="43" t="e">
        <f ca="1">MAX(OFFSET(INDEX(Valeurs_Brutes_Congel[Connecteur 12],1),COUNT(Valeurs_Brutes_Congel[Connecteur 12])-30,0,30))+N5+N6</f>
        <v>#REF!</v>
      </c>
      <c r="O16" s="48">
        <f>R15+Mesures_Congel!B20</f>
        <v>0</v>
      </c>
      <c r="P16" s="33"/>
      <c r="Q16" s="36" t="s">
        <v>92</v>
      </c>
      <c r="R16" s="35" t="str">
        <f>"+" &amp; Mesures_Congel!B20 &amp; "°C"</f>
        <v>+°C</v>
      </c>
    </row>
    <row r="17" spans="2:18" s="27" customFormat="1" x14ac:dyDescent="0.25">
      <c r="B17" s="42" t="s">
        <v>93</v>
      </c>
      <c r="C17" s="43" t="e">
        <f ca="1">MIN(OFFSET(INDEX(Valeurs_Brutes_Congel[Connecteur 1],1),COUNT(Valeurs_Brutes_Congel[Connecteur 1])-30,0,30))+C5+C6</f>
        <v>#REF!</v>
      </c>
      <c r="D17" s="43" t="e">
        <f ca="1">MIN(OFFSET(INDEX(Valeurs_Brutes_Congel[Connecteur 2],1),COUNT(Valeurs_Brutes_Congel[Connecteur 2])-30,0,30))+D5+D6</f>
        <v>#REF!</v>
      </c>
      <c r="E17" s="43" t="e">
        <f ca="1">MIN(OFFSET(INDEX(Valeurs_Brutes_Congel[Connecteur 3],1),COUNT(Valeurs_Brutes_Congel[Connecteur 3])-30,0,30))+E5+E6</f>
        <v>#REF!</v>
      </c>
      <c r="F17" s="43" t="e">
        <f ca="1">MIN(OFFSET(INDEX(Valeurs_Brutes_Congel[Connecteur 4],1),COUNT(Valeurs_Brutes_Congel[Connecteur 4])-30,0,30))+F5+F6</f>
        <v>#REF!</v>
      </c>
      <c r="G17" s="43" t="e">
        <f ca="1">MIN(OFFSET(INDEX(Valeurs_Brutes_Congel[Connecteur 5],1),COUNT(Valeurs_Brutes_Congel[Connecteur 5])-30,0,30))+G5+G6</f>
        <v>#REF!</v>
      </c>
      <c r="H17" s="43" t="e">
        <f ca="1">MIN(OFFSET(INDEX(Valeurs_Brutes_Congel[Connecteur 6],1),COUNT(Valeurs_Brutes_Congel[Connecteur 6])-30,0,30))+H5+H6</f>
        <v>#REF!</v>
      </c>
      <c r="I17" s="43" t="e">
        <f ca="1">MIN(OFFSET(INDEX(Valeurs_Brutes_Congel[Connecteur 7],1),COUNT(Valeurs_Brutes_Congel[Connecteur 7])-30,0,30))+I5+I6</f>
        <v>#REF!</v>
      </c>
      <c r="J17" s="43" t="e">
        <f ca="1">MIN(OFFSET(INDEX(Valeurs_Brutes_Congel[Connecteur 8],1),COUNT(Valeurs_Brutes_Congel[Connecteur 8])-30,0,30))+J5+J6</f>
        <v>#REF!</v>
      </c>
      <c r="K17" s="43" t="e">
        <f ca="1">MIN(OFFSET(INDEX(Valeurs_Brutes_Congel[Connecteur 9],1),COUNT(Valeurs_Brutes_Congel[Connecteur 9])-30,0,30))+K5+K6</f>
        <v>#REF!</v>
      </c>
      <c r="L17" s="43" t="e">
        <f ca="1">MIN(OFFSET(INDEX(Valeurs_Brutes_Congel[Connecteur 10],1),COUNT(Valeurs_Brutes_Congel[Connecteur 10])-30,0,30))+L5+L6</f>
        <v>#REF!</v>
      </c>
      <c r="M17" s="43" t="e">
        <f ca="1">MIN(OFFSET(INDEX(Valeurs_Brutes_Congel[Connecteur 11],1),COUNT(Valeurs_Brutes_Congel[Connecteur 11])-30,0,30))+M5+M6</f>
        <v>#REF!</v>
      </c>
      <c r="N17" s="43" t="e">
        <f ca="1">MIN(OFFSET(INDEX(Valeurs_Brutes_Congel[Connecteur 12],1),COUNT(Valeurs_Brutes_Congel[Connecteur 12])-30,0,30))+N5+N6</f>
        <v>#REF!</v>
      </c>
      <c r="O17" s="48">
        <f>R15 - Mesures_Congel!B20</f>
        <v>0</v>
      </c>
      <c r="P17" s="33"/>
      <c r="Q17" s="36" t="s">
        <v>94</v>
      </c>
      <c r="R17" s="35" t="str">
        <f>"-" &amp; Mesures_Congel!B20 &amp; "°C"</f>
        <v>-°C</v>
      </c>
    </row>
    <row r="18" spans="2:18" s="27" customFormat="1" x14ac:dyDescent="0.25">
      <c r="B18" s="42" t="s">
        <v>95</v>
      </c>
      <c r="C18" s="43" t="e">
        <f ca="1">AVERAGE(OFFSET(INDEX(Valeurs_Brutes_Congel[Connecteur 1],1),COUNT(Valeurs_Brutes_Congel[Connecteur 1])-30,0,30))+C5+C6</f>
        <v>#REF!</v>
      </c>
      <c r="D18" s="43" t="e">
        <f ca="1">AVERAGE(OFFSET(INDEX(Valeurs_Brutes_Congel[Connecteur 2],1),COUNT(Valeurs_Brutes_Congel[Connecteur 2])-30,0,30))+D5+D6</f>
        <v>#REF!</v>
      </c>
      <c r="E18" s="43" t="e">
        <f ca="1">AVERAGE(OFFSET(INDEX(Valeurs_Brutes_Congel[Connecteur 3],1),COUNT(Valeurs_Brutes_Congel[Connecteur 3])-30,0,30))+E5+E6</f>
        <v>#REF!</v>
      </c>
      <c r="F18" s="43" t="e">
        <f ca="1">AVERAGE(OFFSET(INDEX(Valeurs_Brutes_Congel[Connecteur 4],1),COUNT(Valeurs_Brutes_Congel[Connecteur 4])-30,0,30))+F5+F6</f>
        <v>#REF!</v>
      </c>
      <c r="G18" s="43" t="e">
        <f ca="1">AVERAGE(OFFSET(INDEX(Valeurs_Brutes_Congel[Connecteur 5],1),COUNT(Valeurs_Brutes_Congel[Connecteur 5])-30,0,30))+G5+G6</f>
        <v>#REF!</v>
      </c>
      <c r="H18" s="43" t="e">
        <f ca="1">AVERAGE(OFFSET(INDEX(Valeurs_Brutes_Congel[Connecteur 6],1),COUNT(Valeurs_Brutes_Congel[Connecteur 6])-30,0,30))+H5+H6</f>
        <v>#REF!</v>
      </c>
      <c r="I18" s="43" t="e">
        <f ca="1">AVERAGE(OFFSET(INDEX(Valeurs_Brutes_Congel[Connecteur 7],1),COUNT(Valeurs_Brutes_Congel[Connecteur 7])-30,0,30))+I5+I6</f>
        <v>#REF!</v>
      </c>
      <c r="J18" s="43" t="e">
        <f ca="1">AVERAGE(OFFSET(INDEX(Valeurs_Brutes_Congel[Connecteur 8],1),COUNT(Valeurs_Brutes_Congel[Connecteur 8])-30,0,30))+J5+J6</f>
        <v>#REF!</v>
      </c>
      <c r="K18" s="43" t="e">
        <f ca="1">AVERAGE(OFFSET(INDEX(Valeurs_Brutes_Congel[Connecteur 9],1),COUNT(Valeurs_Brutes_Congel[Connecteur 9])-30,0,30))+K5+K6</f>
        <v>#REF!</v>
      </c>
      <c r="L18" s="43" t="e">
        <f ca="1">AVERAGE(OFFSET(INDEX(Valeurs_Brutes_Congel[Connecteur 10],1),COUNT(Valeurs_Brutes_Congel[Connecteur 10])-30,0,30))+L5+L6</f>
        <v>#REF!</v>
      </c>
      <c r="M18" s="43" t="e">
        <f ca="1">AVERAGE(OFFSET(INDEX(Valeurs_Brutes_Congel[Connecteur 11],1),COUNT(Valeurs_Brutes_Congel[Connecteur 11])-30,0,30))+M5+M6</f>
        <v>#REF!</v>
      </c>
      <c r="N18" s="43" t="e">
        <f ca="1">AVERAGE(OFFSET(INDEX(Valeurs_Brutes_Congel[Connecteur 12],1),COUNT(Valeurs_Brutes_Congel[Connecteur 12])-30,0,30))+N5+N6</f>
        <v>#REF!</v>
      </c>
      <c r="O18" s="44"/>
      <c r="P18" s="33"/>
    </row>
    <row r="19" spans="2:18" s="27" customFormat="1" x14ac:dyDescent="0.25">
      <c r="B19" s="42" t="s">
        <v>96</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97</v>
      </c>
      <c r="C20" s="376" t="e">
        <f ca="1">ABS(MAX(C16:N16)- MIN(C17:N17))</f>
        <v>#REF!</v>
      </c>
      <c r="D20" s="376"/>
      <c r="E20" s="376"/>
      <c r="F20" s="376"/>
      <c r="G20" s="376"/>
      <c r="H20" s="376"/>
      <c r="I20" s="376"/>
      <c r="J20" s="376"/>
      <c r="K20" s="376"/>
      <c r="L20" s="376"/>
      <c r="M20" s="376"/>
      <c r="N20" s="376"/>
      <c r="O20" s="376"/>
      <c r="P20" s="33"/>
    </row>
    <row r="21" spans="2:18" s="27" customFormat="1" x14ac:dyDescent="0.25">
      <c r="B21" s="42" t="s">
        <v>98</v>
      </c>
      <c r="C21" s="376" t="e">
        <f ca="1">AVERAGE(C18:N18)</f>
        <v>#REF!</v>
      </c>
      <c r="D21" s="376"/>
      <c r="E21" s="376"/>
      <c r="F21" s="376"/>
      <c r="G21" s="376"/>
      <c r="H21" s="376"/>
      <c r="I21" s="376"/>
      <c r="J21" s="376"/>
      <c r="K21" s="376"/>
      <c r="L21" s="376"/>
      <c r="M21" s="376"/>
      <c r="N21" s="376"/>
      <c r="O21" s="376"/>
      <c r="P21" s="33"/>
    </row>
    <row r="22" spans="2:18" s="27" customFormat="1" x14ac:dyDescent="0.25">
      <c r="B22" s="36" t="s">
        <v>99</v>
      </c>
      <c r="C22" s="46" t="e">
        <f ca="1">STDEV(OFFSET(INDEX(Valeurs_Brutes_Congel[Connecteur 1],1),COUNT(Valeurs_Brutes_Congel[Connecteur 1])-30,0,30))+C5+C6</f>
        <v>#REF!</v>
      </c>
      <c r="D22" s="46" t="e">
        <f ca="1">STDEV(OFFSET(INDEX(Valeurs_Brutes_Congel[Connecteur 2],1),COUNT(Valeurs_Brutes_Congel[Connecteur 2])-30,0,30))+D5+D6</f>
        <v>#REF!</v>
      </c>
      <c r="E22" s="46" t="e">
        <f ca="1">STDEV(OFFSET(INDEX(Valeurs_Brutes_Congel[Connecteur 3],1),COUNT(Valeurs_Brutes_Congel[Connecteur 3])-30,0,30))+E5+E6</f>
        <v>#REF!</v>
      </c>
      <c r="F22" s="46" t="e">
        <f ca="1">STDEV(OFFSET(INDEX(Valeurs_Brutes_Congel[Connecteur 4],1),COUNT(Valeurs_Brutes_Congel[Connecteur 4])-30,0,30))+F5+F6</f>
        <v>#REF!</v>
      </c>
      <c r="G22" s="46" t="e">
        <f ca="1">STDEV(OFFSET(INDEX(Valeurs_Brutes_Congel[Connecteur 5],1),COUNT(Valeurs_Brutes_Congel[Connecteur 5])-30,0,30))+G5+G6</f>
        <v>#REF!</v>
      </c>
      <c r="H22" s="46" t="e">
        <f ca="1">STDEV(OFFSET(INDEX(Valeurs_Brutes_Congel[Connecteur 6],1),COUNT(Valeurs_Brutes_Congel[Connecteur 6])-30,0,30))+H5+H6</f>
        <v>#REF!</v>
      </c>
      <c r="I22" s="46" t="e">
        <f ca="1">STDEV(OFFSET(INDEX(Valeurs_Brutes_Congel[Connecteur 7],1),COUNT(Valeurs_Brutes_Congel[Connecteur 7])-30,0,30))+I5+I6</f>
        <v>#REF!</v>
      </c>
      <c r="J22" s="46" t="e">
        <f ca="1">STDEV(OFFSET(INDEX(Valeurs_Brutes_Congel[Connecteur 8],1),COUNT(Valeurs_Brutes_Congel[Connecteur 8])-30,0,30))+J5+J6</f>
        <v>#REF!</v>
      </c>
      <c r="K22" s="46" t="e">
        <f ca="1">STDEV(OFFSET(INDEX(Valeurs_Brutes_Congel[Connecteur 9],1),COUNT(Valeurs_Brutes_Congel[Connecteur 9])-30,0,30))+K5+K6</f>
        <v>#REF!</v>
      </c>
      <c r="L22" s="46" t="e">
        <f ca="1">STDEV(OFFSET(INDEX(Valeurs_Brutes_Congel[Connecteur 10],1),COUNT(Valeurs_Brutes_Congel[Connecteur 10])-30,0,30))+L5+L6</f>
        <v>#REF!</v>
      </c>
      <c r="M22" s="46" t="e">
        <f ca="1">STDEV(OFFSET(INDEX(Valeurs_Brutes_Congel[Connecteur 11],1),COUNT(Valeurs_Brutes_Congel[Connecteur 11])-30,0,30))+M5+M6</f>
        <v>#REF!</v>
      </c>
      <c r="N22" s="46" t="e">
        <f ca="1">STDEV(OFFSET(INDEX(Valeurs_Brutes_Congel[Connecteur 12],1),COUNT(Valeurs_Brutes_Congel[Connecteur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5/PixjXFr1c/RHEU1sXbeqBy3rOkcWvIt0/mAiTtwfyMej7QLDDHXaRZ1qfaMpQJDr/D5fGUgXBdf+0PHsVKig==" saltValue="2I0eSYrfiTOZ6AJWvKNy6g==" spinCount="100000" sheet="1" objects="1" scenarios="1"/>
  <mergeCells count="5">
    <mergeCell ref="A1:S3"/>
    <mergeCell ref="A9:N9"/>
    <mergeCell ref="A13:XFD13"/>
    <mergeCell ref="C20:O20"/>
    <mergeCell ref="C21:O21"/>
  </mergeCells>
  <conditionalFormatting sqref="C15:N15">
    <cfRule type="cellIs" dxfId="66" priority="3" operator="greaterThan">
      <formula>$O$15</formula>
    </cfRule>
  </conditionalFormatting>
  <conditionalFormatting sqref="C16:N16">
    <cfRule type="cellIs" dxfId="65" priority="2" operator="greaterThan">
      <formula>$O$16</formula>
    </cfRule>
  </conditionalFormatting>
  <conditionalFormatting sqref="C17:N17">
    <cfRule type="cellIs" dxfId="64" priority="1" operator="lessThan">
      <formula>$O$17</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23"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383" t="s">
        <v>138</v>
      </c>
      <c r="D10" s="383"/>
      <c r="E10" s="476">
        <f>Mesures_Congel!D5</f>
        <v>0</v>
      </c>
      <c r="F10" s="476"/>
    </row>
    <row r="11" spans="2:9" ht="21" x14ac:dyDescent="0.25">
      <c r="C11" s="90"/>
      <c r="D11" s="90"/>
      <c r="E11" s="91"/>
      <c r="F11" s="91"/>
    </row>
    <row r="12" spans="2:9" x14ac:dyDescent="0.25">
      <c r="C12" s="92" t="s">
        <v>1</v>
      </c>
      <c r="D12" s="93">
        <f>Mesures_Congel!C7</f>
        <v>0</v>
      </c>
      <c r="F12" s="92" t="s">
        <v>18</v>
      </c>
      <c r="G12" s="93">
        <f>Mesures_Congel!G7</f>
        <v>0</v>
      </c>
    </row>
    <row r="13" spans="2:9" ht="15.75" x14ac:dyDescent="0.25">
      <c r="C13" s="94" t="s">
        <v>2</v>
      </c>
      <c r="D13" s="95">
        <f>Mesures_Congel!C8</f>
        <v>0</v>
      </c>
      <c r="F13" s="96" t="s">
        <v>19</v>
      </c>
      <c r="G13" s="95">
        <f>Mesures_Congel!G8</f>
        <v>0</v>
      </c>
    </row>
    <row r="14" spans="2:9" ht="15.75" x14ac:dyDescent="0.25">
      <c r="C14" s="97"/>
      <c r="D14" s="98"/>
      <c r="G14" s="99"/>
    </row>
    <row r="15" spans="2:9" ht="15.75" x14ac:dyDescent="0.25">
      <c r="C15" s="100" t="s">
        <v>139</v>
      </c>
      <c r="D15" s="101">
        <f>Mesures_Congel!C14</f>
        <v>0</v>
      </c>
      <c r="F15" s="92" t="s">
        <v>140</v>
      </c>
      <c r="G15" s="102">
        <f>Mesures_Congel!C15</f>
        <v>0</v>
      </c>
    </row>
    <row r="16" spans="2:9" ht="15.75" x14ac:dyDescent="0.25">
      <c r="C16" s="100" t="s">
        <v>141</v>
      </c>
      <c r="D16" s="103">
        <f>Mesures_Congel!G11</f>
        <v>9</v>
      </c>
      <c r="F16" s="92" t="s">
        <v>142</v>
      </c>
      <c r="G16" s="102">
        <f>Mesures_Congel!G12</f>
        <v>0</v>
      </c>
    </row>
    <row r="17" spans="1:9" ht="15.75" x14ac:dyDescent="0.25">
      <c r="C17" s="97"/>
      <c r="D17" s="98"/>
      <c r="F17" s="97"/>
      <c r="G17" s="27"/>
    </row>
    <row r="18" spans="1:9" ht="15.75" x14ac:dyDescent="0.25">
      <c r="C18" s="100" t="s">
        <v>143</v>
      </c>
      <c r="D18" s="140">
        <f>Mesures_Congel!C11</f>
        <v>0</v>
      </c>
      <c r="F18" s="92" t="s">
        <v>144</v>
      </c>
      <c r="G18" s="141">
        <f>Mesures_Congel!G10</f>
        <v>0</v>
      </c>
    </row>
    <row r="19" spans="1:9" ht="15.75" x14ac:dyDescent="0.25">
      <c r="C19" s="94" t="s">
        <v>145</v>
      </c>
      <c r="D19" s="101">
        <f>Mesures_Congel!C10</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385" t="s">
        <v>147</v>
      </c>
      <c r="B30" s="385"/>
      <c r="C30" s="385"/>
      <c r="D30" s="385"/>
      <c r="E30" s="385"/>
      <c r="F30" s="385"/>
      <c r="G30" s="385"/>
      <c r="H30" s="385"/>
      <c r="I30" s="385"/>
    </row>
    <row r="31" spans="1:9" x14ac:dyDescent="0.25">
      <c r="A31" s="385"/>
      <c r="B31" s="385"/>
      <c r="C31" s="385"/>
      <c r="D31" s="385"/>
      <c r="E31" s="385"/>
      <c r="F31" s="385"/>
      <c r="G31" s="385"/>
      <c r="H31" s="385"/>
      <c r="I31" s="385"/>
    </row>
    <row r="32" spans="1:9" x14ac:dyDescent="0.25">
      <c r="A32" s="385"/>
      <c r="B32" s="385"/>
      <c r="C32" s="385"/>
      <c r="D32" s="385"/>
      <c r="E32" s="385"/>
      <c r="F32" s="385"/>
      <c r="G32" s="385"/>
      <c r="H32" s="385"/>
      <c r="I32" s="385"/>
    </row>
    <row r="33" spans="1:9" x14ac:dyDescent="0.25">
      <c r="A33" s="385"/>
      <c r="B33" s="385"/>
      <c r="C33" s="385"/>
      <c r="D33" s="385"/>
      <c r="E33" s="385"/>
      <c r="F33" s="385"/>
      <c r="G33" s="385"/>
      <c r="H33" s="385"/>
      <c r="I33" s="385"/>
    </row>
    <row r="34" spans="1:9" x14ac:dyDescent="0.25">
      <c r="A34" s="385"/>
      <c r="B34" s="385"/>
      <c r="C34" s="385"/>
      <c r="D34" s="385"/>
      <c r="E34" s="385"/>
      <c r="F34" s="385"/>
      <c r="G34" s="385"/>
      <c r="H34" s="385"/>
      <c r="I34" s="385"/>
    </row>
    <row r="35" spans="1:9" x14ac:dyDescent="0.25">
      <c r="A35" s="385"/>
      <c r="B35" s="385"/>
      <c r="C35" s="385"/>
      <c r="D35" s="385"/>
      <c r="E35" s="385"/>
      <c r="F35" s="385"/>
      <c r="G35" s="385"/>
      <c r="H35" s="385"/>
      <c r="I35" s="385"/>
    </row>
    <row r="36" spans="1:9" x14ac:dyDescent="0.25">
      <c r="A36" s="385"/>
      <c r="B36" s="385"/>
      <c r="C36" s="385"/>
      <c r="D36" s="385"/>
      <c r="E36" s="385"/>
      <c r="F36" s="385"/>
      <c r="G36" s="385"/>
      <c r="H36" s="385"/>
      <c r="I36" s="385"/>
    </row>
    <row r="37" spans="1:9" x14ac:dyDescent="0.25">
      <c r="A37" s="385"/>
      <c r="B37" s="385"/>
      <c r="C37" s="385"/>
      <c r="D37" s="385"/>
      <c r="E37" s="385"/>
      <c r="F37" s="385"/>
      <c r="G37" s="385"/>
      <c r="H37" s="385"/>
      <c r="I37" s="385"/>
    </row>
    <row r="38" spans="1:9" x14ac:dyDescent="0.25">
      <c r="A38" s="385"/>
      <c r="B38" s="385"/>
      <c r="C38" s="385"/>
      <c r="D38" s="385"/>
      <c r="E38" s="385"/>
      <c r="F38" s="385"/>
      <c r="G38" s="385"/>
      <c r="H38" s="385"/>
      <c r="I38" s="385"/>
    </row>
    <row r="39" spans="1:9" x14ac:dyDescent="0.25">
      <c r="A39" s="385"/>
      <c r="B39" s="385"/>
      <c r="C39" s="385"/>
      <c r="D39" s="385"/>
      <c r="E39" s="385"/>
      <c r="F39" s="385"/>
      <c r="G39" s="385"/>
      <c r="H39" s="385"/>
      <c r="I39" s="385"/>
    </row>
    <row r="40" spans="1:9" x14ac:dyDescent="0.25">
      <c r="A40" s="385"/>
      <c r="B40" s="385"/>
      <c r="C40" s="385"/>
      <c r="D40" s="385"/>
      <c r="E40" s="385"/>
      <c r="F40" s="385"/>
      <c r="G40" s="385"/>
      <c r="H40" s="385"/>
      <c r="I40" s="385"/>
    </row>
    <row r="41" spans="1:9" x14ac:dyDescent="0.25">
      <c r="A41" s="385"/>
      <c r="B41" s="385"/>
      <c r="C41" s="385"/>
      <c r="D41" s="385"/>
      <c r="E41" s="385"/>
      <c r="F41" s="385"/>
      <c r="G41" s="385"/>
      <c r="H41" s="385"/>
      <c r="I41" s="385"/>
    </row>
    <row r="42" spans="1:9" x14ac:dyDescent="0.25">
      <c r="A42" s="385"/>
      <c r="B42" s="385"/>
      <c r="C42" s="385"/>
      <c r="D42" s="385"/>
      <c r="E42" s="385"/>
      <c r="F42" s="385"/>
      <c r="G42" s="385"/>
      <c r="H42" s="385"/>
      <c r="I42" s="385"/>
    </row>
    <row r="43" spans="1:9" x14ac:dyDescent="0.25">
      <c r="A43" s="385"/>
      <c r="B43" s="385"/>
      <c r="C43" s="385"/>
      <c r="D43" s="385"/>
      <c r="E43" s="385"/>
      <c r="F43" s="385"/>
      <c r="G43" s="385"/>
      <c r="H43" s="385"/>
      <c r="I43" s="385"/>
    </row>
    <row r="44" spans="1:9" x14ac:dyDescent="0.25">
      <c r="A44" s="385"/>
      <c r="B44" s="385"/>
      <c r="C44" s="385"/>
      <c r="D44" s="385"/>
      <c r="E44" s="385"/>
      <c r="F44" s="385"/>
      <c r="G44" s="385"/>
      <c r="H44" s="385"/>
      <c r="I44" s="385"/>
    </row>
    <row r="45" spans="1:9" x14ac:dyDescent="0.25">
      <c r="A45" s="385"/>
      <c r="B45" s="385"/>
      <c r="C45" s="385"/>
      <c r="D45" s="385"/>
      <c r="E45" s="385"/>
      <c r="F45" s="385"/>
      <c r="G45" s="385"/>
      <c r="H45" s="385"/>
      <c r="I45" s="385"/>
    </row>
    <row r="46" spans="1:9" x14ac:dyDescent="0.25">
      <c r="A46" s="385"/>
      <c r="B46" s="385"/>
      <c r="C46" s="385"/>
      <c r="D46" s="385"/>
      <c r="E46" s="385"/>
      <c r="F46" s="385"/>
      <c r="G46" s="385"/>
      <c r="H46" s="385"/>
      <c r="I46" s="385"/>
    </row>
    <row r="47" spans="1:9" x14ac:dyDescent="0.25">
      <c r="A47" s="385"/>
      <c r="B47" s="385"/>
      <c r="C47" s="385"/>
      <c r="D47" s="385"/>
      <c r="E47" s="385"/>
      <c r="F47" s="385"/>
      <c r="G47" s="385"/>
      <c r="H47" s="385"/>
      <c r="I47" s="385"/>
    </row>
    <row r="51" spans="2:8" ht="36" x14ac:dyDescent="0.25">
      <c r="C51" s="466" t="s">
        <v>148</v>
      </c>
      <c r="D51" s="466"/>
      <c r="E51" s="466"/>
      <c r="F51" s="466"/>
    </row>
    <row r="52" spans="2:8" ht="20.25" customHeight="1" x14ac:dyDescent="0.25">
      <c r="B52" s="105"/>
    </row>
    <row r="53" spans="2:8" ht="23.25" x14ac:dyDescent="0.25">
      <c r="B53" s="106" t="s">
        <v>149</v>
      </c>
    </row>
    <row r="55" spans="2:8" ht="21" x14ac:dyDescent="0.25">
      <c r="B55" s="107" t="s">
        <v>150</v>
      </c>
      <c r="E55" s="475" t="s">
        <v>151</v>
      </c>
      <c r="F55" s="475"/>
      <c r="G55" s="475"/>
      <c r="H55" s="108"/>
    </row>
    <row r="56" spans="2:8" ht="21" customHeight="1" x14ac:dyDescent="0.25">
      <c r="B56" s="107" t="s">
        <v>152</v>
      </c>
      <c r="E56" s="475" t="s">
        <v>153</v>
      </c>
      <c r="F56" s="475"/>
      <c r="G56" s="475"/>
      <c r="H56" s="475"/>
    </row>
    <row r="57" spans="2:8" ht="21" x14ac:dyDescent="0.25">
      <c r="B57" s="107" t="s">
        <v>154</v>
      </c>
      <c r="E57" s="475" t="s">
        <v>155</v>
      </c>
      <c r="F57" s="475"/>
      <c r="G57" s="108"/>
      <c r="H57" s="108"/>
    </row>
    <row r="59" spans="2:8" ht="23.25" x14ac:dyDescent="0.25">
      <c r="B59" s="106" t="s">
        <v>156</v>
      </c>
    </row>
    <row r="61" spans="2:8" ht="21" x14ac:dyDescent="0.25">
      <c r="B61" s="475" t="s">
        <v>157</v>
      </c>
      <c r="C61" s="475"/>
      <c r="D61" s="475"/>
      <c r="E61" s="475" t="s">
        <v>158</v>
      </c>
      <c r="F61" s="475"/>
      <c r="G61" s="475"/>
    </row>
    <row r="62" spans="2:8" ht="21" x14ac:dyDescent="0.25">
      <c r="B62" s="475" t="s">
        <v>159</v>
      </c>
      <c r="C62" s="475"/>
      <c r="D62" s="475"/>
    </row>
    <row r="64" spans="2:8" ht="21" x14ac:dyDescent="0.25">
      <c r="B64" s="107" t="s">
        <v>160</v>
      </c>
    </row>
    <row r="66" spans="1:10" ht="21" x14ac:dyDescent="0.25">
      <c r="B66" s="475" t="s">
        <v>161</v>
      </c>
      <c r="C66" s="475"/>
      <c r="D66" s="475"/>
      <c r="E66" s="475" t="s">
        <v>162</v>
      </c>
      <c r="F66" s="475"/>
      <c r="G66" s="475"/>
      <c r="H66" s="475"/>
      <c r="I66" s="475"/>
    </row>
    <row r="67" spans="1:10" ht="23.25" x14ac:dyDescent="0.25">
      <c r="B67" s="475" t="s">
        <v>163</v>
      </c>
      <c r="C67" s="475"/>
      <c r="D67" s="475"/>
      <c r="E67" s="475" t="s">
        <v>164</v>
      </c>
      <c r="F67" s="475"/>
      <c r="G67" s="475"/>
      <c r="H67" s="475"/>
      <c r="I67" s="475"/>
    </row>
    <row r="68" spans="1:10" ht="21" x14ac:dyDescent="0.25">
      <c r="B68" s="475" t="s">
        <v>165</v>
      </c>
      <c r="C68" s="475"/>
      <c r="D68" s="475"/>
      <c r="E68" s="475" t="s">
        <v>166</v>
      </c>
      <c r="F68" s="475"/>
      <c r="G68" s="475"/>
      <c r="H68" s="475"/>
      <c r="I68" s="475"/>
    </row>
    <row r="69" spans="1:10" ht="23.25" x14ac:dyDescent="0.25">
      <c r="B69" s="475" t="s">
        <v>167</v>
      </c>
      <c r="C69" s="475"/>
      <c r="D69" s="475"/>
      <c r="E69" s="475" t="s">
        <v>168</v>
      </c>
      <c r="F69" s="475"/>
      <c r="G69" s="475"/>
      <c r="H69" s="475"/>
      <c r="I69" s="108"/>
    </row>
    <row r="72" spans="1:10" ht="21" customHeight="1" x14ac:dyDescent="0.25">
      <c r="A72" s="467" t="s">
        <v>169</v>
      </c>
      <c r="B72" s="467"/>
      <c r="C72" s="467"/>
      <c r="D72" s="467"/>
      <c r="E72" s="467"/>
      <c r="F72" s="467"/>
      <c r="G72" s="467"/>
      <c r="H72" s="467"/>
      <c r="I72" s="467"/>
      <c r="J72" s="467"/>
    </row>
    <row r="73" spans="1:10" ht="21" customHeight="1" x14ac:dyDescent="0.25">
      <c r="A73" s="467"/>
      <c r="B73" s="467"/>
      <c r="C73" s="467"/>
      <c r="D73" s="467"/>
      <c r="E73" s="467"/>
      <c r="F73" s="467"/>
      <c r="G73" s="467"/>
      <c r="H73" s="467"/>
      <c r="I73" s="467"/>
      <c r="J73" s="467"/>
    </row>
    <row r="74" spans="1:10" ht="15" customHeight="1" x14ac:dyDescent="0.25">
      <c r="A74" s="467"/>
      <c r="B74" s="467"/>
      <c r="C74" s="467"/>
      <c r="D74" s="467"/>
      <c r="E74" s="467"/>
      <c r="F74" s="467"/>
      <c r="G74" s="467"/>
      <c r="H74" s="467"/>
      <c r="I74" s="467"/>
      <c r="J74" s="467"/>
    </row>
    <row r="75" spans="1:10" ht="15" customHeight="1" x14ac:dyDescent="0.25">
      <c r="A75" s="467"/>
      <c r="B75" s="467"/>
      <c r="C75" s="467"/>
      <c r="D75" s="467"/>
      <c r="E75" s="467"/>
      <c r="F75" s="467"/>
      <c r="G75" s="467"/>
      <c r="H75" s="467"/>
      <c r="I75" s="467"/>
      <c r="J75" s="467"/>
    </row>
    <row r="76" spans="1:10" x14ac:dyDescent="0.25">
      <c r="A76" s="467"/>
      <c r="B76" s="467"/>
      <c r="C76" s="467"/>
      <c r="D76" s="467"/>
      <c r="E76" s="467"/>
      <c r="F76" s="467"/>
      <c r="G76" s="467"/>
      <c r="H76" s="467"/>
      <c r="I76" s="467"/>
      <c r="J76" s="467"/>
    </row>
    <row r="77" spans="1:10" x14ac:dyDescent="0.25">
      <c r="A77" s="467"/>
      <c r="B77" s="467"/>
      <c r="C77" s="467"/>
      <c r="D77" s="467"/>
      <c r="E77" s="467"/>
      <c r="F77" s="467"/>
      <c r="G77" s="467"/>
      <c r="H77" s="467"/>
      <c r="I77" s="467"/>
      <c r="J77" s="467"/>
    </row>
    <row r="78" spans="1:10" x14ac:dyDescent="0.25">
      <c r="A78" s="467"/>
      <c r="B78" s="467"/>
      <c r="C78" s="467"/>
      <c r="D78" s="467"/>
      <c r="E78" s="467"/>
      <c r="F78" s="467"/>
      <c r="G78" s="467"/>
      <c r="H78" s="467"/>
      <c r="I78" s="467"/>
      <c r="J78" s="467"/>
    </row>
    <row r="79" spans="1:10" x14ac:dyDescent="0.25">
      <c r="A79" s="467"/>
      <c r="B79" s="467"/>
      <c r="C79" s="467"/>
      <c r="D79" s="467"/>
      <c r="E79" s="467"/>
      <c r="F79" s="467"/>
      <c r="G79" s="467"/>
      <c r="H79" s="467"/>
      <c r="I79" s="467"/>
      <c r="J79" s="467"/>
    </row>
    <row r="80" spans="1:10" x14ac:dyDescent="0.25">
      <c r="A80" s="467"/>
      <c r="B80" s="467"/>
      <c r="C80" s="467"/>
      <c r="D80" s="467"/>
      <c r="E80" s="467"/>
      <c r="F80" s="467"/>
      <c r="G80" s="467"/>
      <c r="H80" s="467"/>
      <c r="I80" s="467"/>
      <c r="J80" s="467"/>
    </row>
    <row r="81" spans="1:10" x14ac:dyDescent="0.25">
      <c r="A81" s="467"/>
      <c r="B81" s="467"/>
      <c r="C81" s="467"/>
      <c r="D81" s="467"/>
      <c r="E81" s="467"/>
      <c r="F81" s="467"/>
      <c r="G81" s="467"/>
      <c r="H81" s="467"/>
      <c r="I81" s="467"/>
      <c r="J81" s="467"/>
    </row>
    <row r="85" spans="1:10" ht="36" x14ac:dyDescent="0.25">
      <c r="C85" s="466" t="s">
        <v>170</v>
      </c>
      <c r="D85" s="466"/>
      <c r="E85" s="466"/>
      <c r="F85" s="466"/>
      <c r="G85" s="466"/>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468" t="s">
        <v>10</v>
      </c>
      <c r="D94" s="468"/>
      <c r="E94" s="468"/>
      <c r="F94" s="468"/>
      <c r="G94" s="468"/>
      <c r="H94" s="111"/>
      <c r="I94" s="111"/>
    </row>
    <row r="95" spans="1:10" ht="34.5" x14ac:dyDescent="0.25">
      <c r="A95" s="111"/>
      <c r="B95" s="111"/>
      <c r="C95" s="112"/>
      <c r="D95" s="112" t="s">
        <v>15</v>
      </c>
      <c r="E95" s="113" t="s">
        <v>17</v>
      </c>
      <c r="F95" s="113" t="s">
        <v>24</v>
      </c>
      <c r="G95" s="113" t="s">
        <v>25</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9" t="s">
        <v>176</v>
      </c>
      <c r="C116" s="469"/>
      <c r="D116" s="469"/>
      <c r="E116" s="469"/>
      <c r="F116" s="469"/>
    </row>
    <row r="118" spans="1:9" ht="26.25" x14ac:dyDescent="0.25">
      <c r="B118" s="109" t="s">
        <v>177</v>
      </c>
    </row>
    <row r="119" spans="1:9" ht="21" x14ac:dyDescent="0.3">
      <c r="E119" s="107" t="s">
        <v>178</v>
      </c>
      <c r="F119" s="107"/>
      <c r="G119" s="116">
        <f>Mesures_Congel!$M$42</f>
        <v>0</v>
      </c>
    </row>
    <row r="120" spans="1:9" ht="21" x14ac:dyDescent="0.3">
      <c r="B120" s="117" t="s">
        <v>179</v>
      </c>
      <c r="C120" s="107" t="s">
        <v>180</v>
      </c>
      <c r="E120" s="107" t="s">
        <v>181</v>
      </c>
      <c r="F120" s="107"/>
      <c r="G120" s="116">
        <f>Mesures_Congel!$N$42</f>
        <v>0</v>
      </c>
    </row>
    <row r="121" spans="1:9" ht="21" x14ac:dyDescent="0.25">
      <c r="B121" s="117" t="s">
        <v>182</v>
      </c>
      <c r="C121" s="110" t="s">
        <v>183</v>
      </c>
      <c r="E121" s="107" t="s">
        <v>184</v>
      </c>
      <c r="F121" s="107"/>
      <c r="G121" s="118">
        <f>Mesures_Congel!$O$42</f>
        <v>0</v>
      </c>
    </row>
    <row r="122" spans="1:9" ht="21" x14ac:dyDescent="0.35">
      <c r="B122" s="119" t="s">
        <v>185</v>
      </c>
      <c r="C122" s="120" t="s">
        <v>186</v>
      </c>
      <c r="E122" s="107" t="s">
        <v>187</v>
      </c>
      <c r="F122" s="107"/>
      <c r="G122" s="121" t="e">
        <f>"±" &amp;  SUBSTITUTE(ROUND(AVERAGE(Mesures_Congel!$D$23:$D$34),2),"-"," ") &amp; "°C"</f>
        <v>#DIV/0!</v>
      </c>
    </row>
    <row r="127" spans="1:9" ht="36" x14ac:dyDescent="0.25">
      <c r="C127" s="466" t="s">
        <v>188</v>
      </c>
      <c r="D127" s="466"/>
      <c r="E127" s="466"/>
      <c r="F127" s="466"/>
    </row>
    <row r="128" spans="1:9" ht="36" x14ac:dyDescent="0.25">
      <c r="B128" s="104"/>
      <c r="C128" s="104"/>
      <c r="D128" s="104"/>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6" t="s">
        <v>189</v>
      </c>
      <c r="D163" s="466"/>
      <c r="E163" s="466"/>
      <c r="F163" s="466"/>
      <c r="G163" s="466"/>
      <c r="H163" s="466"/>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466" t="s">
        <v>190</v>
      </c>
      <c r="D196" s="466"/>
      <c r="E196" s="466"/>
      <c r="F196" s="466"/>
      <c r="G196" s="466"/>
      <c r="H196" s="466"/>
    </row>
    <row r="200" spans="1:9" x14ac:dyDescent="0.25">
      <c r="A200" s="122" t="str" cm="1">
        <f t="array" ref="A200:B201">Mesures_Congel!$A$19:$B$20</f>
        <v>Consignes</v>
      </c>
      <c r="B200" s="124">
        <v>0</v>
      </c>
      <c r="G200" s="470" t="s">
        <v>191</v>
      </c>
      <c r="H200" s="471"/>
      <c r="I200" s="472"/>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73" t="s">
        <v>195</v>
      </c>
      <c r="C205" s="473"/>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4" t="s">
        <v>203</v>
      </c>
      <c r="B211" s="129" t="s">
        <v>204</v>
      </c>
      <c r="C211" s="132" t="e">
        <f ca="1">MAX(Congel!C16:N16)</f>
        <v>#REF!</v>
      </c>
      <c r="D211" s="130" t="e">
        <f ca="1">_xlfn.XLOOKUP(INT(SUBSTITUTE(E211,"Connecteur ","")),Mesures_Congel!$C$23:$C$34,Mesures_Congel!$A$23:$A$34)</f>
        <v>#REF!</v>
      </c>
      <c r="E211" s="130" t="e" cm="1">
        <f t="array" aca="1" ref="E211" ca="1">_xlfn.XLOOKUP(C211,Congel!C16:N16,_xlfn.ANCHORARRAY(Congel!C14))</f>
        <v>#REF!</v>
      </c>
      <c r="F211" s="130" t="e">
        <f ca="1">_xlfn.XLOOKUP(INT(SUBSTITUTE(E211,"Connecteur ","")),Mesures_Congel!$C$23:$C$34,Mesures_Congel!$B$23:$B$34)</f>
        <v>#REF!</v>
      </c>
    </row>
    <row r="212" spans="1:6" x14ac:dyDescent="0.25">
      <c r="A212" s="474"/>
      <c r="B212" s="129" t="s">
        <v>205</v>
      </c>
      <c r="C212" s="132" t="e">
        <f ca="1">MIN(Congel!C16:N16)</f>
        <v>#REF!</v>
      </c>
      <c r="D212" s="130" t="e">
        <f ca="1">_xlfn.XLOOKUP(INT(SUBSTITUTE(E212,"Connecteur ","")),Mesures_Congel!$C$23:$C$34,Mesures_Congel!$A$23:$A$34)</f>
        <v>#REF!</v>
      </c>
      <c r="E212" s="130" t="e" cm="1">
        <f t="array" aca="1" ref="E212" ca="1">_xlfn.XLOOKUP(C212,Congel!C16:N16,_xlfn.ANCHORARRAY(Congel!C14))</f>
        <v>#REF!</v>
      </c>
      <c r="F212" s="131" t="e">
        <f ca="1">_xlfn.XLOOKUP(INT(SUBSTITUTE(E212,"Connecteur ","")),Mesures_Congel!$C$23:$C$34,Mesures_Congel!$B$23:$B$34)</f>
        <v>#REF!</v>
      </c>
    </row>
    <row r="213" spans="1:6" ht="34.5" customHeight="1" x14ac:dyDescent="0.25">
      <c r="A213" s="474"/>
      <c r="B213" s="129" t="s">
        <v>206</v>
      </c>
      <c r="C213" s="132" t="e">
        <f ca="1">MIN(Congel!C17:N17)</f>
        <v>#REF!</v>
      </c>
      <c r="D213" s="130" t="e">
        <f ca="1">_xlfn.XLOOKUP(INT(SUBSTITUTE(E213,"Connecteur ","")),Mesures_Congel!$C$23:$C$34,Mesures_Congel!$A$23:$A$34)</f>
        <v>#REF!</v>
      </c>
      <c r="E213" s="130" t="e" cm="1">
        <f t="array" aca="1" ref="E213" ca="1">_xlfn.XLOOKUP(C213,Congel!C16:N16,_xlfn.ANCHORARRAY(Congel!C14))</f>
        <v>#REF!</v>
      </c>
      <c r="F213" s="131" t="e">
        <f ca="1">_xlfn.XLOOKUP(INT(SUBSTITUTE(E213,"Connecteur ","")),Mesures_Congel!$C$23:$C$34,Mesures_Congel!$B$23:$B$34)</f>
        <v>#REF!</v>
      </c>
    </row>
    <row r="214" spans="1:6" x14ac:dyDescent="0.25">
      <c r="A214" s="474"/>
      <c r="B214" s="129" t="s">
        <v>207</v>
      </c>
      <c r="C214" s="132" t="e">
        <f ca="1">Congel!C21</f>
        <v>#REF!</v>
      </c>
      <c r="D214" s="130" t="s">
        <v>201</v>
      </c>
      <c r="E214" s="130" t="s">
        <v>201</v>
      </c>
      <c r="F214" s="131" t="s">
        <v>201</v>
      </c>
    </row>
    <row r="215" spans="1:6" x14ac:dyDescent="0.25">
      <c r="C215" s="89"/>
      <c r="D215" s="89"/>
      <c r="E215" s="89"/>
      <c r="F215" s="89"/>
    </row>
    <row r="226" spans="2:9" ht="36" x14ac:dyDescent="0.25">
      <c r="B226" s="466" t="s">
        <v>208</v>
      </c>
      <c r="C226" s="466"/>
      <c r="D226" s="466"/>
      <c r="E226" s="466"/>
      <c r="F226" s="466"/>
    </row>
    <row r="229" spans="2:9" x14ac:dyDescent="0.25">
      <c r="B229" s="342" t="s">
        <v>209</v>
      </c>
      <c r="C229" s="342"/>
    </row>
    <row r="232" spans="2:9" x14ac:dyDescent="0.25">
      <c r="C232" s="27"/>
      <c r="D232" s="27"/>
      <c r="E232" s="27"/>
      <c r="F232" s="461" t="s">
        <v>191</v>
      </c>
      <c r="G232" s="463"/>
      <c r="H232" s="463"/>
      <c r="I232" s="462"/>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Mesures_Congel!$A$23:$C$34</f>
        <v>1</v>
      </c>
      <c r="D234" s="38">
        <v>0</v>
      </c>
      <c r="E234" s="38">
        <v>0</v>
      </c>
      <c r="F234" s="134" t="e" cm="1">
        <f t="array" ref="F234">_xlfn.XLOOKUP(SUBSTITUTE(Congel_PV!E234,Congel_PV!E234,"Connecteur " &amp; Congel_PV!E234),_xlfn.ANCHORARRAY(Congel!C14),Congel!C17:N17)</f>
        <v>#N/A</v>
      </c>
      <c r="G234" s="134" t="e" cm="1">
        <f t="array" ref="G234">_xlfn.XLOOKUP(SUBSTITUTE(Congel_PV!E234,Congel_PV!E234,"Connecteur " &amp; Congel_PV!E234),_xlfn.ANCHORARRAY(Congel!C14),Congel!C16:N16)</f>
        <v>#N/A</v>
      </c>
      <c r="H234" s="134" t="e" cm="1">
        <f t="array" ref="H234">_xlfn.XLOOKUP(SUBSTITUTE(Congel_PV!E234,Congel_PV!E234,"Connecteur " &amp; Congel_PV!E234),_xlfn.ANCHORARRAY(Congel!C14),Congel!C18:N18)</f>
        <v>#N/A</v>
      </c>
      <c r="I234" s="134" t="e" cm="1">
        <f t="array" ref="I234">_xlfn.XLOOKUP(SUBSTITUTE(Congel_PV!E234,Congel_PV!E234,"Connecteur " &amp; Congel_PV!E234),_xlfn.ANCHORARRAY(Congel!C14),Congel!C19:N19)</f>
        <v>#N/A</v>
      </c>
    </row>
    <row r="235" spans="2:9" x14ac:dyDescent="0.25">
      <c r="C235" s="38">
        <v>2</v>
      </c>
      <c r="D235" s="38">
        <v>0</v>
      </c>
      <c r="E235" s="38">
        <v>0</v>
      </c>
      <c r="F235" s="134" t="e" cm="1">
        <f t="array" ref="F235">_xlfn.XLOOKUP(SUBSTITUTE(Congel_PV!E235,Congel_PV!E235,"Connecteur " &amp; Congel_PV!E235),_xlfn.ANCHORARRAY(Congel!C14),Congel!C17:N17)</f>
        <v>#N/A</v>
      </c>
      <c r="G235" s="134" t="e" cm="1">
        <f t="array" ref="G235">_xlfn.XLOOKUP(SUBSTITUTE(Congel_PV!E235,Congel_PV!E235,"Connecteur " &amp; Congel_PV!E235),_xlfn.ANCHORARRAY(Congel!C14),Congel!C16:N16)</f>
        <v>#N/A</v>
      </c>
      <c r="H235" s="134" t="e" cm="1">
        <f t="array" ref="H235">_xlfn.XLOOKUP(SUBSTITUTE(Congel_PV!E235,Congel_PV!E235,"Connecteur " &amp; Congel_PV!E235),_xlfn.ANCHORARRAY(Congel!C14),Congel!C18:N18)</f>
        <v>#N/A</v>
      </c>
      <c r="I235" s="134" t="e" cm="1">
        <f t="array" ref="I235">_xlfn.XLOOKUP(SUBSTITUTE(Congel_PV!E235,Congel_PV!E235,"Connecteur " &amp; Congel_PV!E235),_xlfn.ANCHORARRAY(Congel!C14),Congel!C19:N19)</f>
        <v>#N/A</v>
      </c>
    </row>
    <row r="236" spans="2:9" x14ac:dyDescent="0.25">
      <c r="C236" s="38">
        <v>3</v>
      </c>
      <c r="D236" s="38">
        <v>0</v>
      </c>
      <c r="E236" s="38">
        <v>0</v>
      </c>
      <c r="F236" s="134" t="e" cm="1">
        <f t="array" ref="F236">_xlfn.XLOOKUP(SUBSTITUTE(Congel_PV!E236,Congel_PV!E236,"Connecteur " &amp; Congel_PV!E236),_xlfn.ANCHORARRAY(Congel!C14),Congel!C17:N17)</f>
        <v>#N/A</v>
      </c>
      <c r="G236" s="134" t="e" cm="1">
        <f t="array" ref="G236">_xlfn.XLOOKUP(SUBSTITUTE(Congel_PV!E236,Congel_PV!E236,"Connecteur " &amp; Congel_PV!E236),_xlfn.ANCHORARRAY(Congel!C14),Congel!C16:N16)</f>
        <v>#N/A</v>
      </c>
      <c r="H236" s="134" t="e" cm="1">
        <f t="array" ref="H236">_xlfn.XLOOKUP(SUBSTITUTE(Congel_PV!E236,Congel_PV!E236,"Connecteur " &amp; Congel_PV!E236),_xlfn.ANCHORARRAY(Congel!C14),Congel!C18:N18)</f>
        <v>#N/A</v>
      </c>
      <c r="I236" s="134" t="e" cm="1">
        <f t="array" ref="I236">_xlfn.XLOOKUP(SUBSTITUTE(Congel_PV!E236,Congel_PV!E236,"Connecteur " &amp; Congel_PV!E236),_xlfn.ANCHORARRAY(Congel!C14),Congel!C19:N19)</f>
        <v>#N/A</v>
      </c>
    </row>
    <row r="237" spans="2:9" x14ac:dyDescent="0.25">
      <c r="C237" s="38">
        <v>4</v>
      </c>
      <c r="D237" s="38">
        <v>0</v>
      </c>
      <c r="E237" s="38">
        <v>0</v>
      </c>
      <c r="F237" s="134" t="e" cm="1">
        <f t="array" ref="F237">_xlfn.XLOOKUP(SUBSTITUTE(Congel_PV!E237,Congel_PV!E237,"Connecteur " &amp; Congel_PV!E237),_xlfn.ANCHORARRAY(Congel!C14),Congel!C17:N17)</f>
        <v>#N/A</v>
      </c>
      <c r="G237" s="134" t="e" cm="1">
        <f t="array" ref="G237">_xlfn.XLOOKUP(SUBSTITUTE(Congel_PV!E237,Congel_PV!E237,"Connecteur " &amp; Congel_PV!E237),_xlfn.ANCHORARRAY(Congel!C14),Congel!C16:N16)</f>
        <v>#N/A</v>
      </c>
      <c r="H237" s="134" t="e" cm="1">
        <f t="array" ref="H237">_xlfn.XLOOKUP(SUBSTITUTE(Congel_PV!E237,Congel_PV!E237,"Connecteur " &amp; Congel_PV!E237),_xlfn.ANCHORARRAY(Congel!C14),Congel!C18:N18)</f>
        <v>#N/A</v>
      </c>
      <c r="I237" s="134" t="e" cm="1">
        <f t="array" ref="I237">_xlfn.XLOOKUP(SUBSTITUTE(Congel_PV!E237,Congel_PV!E237,"Connecteur " &amp; Congel_PV!E237),_xlfn.ANCHORARRAY(Congel!C14),Congel!C19:N19)</f>
        <v>#N/A</v>
      </c>
    </row>
    <row r="238" spans="2:9" x14ac:dyDescent="0.25">
      <c r="C238" s="38">
        <v>5</v>
      </c>
      <c r="D238" s="38">
        <v>0</v>
      </c>
      <c r="E238" s="38">
        <v>0</v>
      </c>
      <c r="F238" s="134" t="e" cm="1">
        <f t="array" ref="F238">_xlfn.XLOOKUP(SUBSTITUTE(Congel_PV!E238,Congel_PV!E238,"Connecteur " &amp; Congel_PV!E238),_xlfn.ANCHORARRAY(Congel!C14),Congel!C17:N17)</f>
        <v>#N/A</v>
      </c>
      <c r="G238" s="134" t="e" cm="1">
        <f t="array" ref="G238">_xlfn.XLOOKUP(SUBSTITUTE(Congel_PV!E238,Congel_PV!E238,"Connecteur "&amp;Congel_PV!E238),_xlfn.ANCHORARRAY(Congel!C14),Congel!C16:N16)</f>
        <v>#N/A</v>
      </c>
      <c r="H238" s="134" t="e" cm="1">
        <f t="array" ref="H238">_xlfn.XLOOKUP(SUBSTITUTE(Congel_PV!E238,Congel_PV!E238,"Connecteur " &amp; Congel_PV!E238),_xlfn.ANCHORARRAY(Congel!C14),Congel!C18:N18)</f>
        <v>#N/A</v>
      </c>
      <c r="I238" s="134" t="e" cm="1">
        <f t="array" ref="I238">_xlfn.XLOOKUP(SUBSTITUTE(Congel_PV!E238,Congel_PV!E238,"Connecteur " &amp; Congel_PV!E238),_xlfn.ANCHORARRAY(Congel!C14),Congel!C19:N19)</f>
        <v>#N/A</v>
      </c>
    </row>
    <row r="239" spans="2:9" x14ac:dyDescent="0.25">
      <c r="C239" s="38">
        <v>6</v>
      </c>
      <c r="D239" s="38">
        <v>0</v>
      </c>
      <c r="E239" s="38">
        <v>0</v>
      </c>
      <c r="F239" s="134" t="e" cm="1">
        <f t="array" ref="F239">_xlfn.XLOOKUP(SUBSTITUTE(Congel_PV!E239,Congel_PV!E239,"Connecteur " &amp; Congel_PV!E239),_xlfn.ANCHORARRAY(Congel!C14),Congel!C17:N17)</f>
        <v>#N/A</v>
      </c>
      <c r="G239" s="134" t="e" cm="1">
        <f t="array" ref="G239">_xlfn.XLOOKUP(SUBSTITUTE(Congel_PV!E239,Congel_PV!E239,"Connecteur " &amp; Congel_PV!E239),_xlfn.ANCHORARRAY(Congel!C14),Congel!C16:N16)</f>
        <v>#N/A</v>
      </c>
      <c r="H239" s="134" t="e" cm="1">
        <f t="array" ref="H239">_xlfn.XLOOKUP(SUBSTITUTE(Congel_PV!E239,Congel_PV!E239,"Connecteur " &amp; Congel_PV!E239),_xlfn.ANCHORARRAY(Congel!C14),Congel!C18:N18)</f>
        <v>#N/A</v>
      </c>
      <c r="I239" s="134" t="e" cm="1">
        <f t="array" ref="I239">_xlfn.XLOOKUP(SUBSTITUTE(Congel_PV!E239,Congel_PV!E239,"Connecteur " &amp; Congel_PV!E239),_xlfn.ANCHORARRAY(Congel!C14),Congel!C19:N19)</f>
        <v>#N/A</v>
      </c>
    </row>
    <row r="240" spans="2:9" x14ac:dyDescent="0.25">
      <c r="C240" s="38">
        <v>7</v>
      </c>
      <c r="D240" s="38">
        <v>0</v>
      </c>
      <c r="E240" s="38">
        <v>0</v>
      </c>
      <c r="F240" s="134" t="e" cm="1">
        <f t="array" ref="F240">_xlfn.XLOOKUP(SUBSTITUTE(Congel_PV!E240,Congel_PV!E240,"Connecteur " &amp; Congel_PV!E240),_xlfn.ANCHORARRAY(Congel!C14),Congel!C17:N17)</f>
        <v>#N/A</v>
      </c>
      <c r="G240" s="134" t="e" cm="1">
        <f t="array" ref="G240">_xlfn.XLOOKUP(SUBSTITUTE(Congel_PV!E240,Congel_PV!E240,"Connecteur " &amp; Congel_PV!E240),_xlfn.ANCHORARRAY(Congel!C14),Congel!C16:N16)</f>
        <v>#N/A</v>
      </c>
      <c r="H240" s="134" t="e" cm="1">
        <f t="array" ref="H240">_xlfn.XLOOKUP(SUBSTITUTE(Congel_PV!E240,Congel_PV!E240,"Connecteur " &amp; Congel_PV!E240),_xlfn.ANCHORARRAY(Congel!C14),Congel!C18:N18)</f>
        <v>#N/A</v>
      </c>
      <c r="I240" s="134" t="e" cm="1">
        <f t="array" ref="I240">_xlfn.XLOOKUP(SUBSTITUTE(Congel_PV!E240,Congel_PV!E240,"Connecteur " &amp; Congel_PV!E240),_xlfn.ANCHORARRAY(Congel!C14),Congel!C19:N19)</f>
        <v>#N/A</v>
      </c>
    </row>
    <row r="241" spans="2:9" x14ac:dyDescent="0.25">
      <c r="C241" s="38">
        <v>8</v>
      </c>
      <c r="D241" s="38">
        <v>0</v>
      </c>
      <c r="E241" s="38">
        <v>0</v>
      </c>
      <c r="F241" s="134" t="e" cm="1">
        <f t="array" ref="F241">_xlfn.XLOOKUP(SUBSTITUTE(Congel_PV!E241,Congel_PV!E241,"Connecteur " &amp; Congel_PV!E241),_xlfn.ANCHORARRAY(Congel!C14),Congel!C17:N17)</f>
        <v>#N/A</v>
      </c>
      <c r="G241" s="134" t="e" cm="1">
        <f t="array" ref="G241">_xlfn.XLOOKUP(SUBSTITUTE(Congel_PV!E241,Congel_PV!E241,"Connecteur " &amp; Congel_PV!E241),_xlfn.ANCHORARRAY(Congel!C14),Congel!C16:N16)</f>
        <v>#N/A</v>
      </c>
      <c r="H241" s="134" t="e" cm="1">
        <f t="array" ref="H241">_xlfn.XLOOKUP(SUBSTITUTE(Congel_PV!E241,Congel_PV!E241,"Connecteur " &amp; Congel_PV!E241),_xlfn.ANCHORARRAY(Congel!C14),Congel!C18:N18)</f>
        <v>#N/A</v>
      </c>
      <c r="I241" s="134" t="e" cm="1">
        <f t="array" ref="I241">_xlfn.XLOOKUP(SUBSTITUTE(Congel_PV!E241,Congel_PV!E241,"Connecteur " &amp; Congel_PV!E241),_xlfn.ANCHORARRAY(Congel!C14),Congel!C19:N19)</f>
        <v>#N/A</v>
      </c>
    </row>
    <row r="242" spans="2:9" x14ac:dyDescent="0.25">
      <c r="C242" s="38">
        <v>9</v>
      </c>
      <c r="D242" s="38">
        <v>0</v>
      </c>
      <c r="E242" s="38">
        <v>0</v>
      </c>
      <c r="F242" s="134" t="e" cm="1">
        <f t="array" ref="F242">_xlfn.XLOOKUP(SUBSTITUTE(Congel_PV!E242,Congel_PV!E242,"Connecteur " &amp; Congel_PV!E242),_xlfn.ANCHORARRAY(Congel!C14),Congel!C17:N17)</f>
        <v>#N/A</v>
      </c>
      <c r="G242" s="134" t="e" cm="1">
        <f t="array" ref="G242">_xlfn.XLOOKUP(SUBSTITUTE(Congel_PV!E242,Congel_PV!E242,"Connecteur " &amp; Congel_PV!E242),_xlfn.ANCHORARRAY(Congel!C14),Congel!C16:N16)</f>
        <v>#N/A</v>
      </c>
      <c r="H242" s="134" t="e" cm="1">
        <f t="array" ref="H242">_xlfn.XLOOKUP(SUBSTITUTE(Congel_PV!E242,Congel_PV!E242,"Connecteur " &amp; Congel_PV!E242),_xlfn.ANCHORARRAY(Congel!C14),Congel!C18:N18)</f>
        <v>#N/A</v>
      </c>
      <c r="I242" s="134" t="e" cm="1">
        <f t="array" ref="I242">_xlfn.XLOOKUP(SUBSTITUTE(Congel_PV!E242,Congel_PV!E242,"Connecteur " &amp; Congel_PV!E242),_xlfn.ANCHORARRAY(Congel!C14),Congel!C19:N19)</f>
        <v>#N/A</v>
      </c>
    </row>
    <row r="243" spans="2:9" x14ac:dyDescent="0.25">
      <c r="C243" s="38">
        <v>10</v>
      </c>
      <c r="D243" s="38">
        <v>0</v>
      </c>
      <c r="E243" s="38">
        <v>0</v>
      </c>
      <c r="F243" s="134" t="e" cm="1">
        <f t="array" ref="F243">_xlfn.XLOOKUP(SUBSTITUTE(Congel_PV!E243,Congel_PV!E243,"Connecteur " &amp; Congel_PV!E243),_xlfn.ANCHORARRAY(Congel!C14),Congel!C17:N17)</f>
        <v>#N/A</v>
      </c>
      <c r="G243" s="134" t="e" cm="1">
        <f t="array" ref="G243">_xlfn.XLOOKUP(SUBSTITUTE(Congel_PV!E243,Congel_PV!E243,"Connecteur " &amp; Congel_PV!E243),_xlfn.ANCHORARRAY(Congel!C14),Congel!C16:N16)</f>
        <v>#N/A</v>
      </c>
      <c r="H243" s="134" t="e" cm="1">
        <f t="array" ref="H243">_xlfn.XLOOKUP(SUBSTITUTE(Congel_PV!E243,Congel_PV!E243,"Connecteur " &amp; Congel_PV!E243),_xlfn.ANCHORARRAY(Congel!C14),Congel!C18:N18)</f>
        <v>#N/A</v>
      </c>
      <c r="I243" s="134" t="e" cm="1">
        <f t="array" ref="I243">_xlfn.XLOOKUP(SUBSTITUTE(Congel_PV!E243,Congel_PV!E243,"Connecteur " &amp; Congel_PV!E243),_xlfn.ANCHORARRAY(Congel!C14),Congel!C19:N19)</f>
        <v>#N/A</v>
      </c>
    </row>
    <row r="244" spans="2:9" x14ac:dyDescent="0.25">
      <c r="C244" s="38">
        <v>11</v>
      </c>
      <c r="D244" s="38">
        <v>0</v>
      </c>
      <c r="E244" s="38">
        <v>0</v>
      </c>
      <c r="F244" s="134" t="e" cm="1">
        <f t="array" ref="F244">_xlfn.XLOOKUP(SUBSTITUTE(Congel_PV!E244,Congel_PV!E244,"Connecteur " &amp; Congel_PV!E244),_xlfn.ANCHORARRAY(Congel!C14),Congel!C17:N17)</f>
        <v>#N/A</v>
      </c>
      <c r="G244" s="134" t="e" cm="1">
        <f t="array" ref="G244">_xlfn.XLOOKUP(SUBSTITUTE(Congel_PV!E244,Congel_PV!E244,"Connecteur " &amp; Congel_PV!E244),_xlfn.ANCHORARRAY(Congel!C14),Congel!C16:N16)</f>
        <v>#N/A</v>
      </c>
      <c r="H244" s="134" t="e" cm="1">
        <f t="array" ref="H244">_xlfn.XLOOKUP(SUBSTITUTE(Congel_PV!E244,Congel_PV!E244,"Connecteur " &amp; Congel_PV!E244),_xlfn.ANCHORARRAY(Congel!C14),Congel!C18:N18)</f>
        <v>#N/A</v>
      </c>
      <c r="I244" s="134" t="e" cm="1">
        <f t="array" ref="I244">_xlfn.XLOOKUP(SUBSTITUTE(Congel_PV!E244,Congel_PV!E244,"Connecteur " &amp; Congel_PV!E244),_xlfn.ANCHORARRAY(Congel!C14),Congel!C19:N19)</f>
        <v>#N/A</v>
      </c>
    </row>
    <row r="245" spans="2:9" x14ac:dyDescent="0.25">
      <c r="C245" s="38">
        <v>12</v>
      </c>
      <c r="D245" s="38">
        <v>0</v>
      </c>
      <c r="E245" s="38">
        <v>0</v>
      </c>
      <c r="F245" s="134" t="e" cm="1">
        <f t="array" ref="F245">_xlfn.XLOOKUP(SUBSTITUTE(Congel_PV!E245,Congel_PV!E245,"Connecteur " &amp; Congel_PV!E245),_xlfn.ANCHORARRAY(Congel!C14),Congel!C17:N17)</f>
        <v>#N/A</v>
      </c>
      <c r="G245" s="134" t="e" cm="1">
        <f t="array" ref="G245">_xlfn.XLOOKUP(SUBSTITUTE(Congel_PV!E245,Congel_PV!E245,"Connecteur " &amp; Congel_PV!E245),_xlfn.ANCHORARRAY(Congel!C14),Congel!C16:N16)</f>
        <v>#N/A</v>
      </c>
      <c r="H245" s="134" t="e" cm="1">
        <f t="array" ref="H245">_xlfn.XLOOKUP(SUBSTITUTE(Congel_PV!E245,Congel_PV!E245,"Connecteur " &amp; Congel_PV!E245),_xlfn.ANCHORARRAY(Congel!C14),Congel!C18:N18)</f>
        <v>#N/A</v>
      </c>
      <c r="I245" s="134" t="e" cm="1">
        <f t="array" ref="I245">_xlfn.XLOOKUP(SUBSTITUTE(Congel_PV!E245,Congel_PV!E245,"Connecteur " &amp; Congel_PV!E245),_xlfn.ANCHORARRAY(Congel!C14),Congel!C19:N19)</f>
        <v>#N/A</v>
      </c>
    </row>
    <row r="252" spans="2:9" x14ac:dyDescent="0.25">
      <c r="B252" s="135"/>
    </row>
    <row r="254" spans="2:9" ht="36" x14ac:dyDescent="0.3">
      <c r="C254" s="136" t="s">
        <v>215</v>
      </c>
      <c r="D254" s="137"/>
      <c r="E254" s="137"/>
      <c r="F254" s="137"/>
    </row>
    <row r="257" spans="2:2" x14ac:dyDescent="0.25">
      <c r="B257" t="s">
        <v>216</v>
      </c>
    </row>
    <row r="293" spans="2:8" ht="36" x14ac:dyDescent="0.55000000000000004">
      <c r="G293" s="464" t="s">
        <v>217</v>
      </c>
      <c r="H293" s="464"/>
    </row>
    <row r="297" spans="2:8" ht="23.25" customHeight="1" x14ac:dyDescent="0.25">
      <c r="B297" s="465" t="s">
        <v>218</v>
      </c>
      <c r="C297" s="465"/>
      <c r="D297" s="465"/>
      <c r="E297" s="465"/>
      <c r="F297" s="138" t="e">
        <f ca="1">IF(OR(AVERAGE(Congel!C16:N16)&gt;Congel!O16,AVERAGE(Congel!C17:N17)&lt;Congel!O17),"NON CONFORME","CONFORME")</f>
        <v>#REF!</v>
      </c>
      <c r="G297" s="139"/>
    </row>
    <row r="298" spans="2:8" ht="23.25" customHeight="1" x14ac:dyDescent="0.25">
      <c r="B298" s="465"/>
      <c r="C298" s="465"/>
      <c r="D298" s="465"/>
      <c r="E298" s="465"/>
      <c r="F298" s="139"/>
      <c r="G298" s="139"/>
    </row>
    <row r="299" spans="2:8" ht="15" customHeight="1" x14ac:dyDescent="0.25">
      <c r="B299" s="139"/>
      <c r="C299" s="139"/>
      <c r="D299" s="139"/>
      <c r="E299" s="139"/>
      <c r="F299" s="139"/>
      <c r="G299" s="139"/>
    </row>
    <row r="303" spans="2:8" x14ac:dyDescent="0.25">
      <c r="C303" s="129" t="s">
        <v>219</v>
      </c>
      <c r="D303" s="129"/>
      <c r="E303" s="129" t="str">
        <f xml:space="preserve"> "-30°C"</f>
        <v>-30°C</v>
      </c>
    </row>
    <row r="304" spans="2:8" x14ac:dyDescent="0.25">
      <c r="C304" s="460" t="s">
        <v>220</v>
      </c>
      <c r="D304" s="460"/>
      <c r="E304" s="142">
        <f>Mesures_Congel!$B$19</f>
        <v>0</v>
      </c>
    </row>
    <row r="305" spans="3:5" x14ac:dyDescent="0.25">
      <c r="C305" s="460" t="s">
        <v>221</v>
      </c>
      <c r="D305" s="460"/>
      <c r="E305" s="134" t="e">
        <f ca="1">Congel!C20</f>
        <v>#REF!</v>
      </c>
    </row>
    <row r="306" spans="3:5" x14ac:dyDescent="0.25">
      <c r="C306" s="460" t="s">
        <v>222</v>
      </c>
      <c r="D306" s="460"/>
      <c r="E306" s="38" t="str">
        <f>"±" &amp; Mesures_Congel!$B$20</f>
        <v>±</v>
      </c>
    </row>
    <row r="307" spans="3:5" x14ac:dyDescent="0.25">
      <c r="C307" s="461" t="s">
        <v>223</v>
      </c>
      <c r="D307" s="462"/>
      <c r="E307" s="38" t="e">
        <f ca="1">IF(F297="CONFORME","OUI","NON")</f>
        <v>#REF!</v>
      </c>
    </row>
    <row r="308" spans="3:5" x14ac:dyDescent="0.25">
      <c r="C308" s="460" t="s">
        <v>224</v>
      </c>
      <c r="D308" s="460"/>
      <c r="E308" s="38">
        <v>2</v>
      </c>
    </row>
  </sheetData>
  <sheetProtection algorithmName="SHA-512" hashValue="O6MQvV5Nju2enzPkhT6p5QSZshg3sfJayjeaKu2QKkWtiJGwWDP2xSXtZ7kREiAw9yRUWfSoe0vAk50h3QpBvQ==" saltValue="dLQlkhSl+uIE/i1nLXfWGQ==" spinCount="100000" sheet="1" objects="1" scenarios="1"/>
  <mergeCells count="40">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7:D307"/>
    <mergeCell ref="C308:D308"/>
    <mergeCell ref="B229:C229"/>
    <mergeCell ref="F232:I232"/>
    <mergeCell ref="G293:H293"/>
    <mergeCell ref="B297:E298"/>
    <mergeCell ref="C304:D304"/>
    <mergeCell ref="C305:D305"/>
  </mergeCells>
  <conditionalFormatting sqref="F297">
    <cfRule type="containsText" dxfId="63" priority="1" operator="containsText" text="NON CONFORME">
      <formula>NOT(ISERROR(SEARCH("NON CONFORME",F297)))</formula>
    </cfRule>
    <cfRule type="containsText" dxfId="62"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A64" sqref="A64:J75"/>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479" t="s">
        <v>100</v>
      </c>
      <c r="C1" s="479"/>
      <c r="D1" s="479"/>
      <c r="E1" s="479"/>
      <c r="F1" s="479"/>
      <c r="G1" s="479"/>
      <c r="H1" s="479"/>
      <c r="I1" s="479"/>
      <c r="J1" s="51"/>
      <c r="K1" s="51"/>
      <c r="L1" s="51"/>
      <c r="M1" s="51"/>
    </row>
    <row r="2" spans="1:13" x14ac:dyDescent="0.25">
      <c r="L2" s="51"/>
      <c r="M2" s="51"/>
    </row>
    <row r="3" spans="1:13" x14ac:dyDescent="0.25">
      <c r="A3" s="480" t="s">
        <v>101</v>
      </c>
      <c r="B3" s="480"/>
      <c r="C3" s="480"/>
      <c r="D3" s="480"/>
      <c r="E3" s="480"/>
      <c r="F3" s="480"/>
      <c r="G3" s="480"/>
      <c r="H3" s="480"/>
      <c r="I3" s="480"/>
    </row>
    <row r="4" spans="1:13" x14ac:dyDescent="0.25">
      <c r="A4" s="481" t="s">
        <v>102</v>
      </c>
      <c r="B4" s="481"/>
      <c r="C4" s="481"/>
      <c r="D4" s="481"/>
      <c r="E4" s="481"/>
      <c r="F4" s="481"/>
      <c r="G4" s="481"/>
      <c r="H4" s="481"/>
      <c r="I4" s="481"/>
    </row>
    <row r="5" spans="1:13" x14ac:dyDescent="0.25">
      <c r="A5" s="481" t="s">
        <v>103</v>
      </c>
      <c r="B5" s="481"/>
      <c r="C5" s="481"/>
      <c r="D5" s="481"/>
      <c r="E5" s="481"/>
      <c r="F5" s="481"/>
      <c r="G5" s="481"/>
      <c r="H5" s="481"/>
      <c r="I5" s="481"/>
    </row>
    <row r="6" spans="1:13" x14ac:dyDescent="0.25">
      <c r="A6" s="481" t="s">
        <v>104</v>
      </c>
      <c r="B6" s="481"/>
      <c r="C6" s="481"/>
      <c r="D6" s="481"/>
      <c r="E6" s="481"/>
      <c r="F6" s="481"/>
      <c r="G6" s="481"/>
      <c r="H6" s="481"/>
      <c r="I6" s="481"/>
    </row>
    <row r="8" spans="1:13" x14ac:dyDescent="0.25">
      <c r="A8" s="481" t="s">
        <v>105</v>
      </c>
      <c r="B8" s="481"/>
      <c r="C8" s="481"/>
      <c r="D8" s="481"/>
      <c r="E8" s="481"/>
      <c r="F8" s="481"/>
      <c r="G8" s="481"/>
      <c r="H8" s="481"/>
      <c r="I8" s="481"/>
    </row>
    <row r="9" spans="1:13" ht="16.5" thickBot="1" x14ac:dyDescent="0.3"/>
    <row r="10" spans="1:13" ht="16.5" thickBot="1" x14ac:dyDescent="0.3">
      <c r="B10" s="53" t="s">
        <v>106</v>
      </c>
      <c r="C10" s="54" t="s">
        <v>107</v>
      </c>
      <c r="D10" s="488"/>
      <c r="E10" s="488"/>
      <c r="F10" s="492"/>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108</v>
      </c>
      <c r="B11" s="56" t="s">
        <v>109</v>
      </c>
      <c r="C11" s="55" t="s">
        <v>110</v>
      </c>
      <c r="D11" s="488" t="s">
        <v>111</v>
      </c>
      <c r="E11" s="488"/>
      <c r="F11" s="492"/>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112</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488" t="s">
        <v>113</v>
      </c>
      <c r="E13" s="488"/>
      <c r="F13" s="492"/>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488" t="s">
        <v>113</v>
      </c>
      <c r="E14" s="488"/>
      <c r="F14" s="488"/>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488" t="s">
        <v>113</v>
      </c>
      <c r="E15" s="488"/>
      <c r="F15" s="488"/>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481" t="s">
        <v>114</v>
      </c>
      <c r="B17" s="481"/>
      <c r="C17" s="481"/>
      <c r="D17" s="481"/>
      <c r="E17" s="481"/>
      <c r="F17" s="481"/>
      <c r="G17" s="481"/>
      <c r="H17" s="481"/>
      <c r="I17" s="481"/>
    </row>
    <row r="18" spans="1:15" ht="16.5" thickBot="1" x14ac:dyDescent="0.3">
      <c r="A18" s="52"/>
      <c r="B18" s="52"/>
      <c r="C18" s="52"/>
      <c r="D18" s="52"/>
      <c r="E18" s="52"/>
      <c r="F18" s="52"/>
      <c r="G18" s="52"/>
      <c r="H18" s="52"/>
      <c r="I18" s="52"/>
    </row>
    <row r="19" spans="1:15" ht="16.5" thickBot="1" x14ac:dyDescent="0.3">
      <c r="A19" s="490" t="s">
        <v>106</v>
      </c>
      <c r="B19" s="491"/>
      <c r="C19" s="54" t="s">
        <v>107</v>
      </c>
      <c r="H19" s="488"/>
      <c r="I19" s="488"/>
    </row>
    <row r="20" spans="1:15" ht="16.5" thickBot="1" x14ac:dyDescent="0.3">
      <c r="A20" s="486" t="s">
        <v>115</v>
      </c>
      <c r="B20" s="487"/>
      <c r="C20" s="55" t="e">
        <f>C15</f>
        <v>#VALUE!</v>
      </c>
      <c r="D20" s="488" t="s">
        <v>116</v>
      </c>
      <c r="E20" s="488"/>
      <c r="F20" s="488"/>
      <c r="G20" s="64">
        <v>0</v>
      </c>
      <c r="H20" s="65" t="s">
        <v>117</v>
      </c>
    </row>
    <row r="21" spans="1:15" ht="16.5" thickBot="1" x14ac:dyDescent="0.3">
      <c r="A21" s="486" t="s">
        <v>118</v>
      </c>
      <c r="B21" s="487"/>
      <c r="C21" s="66" t="e">
        <f>C14</f>
        <v>#VALUE!</v>
      </c>
      <c r="D21" s="488" t="s">
        <v>116</v>
      </c>
      <c r="E21" s="488"/>
      <c r="F21" s="488"/>
      <c r="G21" s="64">
        <v>0</v>
      </c>
      <c r="H21" s="65" t="s">
        <v>119</v>
      </c>
    </row>
    <row r="22" spans="1:15" ht="16.5" thickBot="1" x14ac:dyDescent="0.3">
      <c r="A22" s="486" t="s">
        <v>120</v>
      </c>
      <c r="B22" s="487"/>
      <c r="C22" s="55" t="e">
        <f>C13</f>
        <v>#VALUE!</v>
      </c>
      <c r="D22" s="488" t="s">
        <v>116</v>
      </c>
      <c r="E22" s="488"/>
      <c r="F22" s="488"/>
      <c r="G22" s="64">
        <v>0</v>
      </c>
      <c r="H22" s="65" t="s">
        <v>121</v>
      </c>
    </row>
    <row r="23" spans="1:15" x14ac:dyDescent="0.25">
      <c r="A23" s="51"/>
      <c r="G23" s="52"/>
      <c r="H23" s="63"/>
      <c r="I23" s="63"/>
      <c r="J23" s="63"/>
      <c r="K23" s="51"/>
    </row>
    <row r="24" spans="1:15" x14ac:dyDescent="0.25">
      <c r="A24" s="489" t="str">
        <f>"TEMPERATURE : -30,0°C    CRITERES D'ACCEPTATION : +/-"&amp; Mesures_Congel!B20 &amp;"°C"</f>
        <v>TEMPERATURE : -30,0°C    CRITERES D'ACCEPTATION : +/-°C</v>
      </c>
      <c r="B24" s="489"/>
      <c r="C24" s="489"/>
      <c r="D24" s="489"/>
      <c r="E24" s="489"/>
      <c r="F24" s="489"/>
      <c r="G24" s="489"/>
      <c r="H24" s="489"/>
      <c r="I24" s="489"/>
      <c r="K24" s="51"/>
    </row>
    <row r="25" spans="1:15" ht="16.5" thickBot="1" x14ac:dyDescent="0.3">
      <c r="A25" s="481"/>
      <c r="B25" s="481"/>
      <c r="C25" s="481"/>
      <c r="D25" s="481"/>
      <c r="E25" s="481"/>
      <c r="F25" s="481"/>
      <c r="G25" s="481"/>
      <c r="H25" s="481"/>
      <c r="I25" s="481"/>
    </row>
    <row r="26" spans="1:15" ht="15.75" customHeight="1" x14ac:dyDescent="0.25">
      <c r="A26" s="482" t="s">
        <v>28</v>
      </c>
      <c r="B26" s="483"/>
      <c r="C26" s="483"/>
      <c r="D26" s="483"/>
      <c r="E26" s="483"/>
      <c r="F26" s="483"/>
      <c r="G26" s="483"/>
      <c r="H26" s="484"/>
      <c r="I26" s="67" t="s">
        <v>122</v>
      </c>
      <c r="K26" s="68"/>
      <c r="L26" s="68"/>
    </row>
    <row r="27" spans="1:15" s="63" customFormat="1" ht="63.75" customHeight="1" x14ac:dyDescent="0.25">
      <c r="A27" s="69" t="s">
        <v>123</v>
      </c>
      <c r="B27" s="70" t="s">
        <v>124</v>
      </c>
      <c r="C27" s="70" t="s">
        <v>125</v>
      </c>
      <c r="D27" s="71" t="s">
        <v>126</v>
      </c>
      <c r="E27" s="72" t="s">
        <v>127</v>
      </c>
      <c r="F27" s="73" t="s">
        <v>128</v>
      </c>
      <c r="G27" s="74" t="s">
        <v>129</v>
      </c>
      <c r="H27" s="70" t="s">
        <v>130</v>
      </c>
      <c r="I27" s="70" t="s">
        <v>131</v>
      </c>
      <c r="J27" s="49"/>
      <c r="K27" s="68"/>
      <c r="L27" s="68"/>
      <c r="N27" s="68"/>
      <c r="O27" s="75"/>
    </row>
    <row r="28" spans="1:15" ht="19.5" thickBot="1" x14ac:dyDescent="0.3">
      <c r="A28" s="76">
        <f>_xlfn.SINGLE(test_propagation)</f>
        <v>0</v>
      </c>
      <c r="B28" s="77" t="s">
        <v>132</v>
      </c>
      <c r="C28" s="77" t="str">
        <f>CONCATENATE("Sonde ",B15)</f>
        <v>Sonde 0</v>
      </c>
      <c r="D28" s="78" t="e">
        <f ca="1">AVERAGE(INDIRECT("Valeurs_Brutes["&amp;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482" t="s">
        <v>29</v>
      </c>
      <c r="B29" s="483"/>
      <c r="C29" s="483"/>
      <c r="D29" s="483"/>
      <c r="E29" s="483"/>
      <c r="F29" s="483"/>
      <c r="G29" s="483"/>
      <c r="H29" s="484"/>
      <c r="I29" s="67" t="s">
        <v>122</v>
      </c>
      <c r="K29" s="68"/>
      <c r="L29" s="68"/>
    </row>
    <row r="30" spans="1:15" s="63" customFormat="1" ht="78.75" customHeight="1" x14ac:dyDescent="0.25">
      <c r="A30" s="69" t="s">
        <v>123</v>
      </c>
      <c r="B30" s="70" t="s">
        <v>124</v>
      </c>
      <c r="C30" s="70" t="s">
        <v>125</v>
      </c>
      <c r="D30" s="71" t="s">
        <v>126</v>
      </c>
      <c r="E30" s="72" t="s">
        <v>127</v>
      </c>
      <c r="F30" s="71" t="s">
        <v>128</v>
      </c>
      <c r="G30" s="74" t="s">
        <v>129</v>
      </c>
      <c r="H30" s="70" t="s">
        <v>130</v>
      </c>
      <c r="I30" s="70" t="s">
        <v>131</v>
      </c>
      <c r="J30" s="49"/>
      <c r="K30" s="68"/>
      <c r="L30" s="68"/>
      <c r="N30" s="68"/>
      <c r="O30" s="75"/>
    </row>
    <row r="31" spans="1:15" ht="19.5" thickBot="1" x14ac:dyDescent="0.3">
      <c r="A31" s="76">
        <f>A28</f>
        <v>0</v>
      </c>
      <c r="B31" s="77" t="str">
        <f>B28</f>
        <v>E.LAGASSY</v>
      </c>
      <c r="C31" s="77" t="str">
        <f>CONCATENATE("Sonde ",B14)</f>
        <v>Sonde 0</v>
      </c>
      <c r="D31" s="82" t="e">
        <f ca="1">AVERAGE(INDIRECT("Valeurs_Brutes["&amp;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482" t="s">
        <v>30</v>
      </c>
      <c r="B32" s="483"/>
      <c r="C32" s="483"/>
      <c r="D32" s="483"/>
      <c r="E32" s="483"/>
      <c r="F32" s="483"/>
      <c r="G32" s="483"/>
      <c r="H32" s="484"/>
      <c r="I32" s="67" t="s">
        <v>122</v>
      </c>
      <c r="K32" s="68"/>
      <c r="L32" s="68"/>
    </row>
    <row r="33" spans="1:15" s="63" customFormat="1" ht="105.75" customHeight="1" x14ac:dyDescent="0.25">
      <c r="A33" s="69" t="s">
        <v>123</v>
      </c>
      <c r="B33" s="70" t="s">
        <v>124</v>
      </c>
      <c r="C33" s="70" t="s">
        <v>125</v>
      </c>
      <c r="D33" s="71" t="s">
        <v>126</v>
      </c>
      <c r="E33" s="72" t="s">
        <v>127</v>
      </c>
      <c r="F33" s="71" t="s">
        <v>128</v>
      </c>
      <c r="G33" s="74" t="s">
        <v>129</v>
      </c>
      <c r="H33" s="70" t="s">
        <v>130</v>
      </c>
      <c r="I33" s="70" t="s">
        <v>131</v>
      </c>
      <c r="J33" s="49"/>
      <c r="K33" s="68"/>
      <c r="L33" s="68"/>
      <c r="N33" s="68"/>
      <c r="O33" s="75"/>
    </row>
    <row r="34" spans="1:15" ht="19.5" thickBot="1" x14ac:dyDescent="0.3">
      <c r="A34" s="76">
        <f>A28</f>
        <v>0</v>
      </c>
      <c r="B34" s="77" t="str">
        <f>B28</f>
        <v>E.LAGASSY</v>
      </c>
      <c r="C34" s="77" t="str">
        <f>CONCATENATE("Sonde ",B13)</f>
        <v>Sonde 0</v>
      </c>
      <c r="D34" s="77" t="e">
        <f ca="1">AVERAGE(INDIRECT("Valeurs_Brutes["&amp;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485" t="s">
        <v>133</v>
      </c>
      <c r="B36" s="485"/>
      <c r="C36" s="485"/>
      <c r="D36" s="485"/>
      <c r="E36" s="485"/>
      <c r="F36" s="485"/>
      <c r="G36" s="485"/>
      <c r="H36" s="485"/>
      <c r="I36" s="485"/>
      <c r="J36" s="83" t="s">
        <v>134</v>
      </c>
      <c r="K36" s="84">
        <f ca="1">TODAY()</f>
        <v>45338</v>
      </c>
    </row>
    <row r="37" spans="1:15" ht="19.5" thickBot="1" x14ac:dyDescent="0.3">
      <c r="D37" s="85"/>
      <c r="E37" s="85"/>
      <c r="F37" s="85"/>
      <c r="G37" s="85"/>
      <c r="H37" s="85"/>
      <c r="I37" s="49" t="s">
        <v>135</v>
      </c>
      <c r="J37" s="86" t="s">
        <v>136</v>
      </c>
      <c r="K37" s="87">
        <f ca="1">EDATE(K36,6)</f>
        <v>45520</v>
      </c>
    </row>
  </sheetData>
  <sheetProtection algorithmName="SHA-512" hashValue="w+AQzGCAeTKBW9/C7rxuZMlB9D2bojvvXb6BSyk4g6DU8NAngIii3dklC3ls6ODarqFF1f8tMSxYlC85I8Gkdw==" saltValue="P4GJOMhL03oy4m9NF2WcjQ==" spinCount="100000" sheet="1" objects="1" scenarios="1"/>
  <mergeCells count="26">
    <mergeCell ref="A17:I17"/>
    <mergeCell ref="B1:I1"/>
    <mergeCell ref="A3:I3"/>
    <mergeCell ref="A4:I4"/>
    <mergeCell ref="A5:I5"/>
    <mergeCell ref="A6:I6"/>
    <mergeCell ref="A8:I8"/>
    <mergeCell ref="D10:F10"/>
    <mergeCell ref="D11:F11"/>
    <mergeCell ref="D13:F13"/>
    <mergeCell ref="D14:F14"/>
    <mergeCell ref="D15:F15"/>
    <mergeCell ref="A19:B19"/>
    <mergeCell ref="H19:I19"/>
    <mergeCell ref="A20:B20"/>
    <mergeCell ref="D20:F20"/>
    <mergeCell ref="A21:B21"/>
    <mergeCell ref="D21:F21"/>
    <mergeCell ref="A32:H32"/>
    <mergeCell ref="A36:I36"/>
    <mergeCell ref="A22:B22"/>
    <mergeCell ref="D22:F22"/>
    <mergeCell ref="A24:I24"/>
    <mergeCell ref="A25:I25"/>
    <mergeCell ref="A26:H26"/>
    <mergeCell ref="A29:H29"/>
  </mergeCells>
  <conditionalFormatting sqref="I28">
    <cfRule type="containsText" dxfId="61" priority="5" operator="containsText" text="NON CONFORME">
      <formula>NOT(ISERROR(SEARCH("NON CONFORME",I28)))</formula>
    </cfRule>
    <cfRule type="containsText" dxfId="60" priority="6" operator="containsText" text="CONFORME">
      <formula>NOT(ISERROR(SEARCH("CONFORME",I28)))</formula>
    </cfRule>
  </conditionalFormatting>
  <conditionalFormatting sqref="I31">
    <cfRule type="containsText" dxfId="59" priority="3" operator="containsText" text="NON CONFORME">
      <formula>NOT(ISERROR(SEARCH("NON CONFORME",I31)))</formula>
    </cfRule>
    <cfRule type="containsText" dxfId="58" priority="4" operator="containsText" text="CONFORME">
      <formula>NOT(ISERROR(SEARCH("CONFORME",I31)))</formula>
    </cfRule>
  </conditionalFormatting>
  <conditionalFormatting sqref="I34">
    <cfRule type="containsText" dxfId="57" priority="1" operator="containsText" text="NON CONFORME">
      <formula>NOT(ISERROR(SEARCH("NON CONFORME",I34)))</formula>
    </cfRule>
    <cfRule type="containsText" dxfId="56"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BE5C2-320B-49A7-92F1-F2166232F601}">
  <sheetPr codeName="Feuil15">
    <tabColor theme="5" tint="0.39997558519241921"/>
  </sheetPr>
  <dimension ref="A1:O53"/>
  <sheetViews>
    <sheetView topLeftCell="A4" workbookViewId="0">
      <selection activeCell="D29" sqref="D29"/>
    </sheetView>
  </sheetViews>
  <sheetFormatPr baseColWidth="10" defaultRowHeight="15" x14ac:dyDescent="0.25"/>
  <cols>
    <col min="1" max="1" width="13.5703125" bestFit="1" customWidth="1"/>
    <col min="2" max="2" width="14.7109375" bestFit="1" customWidth="1"/>
    <col min="3" max="3" width="18.85546875" bestFit="1" customWidth="1"/>
    <col min="4" max="4" width="20.42578125" bestFit="1" customWidth="1"/>
    <col min="5" max="5" width="13.28515625" customWidth="1"/>
    <col min="6" max="6" width="8.42578125" bestFit="1" customWidth="1"/>
    <col min="7" max="7" width="8.140625" customWidth="1"/>
    <col min="11" max="11" width="16.7109375" customWidth="1"/>
    <col min="12" max="12" width="24.28515625" customWidth="1"/>
    <col min="13" max="13" width="21.42578125" bestFit="1" customWidth="1"/>
    <col min="14" max="14" width="17.28515625" bestFit="1" customWidth="1"/>
    <col min="15" max="15" width="25.85546875" bestFit="1" customWidth="1"/>
  </cols>
  <sheetData>
    <row r="1" spans="1:15" x14ac:dyDescent="0.25">
      <c r="A1" s="1"/>
      <c r="B1" s="1"/>
      <c r="C1" s="1"/>
      <c r="D1" s="1"/>
      <c r="E1" s="1"/>
      <c r="F1" s="1"/>
      <c r="G1" s="1"/>
      <c r="H1" s="1"/>
      <c r="I1" s="1"/>
      <c r="J1" s="1"/>
      <c r="K1" s="1"/>
      <c r="L1" s="1"/>
      <c r="M1" s="1"/>
      <c r="N1" s="1"/>
      <c r="O1" s="1"/>
    </row>
    <row r="2" spans="1:15" x14ac:dyDescent="0.25">
      <c r="A2" s="1"/>
      <c r="B2" s="456" t="s">
        <v>11</v>
      </c>
      <c r="C2" s="457"/>
      <c r="D2" s="457"/>
      <c r="E2" s="457"/>
      <c r="F2" s="457"/>
      <c r="G2" s="457"/>
      <c r="H2" s="457"/>
      <c r="I2" s="457"/>
      <c r="J2" s="457"/>
      <c r="K2" s="457"/>
      <c r="L2" s="1"/>
      <c r="M2" s="1"/>
      <c r="N2" s="1"/>
      <c r="O2" s="1"/>
    </row>
    <row r="3" spans="1:15" x14ac:dyDescent="0.25">
      <c r="A3" s="1"/>
      <c r="B3" s="457"/>
      <c r="C3" s="457"/>
      <c r="D3" s="457"/>
      <c r="E3" s="457"/>
      <c r="F3" s="457"/>
      <c r="G3" s="457"/>
      <c r="H3" s="457"/>
      <c r="I3" s="457"/>
      <c r="J3" s="457"/>
      <c r="K3" s="457"/>
      <c r="L3" s="1"/>
      <c r="M3" s="1"/>
      <c r="N3" s="1"/>
      <c r="O3" s="1"/>
    </row>
    <row r="4" spans="1:15" ht="57" x14ac:dyDescent="0.25">
      <c r="A4" s="1"/>
      <c r="B4" s="2"/>
      <c r="C4" s="2"/>
      <c r="D4" s="2"/>
      <c r="E4" s="2"/>
      <c r="F4" s="2"/>
      <c r="G4" s="2"/>
      <c r="H4" s="2"/>
      <c r="I4" s="2"/>
      <c r="J4" s="2"/>
      <c r="K4" s="2"/>
      <c r="L4" s="1"/>
      <c r="M4" s="1"/>
      <c r="N4" s="1"/>
      <c r="O4" s="1"/>
    </row>
    <row r="5" spans="1:15" x14ac:dyDescent="0.25">
      <c r="A5" s="449" t="s">
        <v>0</v>
      </c>
      <c r="B5" s="449"/>
      <c r="C5" s="449"/>
      <c r="D5" s="163"/>
      <c r="E5" s="1"/>
      <c r="F5" s="1"/>
      <c r="G5" s="1"/>
      <c r="H5" s="1"/>
      <c r="I5" s="1"/>
      <c r="J5" s="1"/>
      <c r="K5" s="1"/>
      <c r="L5" s="1"/>
      <c r="M5" s="1"/>
      <c r="N5" s="1"/>
      <c r="O5" s="24"/>
    </row>
    <row r="6" spans="1:15" x14ac:dyDescent="0.25">
      <c r="A6" s="1"/>
      <c r="B6" s="1"/>
      <c r="C6" s="1"/>
      <c r="D6" s="1"/>
      <c r="E6" s="1"/>
      <c r="F6" s="1"/>
      <c r="G6" s="1"/>
      <c r="H6" s="1"/>
      <c r="I6" s="1"/>
      <c r="J6" s="1"/>
      <c r="K6" s="1"/>
      <c r="L6" s="1"/>
      <c r="M6" s="1"/>
      <c r="N6" s="1"/>
      <c r="O6" s="1"/>
    </row>
    <row r="7" spans="1:15" x14ac:dyDescent="0.25">
      <c r="A7" s="449" t="s">
        <v>1</v>
      </c>
      <c r="B7" s="449"/>
      <c r="C7" s="4"/>
      <c r="D7" s="1"/>
      <c r="E7" s="449" t="s">
        <v>18</v>
      </c>
      <c r="F7" s="449"/>
      <c r="G7" s="4"/>
      <c r="H7" s="1"/>
      <c r="I7" s="1"/>
      <c r="J7" s="1"/>
      <c r="K7" s="1"/>
      <c r="L7" s="1"/>
      <c r="M7" s="1"/>
      <c r="N7" s="1"/>
      <c r="O7" s="5"/>
    </row>
    <row r="8" spans="1:15" x14ac:dyDescent="0.25">
      <c r="A8" s="449" t="s">
        <v>2</v>
      </c>
      <c r="B8" s="449"/>
      <c r="C8" s="6"/>
      <c r="D8" s="1"/>
      <c r="E8" s="449" t="s">
        <v>19</v>
      </c>
      <c r="F8" s="449"/>
      <c r="G8" s="6"/>
      <c r="H8" s="1"/>
      <c r="I8" s="1"/>
      <c r="J8" s="1"/>
      <c r="K8" s="1"/>
      <c r="L8" s="1"/>
      <c r="M8" s="1"/>
      <c r="N8" s="1"/>
      <c r="O8" s="5"/>
    </row>
    <row r="9" spans="1:15" x14ac:dyDescent="0.25">
      <c r="A9" s="1"/>
      <c r="B9" s="1"/>
      <c r="C9" s="1"/>
      <c r="D9" s="1"/>
      <c r="E9" s="1"/>
      <c r="F9" s="1"/>
      <c r="G9" s="1"/>
      <c r="H9" s="1"/>
      <c r="I9" s="1"/>
      <c r="J9" s="1"/>
      <c r="K9" s="1"/>
      <c r="L9" s="1"/>
      <c r="M9" s="1"/>
      <c r="N9" s="1"/>
      <c r="O9" s="5"/>
    </row>
    <row r="10" spans="1:15" x14ac:dyDescent="0.25">
      <c r="A10" s="445" t="s">
        <v>3</v>
      </c>
      <c r="B10" s="446"/>
      <c r="C10" s="7"/>
      <c r="D10" s="1"/>
      <c r="E10" s="445" t="s">
        <v>20</v>
      </c>
      <c r="F10" s="446"/>
      <c r="G10" s="8"/>
      <c r="H10" s="1"/>
      <c r="I10" s="1"/>
      <c r="J10" s="1"/>
      <c r="K10" s="1"/>
      <c r="L10" s="1"/>
      <c r="M10" s="1"/>
      <c r="N10" s="1"/>
      <c r="O10" s="1"/>
    </row>
    <row r="11" spans="1:15" x14ac:dyDescent="0.25">
      <c r="A11" s="445" t="s">
        <v>4</v>
      </c>
      <c r="B11" s="446"/>
      <c r="C11" s="8"/>
      <c r="D11" s="1"/>
      <c r="E11" s="449" t="s">
        <v>21</v>
      </c>
      <c r="F11" s="449"/>
      <c r="G11" s="160">
        <v>9</v>
      </c>
      <c r="H11" s="1"/>
      <c r="I11" s="1"/>
      <c r="J11" s="1"/>
      <c r="K11" s="1"/>
      <c r="L11" s="1"/>
      <c r="M11" s="1"/>
      <c r="N11" s="1"/>
      <c r="O11" s="1"/>
    </row>
    <row r="12" spans="1:15" x14ac:dyDescent="0.25">
      <c r="A12" s="1"/>
      <c r="B12" s="1"/>
      <c r="C12" s="1"/>
      <c r="D12" s="1"/>
      <c r="E12" s="449" t="s">
        <v>22</v>
      </c>
      <c r="F12" s="449"/>
      <c r="G12" s="10"/>
      <c r="H12" s="1"/>
      <c r="I12" s="1"/>
      <c r="J12" s="1"/>
      <c r="K12" s="1"/>
      <c r="L12" s="1"/>
      <c r="M12" s="1"/>
      <c r="N12" s="1"/>
      <c r="O12" s="1"/>
    </row>
    <row r="13" spans="1:15" x14ac:dyDescent="0.25">
      <c r="A13" s="1"/>
      <c r="B13" s="1"/>
      <c r="C13" s="1"/>
      <c r="D13" s="1"/>
      <c r="E13" s="1"/>
      <c r="F13" s="1"/>
      <c r="G13" s="1"/>
      <c r="H13" s="1"/>
      <c r="I13" s="1"/>
      <c r="J13" s="1"/>
      <c r="K13" s="1"/>
      <c r="L13" s="1"/>
      <c r="M13" s="1"/>
      <c r="N13" s="1"/>
      <c r="O13" s="1"/>
    </row>
    <row r="14" spans="1:15" x14ac:dyDescent="0.25">
      <c r="A14" s="445" t="s">
        <v>5</v>
      </c>
      <c r="B14" s="446"/>
      <c r="C14" s="4"/>
      <c r="D14" s="1"/>
      <c r="E14" s="1"/>
      <c r="F14" s="1"/>
      <c r="G14" s="1"/>
      <c r="H14" s="1"/>
      <c r="I14" s="1"/>
      <c r="J14" s="1"/>
      <c r="K14" s="1"/>
      <c r="L14" s="1"/>
      <c r="M14" s="1"/>
      <c r="N14" s="1"/>
      <c r="O14" s="1"/>
    </row>
    <row r="15" spans="1:15" x14ac:dyDescent="0.25">
      <c r="A15" s="445" t="s">
        <v>6</v>
      </c>
      <c r="B15" s="446"/>
      <c r="C15" s="10"/>
      <c r="D15" s="1"/>
      <c r="E15" s="1"/>
      <c r="F15" s="1"/>
      <c r="G15" s="1"/>
      <c r="H15" s="1"/>
      <c r="I15" s="1"/>
      <c r="J15" s="1"/>
      <c r="K15" s="1"/>
      <c r="L15" s="1"/>
      <c r="M15" s="1"/>
      <c r="N15" s="1"/>
      <c r="O15" s="1"/>
    </row>
    <row r="16" spans="1:15"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11"/>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14</v>
      </c>
      <c r="D22" s="13" t="s">
        <v>16</v>
      </c>
      <c r="E22" s="14" t="s">
        <v>23</v>
      </c>
      <c r="F22" s="1"/>
      <c r="G22" s="1"/>
      <c r="H22" s="1"/>
      <c r="I22" s="1"/>
      <c r="J22" s="1"/>
      <c r="K22" s="1"/>
      <c r="L22" s="1"/>
      <c r="M22" s="1"/>
      <c r="N22" s="1"/>
      <c r="O22" s="1"/>
    </row>
    <row r="23" spans="1:15" x14ac:dyDescent="0.25">
      <c r="A23" s="15">
        <v>1</v>
      </c>
      <c r="B23" s="11"/>
      <c r="C23" s="11"/>
      <c r="D23" s="175"/>
      <c r="E23" s="175"/>
      <c r="F23" s="1"/>
      <c r="G23" s="1"/>
      <c r="H23" s="1"/>
      <c r="I23" s="1"/>
      <c r="J23" s="1"/>
      <c r="K23" s="1"/>
      <c r="L23" s="1"/>
      <c r="M23" s="1"/>
      <c r="N23" s="1"/>
      <c r="O23" s="1"/>
    </row>
    <row r="24" spans="1:15" x14ac:dyDescent="0.25">
      <c r="A24" s="19">
        <v>2</v>
      </c>
      <c r="B24" s="11"/>
      <c r="C24" s="11"/>
      <c r="D24" s="175"/>
      <c r="E24" s="175"/>
      <c r="F24" s="1"/>
      <c r="G24" s="1"/>
      <c r="H24" s="1"/>
      <c r="I24" s="1"/>
      <c r="J24" s="1"/>
      <c r="K24" s="1"/>
      <c r="L24" s="1"/>
      <c r="M24" s="1"/>
      <c r="N24" s="1"/>
      <c r="O24" s="1"/>
    </row>
    <row r="25" spans="1:15" x14ac:dyDescent="0.25">
      <c r="A25" s="15">
        <v>3</v>
      </c>
      <c r="B25" s="11"/>
      <c r="C25" s="11"/>
      <c r="D25" s="175"/>
      <c r="E25" s="175"/>
      <c r="F25" s="1"/>
      <c r="G25" s="1"/>
      <c r="H25" s="1"/>
      <c r="I25" s="1"/>
      <c r="J25" s="1"/>
      <c r="K25" s="1"/>
      <c r="L25" s="1"/>
      <c r="M25" s="1"/>
      <c r="N25" s="1"/>
      <c r="O25" s="1"/>
    </row>
    <row r="26" spans="1:15" x14ac:dyDescent="0.25">
      <c r="A26" s="19">
        <v>4</v>
      </c>
      <c r="B26" s="11"/>
      <c r="C26" s="11"/>
      <c r="D26" s="175"/>
      <c r="E26" s="175"/>
      <c r="F26" s="1"/>
      <c r="G26" s="1"/>
      <c r="H26" s="1"/>
      <c r="I26" s="1"/>
      <c r="J26" s="1"/>
      <c r="K26" s="1"/>
      <c r="L26" s="1"/>
      <c r="M26" s="1"/>
      <c r="N26" s="1"/>
      <c r="O26" s="1"/>
    </row>
    <row r="27" spans="1:15" x14ac:dyDescent="0.25">
      <c r="A27" s="15">
        <v>5</v>
      </c>
      <c r="B27" s="11"/>
      <c r="C27" s="11"/>
      <c r="D27" s="175"/>
      <c r="E27" s="175"/>
      <c r="F27" s="1"/>
      <c r="G27" s="1"/>
      <c r="H27" s="1"/>
      <c r="I27" s="1"/>
      <c r="J27" s="1"/>
      <c r="K27" s="1"/>
      <c r="L27" s="1"/>
      <c r="M27" s="1"/>
      <c r="N27" s="1"/>
      <c r="O27" s="1"/>
    </row>
    <row r="28" spans="1:15" x14ac:dyDescent="0.25">
      <c r="A28" s="19">
        <v>6</v>
      </c>
      <c r="B28" s="11"/>
      <c r="C28" s="11"/>
      <c r="D28" s="175"/>
      <c r="E28" s="175"/>
      <c r="F28" s="1"/>
      <c r="G28" s="1"/>
      <c r="H28" s="1"/>
      <c r="I28" s="1"/>
      <c r="J28" s="1"/>
      <c r="K28" s="1"/>
      <c r="L28" s="1"/>
      <c r="M28" s="1"/>
      <c r="N28" s="1"/>
      <c r="O28" s="1"/>
    </row>
    <row r="29" spans="1:15" x14ac:dyDescent="0.25">
      <c r="A29" s="15">
        <v>7</v>
      </c>
      <c r="B29" s="11"/>
      <c r="C29" s="11"/>
      <c r="D29" s="175"/>
      <c r="E29" s="175"/>
      <c r="F29" s="1"/>
      <c r="G29" s="1"/>
      <c r="H29" s="1"/>
      <c r="I29" s="1"/>
      <c r="J29" s="1"/>
      <c r="K29" s="1"/>
      <c r="L29" s="1"/>
      <c r="M29" s="1"/>
      <c r="N29" s="1"/>
      <c r="O29" s="1"/>
    </row>
    <row r="30" spans="1:15" x14ac:dyDescent="0.25">
      <c r="A30" s="19">
        <v>8</v>
      </c>
      <c r="B30" s="11"/>
      <c r="C30" s="11"/>
      <c r="D30" s="175"/>
      <c r="E30" s="175"/>
      <c r="F30" s="1"/>
      <c r="G30" s="1"/>
      <c r="H30" s="1"/>
      <c r="I30" s="1"/>
      <c r="J30" s="1"/>
      <c r="K30" s="1"/>
      <c r="L30" s="1"/>
      <c r="M30" s="1"/>
      <c r="N30" s="1"/>
      <c r="O30" s="1"/>
    </row>
    <row r="31" spans="1:15" x14ac:dyDescent="0.25">
      <c r="A31" s="15">
        <v>9</v>
      </c>
      <c r="B31" s="11"/>
      <c r="C31" s="11"/>
      <c r="D31" s="175"/>
      <c r="E31" s="175"/>
      <c r="F31" s="1"/>
      <c r="G31" s="1"/>
      <c r="H31" s="1"/>
      <c r="I31" s="1"/>
      <c r="J31" s="1"/>
      <c r="K31" s="1"/>
      <c r="L31" s="1"/>
      <c r="M31" s="1"/>
      <c r="N31" s="1"/>
      <c r="O31" s="1"/>
    </row>
    <row r="32" spans="1:15" x14ac:dyDescent="0.25">
      <c r="A32" s="1"/>
      <c r="B32" s="1"/>
      <c r="C32" s="1"/>
      <c r="D32" s="1"/>
      <c r="E32" s="1"/>
      <c r="F32" s="1"/>
      <c r="G32" s="1"/>
      <c r="H32" s="1"/>
      <c r="I32" s="1"/>
      <c r="J32" s="1"/>
    </row>
    <row r="33" spans="1:15" x14ac:dyDescent="0.25">
      <c r="A33" s="1"/>
      <c r="B33" s="1"/>
      <c r="C33" s="1"/>
      <c r="D33" s="1"/>
      <c r="E33" s="1"/>
      <c r="F33" s="1"/>
      <c r="G33" s="1"/>
      <c r="H33" s="1"/>
      <c r="I33" s="1"/>
      <c r="J33" s="1"/>
    </row>
    <row r="34" spans="1:15" x14ac:dyDescent="0.25">
      <c r="A34" s="1"/>
      <c r="B34" s="1"/>
      <c r="C34" s="1"/>
      <c r="D34" s="1"/>
      <c r="E34" s="1"/>
      <c r="F34" s="1"/>
      <c r="G34" s="1"/>
      <c r="H34" s="1"/>
      <c r="I34" s="1"/>
      <c r="J34" s="1"/>
    </row>
    <row r="35" spans="1:15" x14ac:dyDescent="0.25">
      <c r="A35" s="1"/>
      <c r="B35" s="1"/>
      <c r="C35" s="1"/>
      <c r="D35" s="1"/>
      <c r="E35" s="1"/>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448" t="s">
        <v>13</v>
      </c>
      <c r="C38" s="448"/>
      <c r="D38" s="1"/>
      <c r="E38" s="1"/>
      <c r="F38" s="1"/>
      <c r="G38" s="1"/>
      <c r="H38" s="1"/>
      <c r="I38" s="1"/>
      <c r="J38" s="1"/>
      <c r="K38" s="1"/>
      <c r="L38" s="448" t="s">
        <v>30</v>
      </c>
      <c r="M38" s="448"/>
      <c r="N38" s="1"/>
      <c r="O38" s="1"/>
    </row>
    <row r="39" spans="1:15" x14ac:dyDescent="0.25">
      <c r="A39" s="1"/>
      <c r="B39" s="1"/>
      <c r="C39" s="1"/>
      <c r="D39" s="1"/>
      <c r="E39" s="1"/>
      <c r="F39" s="1"/>
      <c r="G39" s="1"/>
      <c r="H39" s="1"/>
      <c r="I39" s="1"/>
      <c r="J39" s="1"/>
      <c r="K39" s="1"/>
      <c r="L39" s="1"/>
      <c r="M39" s="1"/>
      <c r="N39" s="1"/>
      <c r="O39" s="1"/>
    </row>
    <row r="40" spans="1:15" x14ac:dyDescent="0.25">
      <c r="A40" s="449" t="s">
        <v>10</v>
      </c>
      <c r="B40" s="449"/>
      <c r="C40" s="450"/>
      <c r="D40" s="450"/>
      <c r="E40" s="450"/>
      <c r="F40" s="451"/>
      <c r="G40" s="1"/>
      <c r="H40" s="1"/>
      <c r="I40" s="1"/>
      <c r="J40" s="1"/>
      <c r="K40" s="449" t="s">
        <v>26</v>
      </c>
      <c r="L40" s="449"/>
      <c r="M40" s="449"/>
      <c r="N40" s="449"/>
      <c r="O40" s="449"/>
    </row>
    <row r="41" spans="1:15" ht="30" x14ac:dyDescent="0.25">
      <c r="A41" s="449"/>
      <c r="B41" s="449"/>
      <c r="C41" s="3" t="s">
        <v>15</v>
      </c>
      <c r="D41" s="20" t="s">
        <v>17</v>
      </c>
      <c r="E41" s="20" t="s">
        <v>24</v>
      </c>
      <c r="F41" s="20" t="s">
        <v>25</v>
      </c>
      <c r="G41" s="1"/>
      <c r="H41" s="1"/>
      <c r="I41" s="1"/>
      <c r="J41" s="1"/>
      <c r="K41" s="452"/>
      <c r="L41" s="452"/>
      <c r="M41" s="3" t="s">
        <v>32</v>
      </c>
      <c r="N41" s="3" t="s">
        <v>34</v>
      </c>
      <c r="O41" s="3" t="s">
        <v>35</v>
      </c>
    </row>
    <row r="42" spans="1:15" x14ac:dyDescent="0.25">
      <c r="A42" s="445" t="str">
        <f>CONCATENATE("Sonde ", B23)</f>
        <v xml:space="preserve">Sonde </v>
      </c>
      <c r="B42" s="446"/>
      <c r="C42" s="10"/>
      <c r="D42" s="10"/>
      <c r="E42" s="10"/>
      <c r="F42" s="10"/>
      <c r="G42" s="1"/>
      <c r="H42" s="1"/>
      <c r="I42" s="1"/>
      <c r="J42" s="1"/>
      <c r="K42" s="453" t="s">
        <v>27</v>
      </c>
      <c r="L42" s="454"/>
      <c r="M42" s="10"/>
      <c r="N42" s="10"/>
      <c r="O42" s="10"/>
    </row>
    <row r="43" spans="1:15" x14ac:dyDescent="0.25">
      <c r="A43" s="445" t="str">
        <f t="shared" ref="A43:A50" si="0">"Sonde " &amp; B24</f>
        <v xml:space="preserve">Sonde </v>
      </c>
      <c r="B43" s="446"/>
      <c r="C43" s="10"/>
      <c r="D43" s="10"/>
      <c r="E43" s="10"/>
      <c r="F43" s="10"/>
      <c r="G43" s="1"/>
      <c r="H43" s="1"/>
      <c r="I43" s="1"/>
      <c r="J43" s="1"/>
      <c r="K43" s="1"/>
      <c r="L43" s="1"/>
      <c r="M43" s="1"/>
      <c r="N43" s="1"/>
      <c r="O43" s="1"/>
    </row>
    <row r="44" spans="1:15" x14ac:dyDescent="0.25">
      <c r="A44" s="445" t="str">
        <f t="shared" si="0"/>
        <v xml:space="preserve">Sonde </v>
      </c>
      <c r="B44" s="446"/>
      <c r="C44" s="10"/>
      <c r="D44" s="10"/>
      <c r="E44" s="10"/>
      <c r="F44" s="10"/>
      <c r="G44" s="1"/>
      <c r="H44" s="1"/>
      <c r="I44" s="1"/>
      <c r="J44" s="1"/>
      <c r="K44" s="1"/>
      <c r="L44" s="1"/>
      <c r="M44" s="1"/>
      <c r="N44" s="1"/>
      <c r="O44" s="1"/>
    </row>
    <row r="45" spans="1:15" x14ac:dyDescent="0.25">
      <c r="A45" s="445" t="str">
        <f t="shared" si="0"/>
        <v xml:space="preserve">Sonde </v>
      </c>
      <c r="B45" s="446"/>
      <c r="C45" s="10"/>
      <c r="D45" s="10"/>
      <c r="E45" s="10"/>
      <c r="F45" s="10"/>
      <c r="G45" s="1"/>
      <c r="H45" s="1"/>
      <c r="I45" s="1"/>
      <c r="J45" s="1"/>
      <c r="K45" s="1"/>
      <c r="L45" s="1"/>
      <c r="M45" s="1"/>
      <c r="N45" s="1"/>
      <c r="O45" s="1"/>
    </row>
    <row r="46" spans="1:15" ht="26.25" x14ac:dyDescent="0.25">
      <c r="A46" s="445" t="str">
        <f t="shared" si="0"/>
        <v xml:space="preserve">Sonde </v>
      </c>
      <c r="B46" s="446"/>
      <c r="C46" s="10"/>
      <c r="D46" s="10"/>
      <c r="E46" s="10"/>
      <c r="F46" s="10"/>
      <c r="G46" s="1"/>
      <c r="H46" s="1"/>
      <c r="I46" s="1"/>
      <c r="J46" s="1"/>
      <c r="K46" s="1"/>
      <c r="L46" s="448" t="s">
        <v>31</v>
      </c>
      <c r="M46" s="448"/>
      <c r="N46" s="1"/>
      <c r="O46" s="1"/>
    </row>
    <row r="47" spans="1:15" ht="45" x14ac:dyDescent="0.25">
      <c r="A47" s="445" t="str">
        <f t="shared" si="0"/>
        <v xml:space="preserve">Sonde </v>
      </c>
      <c r="B47" s="446"/>
      <c r="C47" s="10"/>
      <c r="D47" s="10"/>
      <c r="E47" s="10"/>
      <c r="F47" s="10"/>
      <c r="G47" s="1"/>
      <c r="H47" s="1"/>
      <c r="I47" s="1"/>
      <c r="J47" s="1"/>
      <c r="K47" s="1"/>
      <c r="L47" s="1"/>
      <c r="M47" s="21" t="s">
        <v>33</v>
      </c>
      <c r="N47" s="1"/>
      <c r="O47" s="1"/>
    </row>
    <row r="48" spans="1:15" x14ac:dyDescent="0.25">
      <c r="A48" s="445" t="str">
        <f t="shared" si="0"/>
        <v xml:space="preserve">Sonde </v>
      </c>
      <c r="B48" s="446"/>
      <c r="C48" s="10"/>
      <c r="D48" s="10"/>
      <c r="E48" s="10"/>
      <c r="F48" s="10"/>
      <c r="G48" s="1"/>
      <c r="H48" s="1"/>
      <c r="I48" s="1"/>
      <c r="J48" s="1"/>
      <c r="K48" s="447" t="s">
        <v>28</v>
      </c>
      <c r="L48" s="447"/>
      <c r="M48" s="10"/>
      <c r="N48" s="1"/>
      <c r="O48" s="1"/>
    </row>
    <row r="49" spans="1:15" x14ac:dyDescent="0.25">
      <c r="A49" s="445" t="str">
        <f t="shared" si="0"/>
        <v xml:space="preserve">Sonde </v>
      </c>
      <c r="B49" s="446"/>
      <c r="C49" s="10"/>
      <c r="D49" s="10"/>
      <c r="E49" s="10"/>
      <c r="F49" s="10"/>
      <c r="G49" s="1"/>
      <c r="H49" s="1"/>
      <c r="I49" s="1"/>
      <c r="J49" s="1"/>
      <c r="K49" s="447" t="s">
        <v>29</v>
      </c>
      <c r="L49" s="447"/>
      <c r="M49" s="10"/>
      <c r="N49" s="1"/>
      <c r="O49" s="1"/>
    </row>
    <row r="50" spans="1:15" x14ac:dyDescent="0.25">
      <c r="A50" s="445" t="str">
        <f t="shared" si="0"/>
        <v xml:space="preserve">Sonde </v>
      </c>
      <c r="B50" s="446"/>
      <c r="C50" s="10"/>
      <c r="D50" s="10"/>
      <c r="E50" s="10"/>
      <c r="F50" s="10"/>
      <c r="G50" s="1"/>
      <c r="H50" s="1"/>
      <c r="I50" s="1"/>
      <c r="J50" s="1"/>
      <c r="K50" s="447" t="s">
        <v>30</v>
      </c>
      <c r="L50" s="447"/>
      <c r="M50" s="10"/>
      <c r="N50" s="1"/>
      <c r="O50" s="1"/>
    </row>
    <row r="51" spans="1:15" x14ac:dyDescent="0.25">
      <c r="A51" s="1"/>
      <c r="B51" s="1"/>
      <c r="C51" s="1"/>
      <c r="D51" s="1"/>
      <c r="E51" s="1"/>
      <c r="F51" s="1"/>
      <c r="G51" s="1"/>
      <c r="H51" s="1"/>
      <c r="I51" s="1"/>
    </row>
    <row r="52" spans="1:15" x14ac:dyDescent="0.25">
      <c r="A52" s="1"/>
      <c r="B52" s="1"/>
      <c r="C52" s="1"/>
      <c r="D52" s="1"/>
      <c r="E52" s="1"/>
      <c r="F52" s="1"/>
      <c r="G52" s="1"/>
      <c r="H52" s="1"/>
      <c r="I52" s="1"/>
    </row>
    <row r="53" spans="1:15" x14ac:dyDescent="0.25">
      <c r="A53" s="1"/>
      <c r="B53" s="1"/>
      <c r="C53" s="1"/>
      <c r="D53" s="1"/>
      <c r="E53" s="1"/>
      <c r="F53" s="1"/>
      <c r="G53" s="1"/>
      <c r="H53" s="1"/>
      <c r="I53" s="1"/>
    </row>
  </sheetData>
  <sheetProtection algorithmName="SHA-512" hashValue="dw2tj04m5AklPz6MFmz6BS7bZ3iLU0GSdbLfkEHLPEiFUe8+zicQSTgtWrCMt5LnpsC+UZziMEwSr9BEpdXDXQ==" saltValue="ZgW6oDxrX391h8y8EkZY+A==" spinCount="100000" sheet="1" objects="1" scenarios="1"/>
  <protectedRanges>
    <protectedRange sqref="C10" name="Donnees controleur_8"/>
  </protectedRanges>
  <mergeCells count="33">
    <mergeCell ref="B2:K3"/>
    <mergeCell ref="A5:C5"/>
    <mergeCell ref="A7:B7"/>
    <mergeCell ref="E7:F7"/>
    <mergeCell ref="A8:B8"/>
    <mergeCell ref="E8:F8"/>
    <mergeCell ref="A41:B41"/>
    <mergeCell ref="K41:L41"/>
    <mergeCell ref="A10:B10"/>
    <mergeCell ref="E10:F10"/>
    <mergeCell ref="A11:B11"/>
    <mergeCell ref="E11:F11"/>
    <mergeCell ref="E12:F12"/>
    <mergeCell ref="A14:B14"/>
    <mergeCell ref="A15:B15"/>
    <mergeCell ref="B38:C38"/>
    <mergeCell ref="L38:M38"/>
    <mergeCell ref="A40:F40"/>
    <mergeCell ref="K40:O40"/>
    <mergeCell ref="A50:B50"/>
    <mergeCell ref="K50:L50"/>
    <mergeCell ref="A42:B42"/>
    <mergeCell ref="K42:L42"/>
    <mergeCell ref="A43:B43"/>
    <mergeCell ref="A44:B44"/>
    <mergeCell ref="A45:B45"/>
    <mergeCell ref="A46:B46"/>
    <mergeCell ref="L46:M46"/>
    <mergeCell ref="A47:B47"/>
    <mergeCell ref="A48:B48"/>
    <mergeCell ref="K48:L48"/>
    <mergeCell ref="A49:B49"/>
    <mergeCell ref="K49:L49"/>
  </mergeCells>
  <conditionalFormatting sqref="A1:R59">
    <cfRule type="expression" dxfId="55" priority="1">
      <formula>AND(NOT(CELL("protege", A1)), A1="")</formula>
    </cfRule>
  </conditionalFormatting>
  <dataValidations disablePrompts="1" count="3">
    <dataValidation type="list" allowBlank="1" showInputMessage="1" showErrorMessage="1" sqref="C10" xr:uid="{25E045EC-33D2-484B-ADD3-DE8ED1EF285D}">
      <formula1>"BCH , LV"</formula1>
    </dataValidation>
    <dataValidation type="list" showInputMessage="1" showErrorMessage="1" sqref="D16:D17" xr:uid="{5B7E2A97-04E4-4FBF-AE91-355DB11E2DE7}">
      <formula1>$C$15:$C$17</formula1>
    </dataValidation>
    <dataValidation type="list" showErrorMessage="1" promptTitle="Périodicité" prompt="Veuillez choisir" sqref="C15" xr:uid="{EF9E56E7-DAAB-4A20-A7BE-3609228CEFED}">
      <formula1>" ,Annuelle,Trimestrielle,Mensuelle"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96" r:id="rId3" name="Button 8">
              <controlPr defaultSize="0" print="0" autoFill="0" autoPict="0" macro="[0]!Realisation_TUS_Etuve_Sechoir">
                <anchor moveWithCells="1" sizeWithCells="1">
                  <from>
                    <xdr:col>8</xdr:col>
                    <xdr:colOff>419100</xdr:colOff>
                    <xdr:row>6</xdr:row>
                    <xdr:rowOff>123825</xdr:rowOff>
                  </from>
                  <to>
                    <xdr:col>12</xdr:col>
                    <xdr:colOff>895350</xdr:colOff>
                    <xdr:row>13</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69A7-DCDE-445E-8BC8-C22A398FCDA9}">
  <sheetPr codeName="Feuil26">
    <tabColor theme="5" tint="0.39997558519241921"/>
  </sheetPr>
  <dimension ref="A1:J2"/>
  <sheetViews>
    <sheetView workbookViewId="0">
      <selection activeCell="B2" sqref="B2"/>
    </sheetView>
  </sheetViews>
  <sheetFormatPr baseColWidth="10" defaultRowHeight="15" x14ac:dyDescent="0.25"/>
  <cols>
    <col min="1" max="1" width="15.7109375" bestFit="1" customWidth="1"/>
    <col min="2" max="10" width="15" bestFit="1" customWidth="1"/>
  </cols>
  <sheetData>
    <row r="1" spans="1:10" x14ac:dyDescent="0.25">
      <c r="A1" s="23" t="s">
        <v>36</v>
      </c>
      <c r="B1" t="s">
        <v>37</v>
      </c>
      <c r="C1" t="s">
        <v>38</v>
      </c>
      <c r="D1" t="s">
        <v>39</v>
      </c>
      <c r="E1" t="s">
        <v>40</v>
      </c>
      <c r="F1" t="s">
        <v>41</v>
      </c>
      <c r="G1" t="s">
        <v>42</v>
      </c>
      <c r="H1" t="s">
        <v>43</v>
      </c>
      <c r="I1" t="s">
        <v>44</v>
      </c>
      <c r="J1" t="s">
        <v>45</v>
      </c>
    </row>
    <row r="2" spans="1:10" x14ac:dyDescent="0.25">
      <c r="A2" s="23"/>
      <c r="G2" s="135"/>
      <c r="H2" s="135"/>
      <c r="I2" s="135"/>
      <c r="J2" s="135"/>
    </row>
  </sheetData>
  <sheetProtection algorithmName="SHA-512" hashValue="RAeQDHfbLkvloIdhVW0fFxj1MI27k4yQyq+3PvyqMQlzJg0IvVuZnZAQGVhTZudwY0fufgkGcq10YVhQVlRe1g==" saltValue="9ygWmyhgztSpQ1M6bqII6g==" spinCount="100000" sheet="1" objects="1" scenarios="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831D2-BFB4-4F8F-9C44-D9F277EA6281}">
  <sheetPr codeName="Feuil27">
    <tabColor theme="5" tint="0.39997558519241921"/>
  </sheetPr>
  <dimension ref="A1:P25"/>
  <sheetViews>
    <sheetView topLeftCell="A52" workbookViewId="0">
      <selection activeCell="C74" sqref="C74"/>
    </sheetView>
  </sheetViews>
  <sheetFormatPr baseColWidth="10" defaultRowHeight="15" x14ac:dyDescent="0.25"/>
  <cols>
    <col min="2" max="3" width="16.42578125" bestFit="1" customWidth="1"/>
    <col min="4" max="11" width="12.7109375" bestFit="1" customWidth="1"/>
    <col min="12" max="12" width="7.140625" customWidth="1"/>
    <col min="14" max="14" width="15.28515625" bestFit="1" customWidth="1"/>
  </cols>
  <sheetData>
    <row r="1" spans="1:16" s="27" customFormat="1" x14ac:dyDescent="0.25">
      <c r="A1" s="458" t="str">
        <f>Mesures_Sechoir!B19 &amp; "°C"</f>
        <v>°C</v>
      </c>
      <c r="B1" s="458"/>
      <c r="C1" s="458"/>
      <c r="D1" s="458"/>
      <c r="E1" s="458"/>
      <c r="F1" s="458"/>
      <c r="G1" s="458"/>
      <c r="H1" s="458"/>
      <c r="I1" s="458"/>
      <c r="J1" s="458"/>
      <c r="K1" s="458"/>
      <c r="L1" s="458"/>
      <c r="M1" s="458"/>
      <c r="N1" s="458"/>
      <c r="O1" s="458"/>
      <c r="P1" s="458"/>
    </row>
    <row r="2" spans="1:16" s="27" customFormat="1" x14ac:dyDescent="0.25">
      <c r="A2" s="458"/>
      <c r="B2" s="458"/>
      <c r="C2" s="458"/>
      <c r="D2" s="458"/>
      <c r="E2" s="458"/>
      <c r="F2" s="458"/>
      <c r="G2" s="458"/>
      <c r="H2" s="458"/>
      <c r="I2" s="458"/>
      <c r="J2" s="458"/>
      <c r="K2" s="458"/>
      <c r="L2" s="458"/>
      <c r="M2" s="458"/>
      <c r="N2" s="458"/>
      <c r="O2" s="458"/>
      <c r="P2" s="458"/>
    </row>
    <row r="3" spans="1:16" s="27" customFormat="1" x14ac:dyDescent="0.25">
      <c r="A3" s="458"/>
      <c r="B3" s="458"/>
      <c r="C3" s="458"/>
      <c r="D3" s="458"/>
      <c r="E3" s="458"/>
      <c r="F3" s="458"/>
      <c r="G3" s="458"/>
      <c r="H3" s="458"/>
      <c r="I3" s="458"/>
      <c r="J3" s="458"/>
      <c r="K3" s="458"/>
      <c r="L3" s="458"/>
      <c r="M3" s="458"/>
      <c r="N3" s="458"/>
      <c r="O3" s="458"/>
      <c r="P3" s="458"/>
    </row>
    <row r="4" spans="1:16" s="27" customFormat="1" x14ac:dyDescent="0.25">
      <c r="M4" s="33"/>
    </row>
    <row r="5" spans="1:16" s="27" customFormat="1" x14ac:dyDescent="0.25">
      <c r="B5" s="34" t="s">
        <v>23</v>
      </c>
      <c r="C5" s="35" t="e">
        <f>_xlfn.XLOOKUP(INT(SUBSTITUTE(C14,"Connecteur ","")),Mesures_Sechoir!C23:C31,Mesures_Sechoir!D23:D31)</f>
        <v>#N/A</v>
      </c>
      <c r="D5" s="35" t="e">
        <f>_xlfn.XLOOKUP(INT(SUBSTITUTE(D14,"Connecteur ","")),Mesures_Sechoir!C23:C31,Mesures_Sechoir!D23:D31)</f>
        <v>#N/A</v>
      </c>
      <c r="E5" s="35" t="e">
        <f>_xlfn.XLOOKUP(INT(SUBSTITUTE(E14,"Connecteur ","")),Mesures_Sechoir!C23:C31,Mesures_Sechoir!D23:D31)</f>
        <v>#N/A</v>
      </c>
      <c r="F5" s="35" t="e">
        <f>_xlfn.XLOOKUP(INT(SUBSTITUTE(F14,"Connecteur ","")),Mesures_Sechoir!C23:C31,Mesures_Sechoir!D23:D31)</f>
        <v>#N/A</v>
      </c>
      <c r="G5" s="35" t="e">
        <f>_xlfn.XLOOKUP(INT(SUBSTITUTE(G14,"Connecteur ","")),Mesures_Sechoir!C23:C31,Mesures_Sechoir!D23:D31)</f>
        <v>#N/A</v>
      </c>
      <c r="H5" s="35" t="e">
        <f>_xlfn.XLOOKUP(INT(SUBSTITUTE(H14,"Connecteur ","")),Mesures_Sechoir!C23:C31,Mesures_Sechoir!D23:D31)</f>
        <v>#N/A</v>
      </c>
      <c r="I5" s="35" t="e">
        <f>_xlfn.XLOOKUP(INT(SUBSTITUTE(I14,"Connecteur ","")),Mesures_Sechoir!C23:C31,Mesures_Sechoir!D23:D31)</f>
        <v>#N/A</v>
      </c>
      <c r="J5" s="35" t="e">
        <f>_xlfn.XLOOKUP(INT(SUBSTITUTE(J14,"Connecteur ","")),Mesures_Sechoir!C23:C31,Mesures_Sechoir!D23:D31)</f>
        <v>#N/A</v>
      </c>
      <c r="K5" s="35" t="e">
        <f>_xlfn.XLOOKUP(INT(SUBSTITUTE(K14,"Connecteur ","")),Mesures_Sechoir!C23:C31,Mesures_Sechoir!D23:D31)</f>
        <v>#N/A</v>
      </c>
      <c r="M5" s="33"/>
    </row>
    <row r="6" spans="1:16" s="27" customFormat="1" x14ac:dyDescent="0.25">
      <c r="B6" s="34" t="s">
        <v>87</v>
      </c>
      <c r="C6" s="35" t="e">
        <f>_xlfn.XLOOKUP(INT(SUBSTITUTE(C14,"Connecteur ","")),Mesures_Sechoir!C23:C31,Mesures_Sechoir!E23:E31)</f>
        <v>#N/A</v>
      </c>
      <c r="D6" s="35" t="e">
        <f>_xlfn.XLOOKUP(INT(SUBSTITUTE(D14,"Connecteur ","")),Mesures_Sechoir!C23:C31,Mesures_Sechoir!E23:E31)</f>
        <v>#N/A</v>
      </c>
      <c r="E6" s="35" t="e">
        <f>_xlfn.XLOOKUP(INT(SUBSTITUTE(E14,"Connecteur ","")),Mesures_Sechoir!C23:C31,Mesures_Sechoir!E23:E31)</f>
        <v>#N/A</v>
      </c>
      <c r="F6" s="35" t="e">
        <f>_xlfn.XLOOKUP(INT(SUBSTITUTE(F14,"Connecteur ","")),Mesures_Sechoir!C23:C31,Mesures_Sechoir!E23:E31)</f>
        <v>#N/A</v>
      </c>
      <c r="G6" s="35" t="e">
        <f>_xlfn.XLOOKUP(INT(SUBSTITUTE(G14,"Connecteur ","")),Mesures_Sechoir!C23:C31,Mesures_Sechoir!E23:E31)</f>
        <v>#N/A</v>
      </c>
      <c r="H6" s="35" t="e">
        <f>_xlfn.XLOOKUP(INT(SUBSTITUTE(H14,"Connecteur ","")),Mesures_Sechoir!C23:C31,Mesures_Sechoir!E23:E31)</f>
        <v>#N/A</v>
      </c>
      <c r="I6" s="35" t="e">
        <f>_xlfn.XLOOKUP(INT(SUBSTITUTE(I14,"Connecteur ","")),Mesures_Sechoir!C23:C31,Mesures_Sechoir!E23:E31)</f>
        <v>#N/A</v>
      </c>
      <c r="J6" s="35" t="e">
        <f>_xlfn.XLOOKUP(INT(SUBSTITUTE(J14,"Connecteur ","")),Mesures_Sechoir!C23:C31,Mesures_Sechoir!E23:E31)</f>
        <v>#N/A</v>
      </c>
      <c r="K6" s="35" t="e">
        <f>_xlfn.XLOOKUP(INT(SUBSTITUTE(K14,"Connecteur ","")),Mesures_Sechoir!C23:C31,Mesures_Sechoir!E23:E31)</f>
        <v>#N/A</v>
      </c>
      <c r="M6" s="33"/>
    </row>
    <row r="7" spans="1:16" s="27" customFormat="1" x14ac:dyDescent="0.25">
      <c r="M7" s="33"/>
    </row>
    <row r="8" spans="1:16" s="27" customFormat="1" x14ac:dyDescent="0.25">
      <c r="M8" s="33"/>
    </row>
    <row r="9" spans="1:16" s="27" customFormat="1" x14ac:dyDescent="0.25">
      <c r="A9" s="342" t="s">
        <v>88</v>
      </c>
      <c r="B9" s="342"/>
      <c r="C9" s="342"/>
      <c r="D9" s="342"/>
      <c r="E9" s="342"/>
      <c r="F9" s="342"/>
      <c r="G9" s="342"/>
      <c r="H9" s="342"/>
      <c r="I9" s="342"/>
      <c r="J9" s="342"/>
      <c r="K9" s="342"/>
      <c r="M9" s="33"/>
    </row>
    <row r="10" spans="1:16" s="27" customFormat="1" ht="15" customHeight="1" x14ac:dyDescent="0.25">
      <c r="A10" s="33"/>
      <c r="B10" s="34" t="str" cm="1">
        <f t="array" ref="B10:K10">Valeurs_Brutes_Sechoir[#Headers]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M10" s="33"/>
    </row>
    <row r="11" spans="1:16" s="27" customFormat="1" ht="13.5" customHeight="1" x14ac:dyDescent="0.25">
      <c r="A11" s="144" t="s">
        <v>89</v>
      </c>
      <c r="B11" s="37" cm="1">
        <f t="array" ref="B11">Valeurs_Brutes_Sechoir[Date/Heure]</f>
        <v>0</v>
      </c>
      <c r="C11" s="134" cm="1">
        <f t="array" ref="C11:K11">Valeurs_Brutes_Sechoir[[Connecteur 1]:[Connecteur 9]]</f>
        <v>0</v>
      </c>
      <c r="D11" s="134">
        <v>0</v>
      </c>
      <c r="E11" s="134">
        <v>0</v>
      </c>
      <c r="F11" s="134">
        <v>0</v>
      </c>
      <c r="G11" s="134">
        <v>0</v>
      </c>
      <c r="H11" s="134">
        <v>0</v>
      </c>
      <c r="I11" s="134">
        <v>0</v>
      </c>
      <c r="J11" s="134">
        <v>0</v>
      </c>
      <c r="K11" s="134">
        <v>0</v>
      </c>
      <c r="M11" s="33"/>
    </row>
    <row r="12" spans="1:16" s="27" customFormat="1" ht="13.5" customHeight="1" x14ac:dyDescent="0.25">
      <c r="A12" s="143" t="s">
        <v>89</v>
      </c>
      <c r="B12" s="39"/>
      <c r="C12" s="176"/>
      <c r="D12" s="176"/>
      <c r="E12" s="176"/>
      <c r="F12" s="176"/>
      <c r="G12" s="176"/>
      <c r="H12" s="176"/>
      <c r="I12" s="176"/>
      <c r="J12" s="176"/>
      <c r="K12" s="176"/>
      <c r="M12" s="33"/>
    </row>
    <row r="13" spans="1:16" s="459" customFormat="1" x14ac:dyDescent="0.25"/>
    <row r="14" spans="1:16" s="27" customFormat="1" x14ac:dyDescent="0.25">
      <c r="C14" s="41" t="str" cm="1">
        <f t="array" ref="C14:K14">Valeurs_Brutes_Sechoir[[#Headers],[Connecteur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6" s="27" customFormat="1" x14ac:dyDescent="0.25">
      <c r="B15" s="42" t="s">
        <v>90</v>
      </c>
      <c r="C15" s="43" t="e" cm="1">
        <f t="array" ref="C15">MAX(Valeurs_Brutes_Sechoir[Connecteur 1]+Sechoir!C5+Sechoir!C6)</f>
        <v>#N/A</v>
      </c>
      <c r="D15" s="43" t="e" cm="1">
        <f t="array" ref="D15">MAX(Valeurs_Brutes_Sechoir[Connecteur 2]+Sechoir!D5+Sechoir!D6)</f>
        <v>#N/A</v>
      </c>
      <c r="E15" s="43" t="e" cm="1">
        <f t="array" ref="E15">MAX(Valeurs_Brutes_Sechoir[Connecteur 3]+Sechoir!E5+Sechoir!E6)</f>
        <v>#N/A</v>
      </c>
      <c r="F15" s="43" t="e" cm="1">
        <f t="array" ref="F15">MAX(Valeurs_Brutes_Sechoir[Connecteur 4]+Sechoir!F5+Sechoir!F6)</f>
        <v>#N/A</v>
      </c>
      <c r="G15" s="43" t="e" cm="1">
        <f t="array" ref="G15">MAX(Valeurs_Brutes_Sechoir[Connecteur 5]+Sechoir!G5+Sechoir!G6)</f>
        <v>#N/A</v>
      </c>
      <c r="H15" s="43" t="e" cm="1">
        <f t="array" ref="H15">MAX(Valeurs_Brutes_Sechoir[Connecteur 6]+Sechoir!H5+Sechoir!H6)</f>
        <v>#N/A</v>
      </c>
      <c r="I15" s="43" t="e" cm="1">
        <f t="array" ref="I15">MAX(Valeurs_Brutes_Sechoir[Connecteur 7]+Sechoir!I5+Sechoir!I6)</f>
        <v>#N/A</v>
      </c>
      <c r="J15" s="43" t="e" cm="1">
        <f t="array" ref="J15">MAX(Valeurs_Brutes_Sechoir[Connecteur 8]+Sechoir!J5+Sechoir!J6)</f>
        <v>#N/A</v>
      </c>
      <c r="K15" s="43" t="e" cm="1">
        <f t="array" ref="K15">MAX(Valeurs_Brutes_Sechoir[Connecteur 9]+Sechoir!K5+Sechoir!K6)</f>
        <v>#N/A</v>
      </c>
      <c r="L15" s="48">
        <f>O15+Mesures_Sechoir!B20</f>
        <v>0</v>
      </c>
      <c r="M15" s="33"/>
      <c r="N15" s="36" t="s">
        <v>7</v>
      </c>
      <c r="O15" s="48">
        <f>Mesures_Sechoir!B19</f>
        <v>0</v>
      </c>
    </row>
    <row r="16" spans="1:16" s="27" customFormat="1" x14ac:dyDescent="0.25">
      <c r="B16" s="42" t="s">
        <v>91</v>
      </c>
      <c r="C16" s="43" t="e">
        <f ca="1">MAX(OFFSET(INDEX(Valeurs_Brutes_Sechoir[Connecteur 1],1),COUNT(Valeurs_Brutes_Sechoir[Connecteur 1])-30,0,30))+C5+C6</f>
        <v>#REF!</v>
      </c>
      <c r="D16" s="43" t="e">
        <f ca="1">MAX(OFFSET(INDEX(Valeurs_Brutes_Sechoir[Connecteur 2],1),COUNT(Valeurs_Brutes_Sechoir[Connecteur 2])-30,0,30))+D5+D6</f>
        <v>#REF!</v>
      </c>
      <c r="E16" s="43" t="e">
        <f ca="1">MAX(OFFSET(INDEX(Valeurs_Brutes_Sechoir[Connecteur 3],1),COUNT(Valeurs_Brutes_Sechoir[Connecteur 3])-30,0,30))+E5+E6</f>
        <v>#REF!</v>
      </c>
      <c r="F16" s="43" t="e">
        <f ca="1">MAX(OFFSET(INDEX(Valeurs_Brutes_Sechoir[Connecteur 4],1),COUNT(Valeurs_Brutes_Sechoir[Connecteur 4])-30,0,30))+F5+F6</f>
        <v>#REF!</v>
      </c>
      <c r="G16" s="43" t="e">
        <f ca="1">MAX(OFFSET(INDEX(Valeurs_Brutes_Sechoir[Connecteur 5],1),COUNT(Valeurs_Brutes_Sechoir[Connecteur 5])-30,0,30))+G5+G6</f>
        <v>#REF!</v>
      </c>
      <c r="H16" s="43" t="e">
        <f ca="1">MAX(OFFSET(INDEX(Valeurs_Brutes_Sechoir[Connecteur 6],1),COUNT(Valeurs_Brutes_Sechoir[Connecteur 6])-30,0,30))+H5+H6</f>
        <v>#REF!</v>
      </c>
      <c r="I16" s="43" t="e">
        <f ca="1">MAX(OFFSET(INDEX(Valeurs_Brutes_Sechoir[Connecteur 7],1),COUNT(Valeurs_Brutes_Sechoir[Connecteur 7])-30,0,30))+I5+I6</f>
        <v>#REF!</v>
      </c>
      <c r="J16" s="43" t="e">
        <f ca="1">MAX(OFFSET(INDEX(Valeurs_Brutes_Sechoir[Connecteur 8],1),COUNT(Valeurs_Brutes_Sechoir[Connecteur 8])-30,0,30))+J5+J6</f>
        <v>#REF!</v>
      </c>
      <c r="K16" s="43" t="e">
        <f ca="1">MAX(OFFSET(INDEX(Valeurs_Brutes_Sechoir[Connecteur 9],1),COUNT(Valeurs_Brutes_Sechoir[Connecteur 9])-30,0,30))+K5+K6</f>
        <v>#REF!</v>
      </c>
      <c r="L16" s="48">
        <f>O15+Mesures_Sechoir!B20</f>
        <v>0</v>
      </c>
      <c r="M16" s="33"/>
      <c r="N16" s="36" t="s">
        <v>92</v>
      </c>
      <c r="O16" s="35" t="str">
        <f>"+" &amp; Mesures_Sechoir!B20 &amp; "°C"</f>
        <v>+°C</v>
      </c>
    </row>
    <row r="17" spans="2:15" s="27" customFormat="1" x14ac:dyDescent="0.25">
      <c r="B17" s="42" t="s">
        <v>93</v>
      </c>
      <c r="C17" s="43" t="e">
        <f ca="1">MIN(OFFSET(INDEX(Valeurs_Brutes_Sechoir[Connecteur 1],1),COUNT(Valeurs_Brutes_Sechoir[Connecteur 1])-30,0,30))+C5+C6</f>
        <v>#REF!</v>
      </c>
      <c r="D17" s="43" t="e">
        <f ca="1">MIN(OFFSET(INDEX(Valeurs_Brutes_Sechoir[Connecteur 2],1),COUNT(Valeurs_Brutes_Sechoir[Connecteur 2])-30,0,30))+D5+D6</f>
        <v>#REF!</v>
      </c>
      <c r="E17" s="43" t="e">
        <f ca="1">MIN(OFFSET(INDEX(Valeurs_Brutes_Sechoir[Connecteur 3],1),COUNT(Valeurs_Brutes_Sechoir[Connecteur 3])-30,0,30))+E5+E6</f>
        <v>#REF!</v>
      </c>
      <c r="F17" s="43" t="e">
        <f ca="1">MIN(OFFSET(INDEX(Valeurs_Brutes_Sechoir[Connecteur 4],1),COUNT(Valeurs_Brutes_Sechoir[Connecteur 4])-30,0,30))+F5+F6</f>
        <v>#REF!</v>
      </c>
      <c r="G17" s="43" t="e">
        <f ca="1">MIN(OFFSET(INDEX(Valeurs_Brutes_Sechoir[Connecteur 5],1),COUNT(Valeurs_Brutes_Sechoir[Connecteur 5])-30,0,30))+G5+G6</f>
        <v>#REF!</v>
      </c>
      <c r="H17" s="43" t="e">
        <f ca="1">MIN(OFFSET(INDEX(Valeurs_Brutes_Sechoir[Connecteur 6],1),COUNT(Valeurs_Brutes_Sechoir[Connecteur 6])-30,0,30))+H5+H6</f>
        <v>#REF!</v>
      </c>
      <c r="I17" s="43" t="e">
        <f ca="1">MIN(OFFSET(INDEX(Valeurs_Brutes_Sechoir[Connecteur 7],1),COUNT(Valeurs_Brutes_Sechoir[Connecteur 7])-30,0,30))+I5+I6</f>
        <v>#REF!</v>
      </c>
      <c r="J17" s="43" t="e">
        <f ca="1">MIN(OFFSET(INDEX(Valeurs_Brutes_Sechoir[Connecteur 8],1),COUNT(Valeurs_Brutes_Sechoir[Connecteur 8])-30,0,30))+J5+J6</f>
        <v>#REF!</v>
      </c>
      <c r="K17" s="43" t="e">
        <f ca="1">MIN(OFFSET(INDEX(Valeurs_Brutes_Sechoir[Connecteur 9],1),COUNT(Valeurs_Brutes_Sechoir[Connecteur 9])-30,0,30))+K5+K6</f>
        <v>#REF!</v>
      </c>
      <c r="L17" s="48">
        <f>O15 - Mesures_Sechoir!B20</f>
        <v>0</v>
      </c>
      <c r="M17" s="33"/>
      <c r="N17" s="36" t="s">
        <v>94</v>
      </c>
      <c r="O17" s="35" t="str">
        <f>"-" &amp; Mesures_Sechoir!B20 &amp; "°C"</f>
        <v>-°C</v>
      </c>
    </row>
    <row r="18" spans="2:15" s="27" customFormat="1" x14ac:dyDescent="0.25">
      <c r="B18" s="42" t="s">
        <v>95</v>
      </c>
      <c r="C18" s="43" t="e">
        <f ca="1">AVERAGE(OFFSET(INDEX(Valeurs_Brutes_Sechoir[Connecteur 1],1),COUNT(Valeurs_Brutes_Sechoir[Connecteur 1])-30,0,30))+C5+C6</f>
        <v>#REF!</v>
      </c>
      <c r="D18" s="43" t="e">
        <f ca="1">AVERAGE(OFFSET(INDEX(Valeurs_Brutes_Sechoir[Connecteur 2],1),COUNT(Valeurs_Brutes_Sechoir[Connecteur 2])-30,0,30))+D5+D6</f>
        <v>#REF!</v>
      </c>
      <c r="E18" s="43" t="e">
        <f ca="1">AVERAGE(OFFSET(INDEX(Valeurs_Brutes_Sechoir[Connecteur 3],1),COUNT(Valeurs_Brutes_Sechoir[Connecteur 3])-30,0,30))+E5+E6</f>
        <v>#REF!</v>
      </c>
      <c r="F18" s="43" t="e">
        <f ca="1">AVERAGE(OFFSET(INDEX(Valeurs_Brutes_Sechoir[Connecteur 4],1),COUNT(Valeurs_Brutes_Sechoir[Connecteur 4])-30,0,30))+F5+F6</f>
        <v>#REF!</v>
      </c>
      <c r="G18" s="43" t="e">
        <f ca="1">AVERAGE(OFFSET(INDEX(Valeurs_Brutes_Sechoir[Connecteur 5],1),COUNT(Valeurs_Brutes_Sechoir[Connecteur 5])-30,0,30))+G5+G6</f>
        <v>#REF!</v>
      </c>
      <c r="H18" s="43" t="e">
        <f ca="1">AVERAGE(OFFSET(INDEX(Valeurs_Brutes_Sechoir[Connecteur 6],1),COUNT(Valeurs_Brutes_Sechoir[Connecteur 6])-30,0,30))+H5+H6</f>
        <v>#REF!</v>
      </c>
      <c r="I18" s="43" t="e">
        <f ca="1">AVERAGE(OFFSET(INDEX(Valeurs_Brutes_Sechoir[Connecteur 7],1),COUNT(Valeurs_Brutes_Sechoir[Connecteur 7])-30,0,30))+I5+I6</f>
        <v>#REF!</v>
      </c>
      <c r="J18" s="43" t="e">
        <f ca="1">AVERAGE(OFFSET(INDEX(Valeurs_Brutes_Sechoir[Connecteur 8],1),COUNT(Valeurs_Brutes_Sechoir[Connecteur 8])-30,0,30))+J5+J6</f>
        <v>#REF!</v>
      </c>
      <c r="K18" s="43" t="e">
        <f ca="1">AVERAGE(OFFSET(INDEX(Valeurs_Brutes_Sechoir[Connecteur 9],1),COUNT(Valeurs_Brutes_Sechoir[Connecteur 9])-30,0,30))+K5+K6</f>
        <v>#REF!</v>
      </c>
      <c r="L18" s="44"/>
      <c r="M18" s="33"/>
    </row>
    <row r="19" spans="2:15" s="27" customFormat="1" x14ac:dyDescent="0.25">
      <c r="B19" s="42" t="s">
        <v>96</v>
      </c>
      <c r="C19" s="45" t="e">
        <f ca="1">C16-C17</f>
        <v>#REF!</v>
      </c>
      <c r="D19" s="45" t="e">
        <f t="shared" ref="D19:K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4"/>
      <c r="M19" s="33"/>
    </row>
    <row r="20" spans="2:15" s="27" customFormat="1" x14ac:dyDescent="0.25">
      <c r="B20" s="42" t="s">
        <v>97</v>
      </c>
      <c r="C20" s="376" t="e">
        <f ca="1">ABS(MAX(C16:K16)- MIN(C17:K17))</f>
        <v>#REF!</v>
      </c>
      <c r="D20" s="376"/>
      <c r="E20" s="376"/>
      <c r="F20" s="376"/>
      <c r="G20" s="376"/>
      <c r="H20" s="376"/>
      <c r="I20" s="376"/>
      <c r="J20" s="376"/>
      <c r="K20" s="376"/>
      <c r="L20" s="376"/>
      <c r="M20" s="33"/>
    </row>
    <row r="21" spans="2:15" s="27" customFormat="1" x14ac:dyDescent="0.25">
      <c r="B21" s="42" t="s">
        <v>98</v>
      </c>
      <c r="C21" s="376" t="e">
        <f ca="1">AVERAGE(C18:K18)</f>
        <v>#REF!</v>
      </c>
      <c r="D21" s="376"/>
      <c r="E21" s="376"/>
      <c r="F21" s="376"/>
      <c r="G21" s="376"/>
      <c r="H21" s="376"/>
      <c r="I21" s="376"/>
      <c r="J21" s="376"/>
      <c r="K21" s="376"/>
      <c r="L21" s="376"/>
      <c r="M21" s="33"/>
    </row>
    <row r="22" spans="2:15" s="27" customFormat="1" x14ac:dyDescent="0.25">
      <c r="B22" s="36" t="s">
        <v>99</v>
      </c>
      <c r="C22" s="46" t="e">
        <f ca="1">STDEV(OFFSET(INDEX(Valeurs_Brutes_Sechoir[Connecteur 1],1),COUNT(Valeurs_Brutes_Sechoir[Connecteur 1])-30,0,30))+C5+C6</f>
        <v>#REF!</v>
      </c>
      <c r="D22" s="46" t="e">
        <f ca="1">STDEV(OFFSET(INDEX(Valeurs_Brutes_Sechoir[Connecteur 2],1),COUNT(Valeurs_Brutes_Sechoir[Connecteur 2])-30,0,30))+D5+D6</f>
        <v>#REF!</v>
      </c>
      <c r="E22" s="46" t="e">
        <f ca="1">STDEV(OFFSET(INDEX(Valeurs_Brutes_Sechoir[Connecteur 3],1),COUNT(Valeurs_Brutes_Sechoir[Connecteur 3])-30,0,30))+E5+E6</f>
        <v>#REF!</v>
      </c>
      <c r="F22" s="46" t="e">
        <f ca="1">STDEV(OFFSET(INDEX(Valeurs_Brutes_Sechoir[Connecteur 4],1),COUNT(Valeurs_Brutes_Sechoir[Connecteur 4])-30,0,30))+F5+F6</f>
        <v>#REF!</v>
      </c>
      <c r="G22" s="46" t="e">
        <f ca="1">STDEV(OFFSET(INDEX(Valeurs_Brutes_Sechoir[Connecteur 5],1),COUNT(Valeurs_Brutes_Sechoir[Connecteur 5])-30,0,30))+G5+G6</f>
        <v>#REF!</v>
      </c>
      <c r="H22" s="46" t="e">
        <f ca="1">STDEV(OFFSET(INDEX(Valeurs_Brutes_Sechoir[Connecteur 6],1),COUNT(Valeurs_Brutes_Sechoir[Connecteur 6])-30,0,30))+H5+H6</f>
        <v>#REF!</v>
      </c>
      <c r="I22" s="46" t="e">
        <f ca="1">STDEV(OFFSET(INDEX(Valeurs_Brutes_Sechoir[Connecteur 7],1),COUNT(Valeurs_Brutes_Sechoir[Connecteur 7])-30,0,30))+I5+I6</f>
        <v>#REF!</v>
      </c>
      <c r="J22" s="46" t="e">
        <f ca="1">STDEV(OFFSET(INDEX(Valeurs_Brutes_Sechoir[Connecteur 8],1),COUNT(Valeurs_Brutes_Sechoir[Connecteur 8])-30,0,30))+J5+J6</f>
        <v>#REF!</v>
      </c>
      <c r="K22" s="46" t="e">
        <f ca="1">STDEV(OFFSET(INDEX(Valeurs_Brutes_Sechoir[Connecteur 9],1),COUNT(Valeurs_Brutes_Sechoir[Connecteur 9])-30,0,30))+K5+K6</f>
        <v>#REF!</v>
      </c>
      <c r="L22" s="44"/>
      <c r="M22" s="33"/>
      <c r="N22" s="47"/>
    </row>
    <row r="23" spans="2:15" s="27" customFormat="1" x14ac:dyDescent="0.25">
      <c r="M23" s="33"/>
    </row>
    <row r="24" spans="2:15" s="27" customFormat="1" x14ac:dyDescent="0.25">
      <c r="M24" s="33"/>
    </row>
    <row r="25" spans="2:15" s="27" customFormat="1" x14ac:dyDescent="0.25">
      <c r="M25" s="33"/>
    </row>
  </sheetData>
  <sheetProtection algorithmName="SHA-512" hashValue="By8/zVDZKzF2c53PiX5LZzv9ENF5jmHpmPG3f8eRHIGAbD+9mAvHF2nkUyXvsh6qoWL+gLPAE1IKaOmGy9z3lQ==" saltValue="UsfJSxL9YswYcgVOi3IQHA==" spinCount="100000" sheet="1" objects="1" scenarios="1"/>
  <mergeCells count="5">
    <mergeCell ref="A1:P3"/>
    <mergeCell ref="A9:K9"/>
    <mergeCell ref="A13:XFD13"/>
    <mergeCell ref="C20:L20"/>
    <mergeCell ref="C21:L21"/>
  </mergeCells>
  <conditionalFormatting sqref="C15:K15">
    <cfRule type="cellIs" dxfId="49" priority="3" operator="greaterThan">
      <formula>$L$15</formula>
    </cfRule>
    <cfRule type="cellIs" dxfId="48" priority="6" operator="greaterThan">
      <formula>$L$15</formula>
    </cfRule>
  </conditionalFormatting>
  <conditionalFormatting sqref="C16:K16">
    <cfRule type="cellIs" dxfId="47" priority="2" operator="greaterThan">
      <formula>$L$16</formula>
    </cfRule>
    <cfRule type="cellIs" dxfId="46" priority="5" operator="greaterThan">
      <formula>$L$16</formula>
    </cfRule>
  </conditionalFormatting>
  <conditionalFormatting sqref="C17:K17">
    <cfRule type="cellIs" dxfId="45" priority="1" operator="lessThan">
      <formula>$L$17</formula>
    </cfRule>
    <cfRule type="cellIs" dxfId="44" priority="4" operator="lessThan">
      <formula>$L$17</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99F71-AD95-44F5-8D35-85301AE974C8}">
  <sheetPr codeName="Feuil28">
    <tabColor theme="5" tint="0.39997558519241921"/>
  </sheetPr>
  <dimension ref="A5:J308"/>
  <sheetViews>
    <sheetView view="pageLayout" topLeftCell="A13" zoomScale="70" zoomScaleNormal="60" zoomScaleSheetLayoutView="77" zoomScalePageLayoutView="70" workbookViewId="0">
      <selection activeCell="B19" sqref="B19"/>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137</v>
      </c>
      <c r="C5" s="88"/>
      <c r="D5" s="88"/>
      <c r="E5" s="88"/>
      <c r="F5" s="88"/>
      <c r="G5" s="88"/>
      <c r="H5" s="88"/>
      <c r="I5" s="89"/>
    </row>
    <row r="10" spans="2:9" ht="21" x14ac:dyDescent="0.25">
      <c r="C10" s="383" t="s">
        <v>138</v>
      </c>
      <c r="D10" s="383"/>
      <c r="E10" s="476">
        <f>Mesures_Sechoir!D5</f>
        <v>0</v>
      </c>
      <c r="F10" s="476"/>
    </row>
    <row r="11" spans="2:9" ht="21" x14ac:dyDescent="0.25">
      <c r="C11" s="90"/>
      <c r="D11" s="90"/>
      <c r="E11" s="91"/>
      <c r="F11" s="91"/>
    </row>
    <row r="12" spans="2:9" x14ac:dyDescent="0.25">
      <c r="C12" s="92" t="s">
        <v>1</v>
      </c>
      <c r="D12" s="93">
        <f>Mesures_Sechoir!C7</f>
        <v>0</v>
      </c>
      <c r="F12" s="92" t="s">
        <v>18</v>
      </c>
      <c r="G12" s="93">
        <f>Mesures_Sechoir!G7</f>
        <v>0</v>
      </c>
    </row>
    <row r="13" spans="2:9" ht="15.75" x14ac:dyDescent="0.25">
      <c r="C13" s="94" t="s">
        <v>2</v>
      </c>
      <c r="D13" s="95">
        <f>Mesures_Sechoir!C8</f>
        <v>0</v>
      </c>
      <c r="F13" s="96" t="s">
        <v>19</v>
      </c>
      <c r="G13" s="95">
        <f>Mesures_Sechoir!G8</f>
        <v>0</v>
      </c>
    </row>
    <row r="14" spans="2:9" ht="15.75" x14ac:dyDescent="0.25">
      <c r="C14" s="97"/>
      <c r="D14" s="98"/>
      <c r="G14" s="99"/>
    </row>
    <row r="15" spans="2:9" ht="15.75" x14ac:dyDescent="0.25">
      <c r="C15" s="100" t="s">
        <v>139</v>
      </c>
      <c r="D15" s="101">
        <f>Mesures_Sechoir!C14</f>
        <v>0</v>
      </c>
      <c r="F15" s="92" t="s">
        <v>140</v>
      </c>
      <c r="G15" s="102">
        <f>Mesures_Sechoir!C15</f>
        <v>0</v>
      </c>
    </row>
    <row r="16" spans="2:9" ht="15.75" x14ac:dyDescent="0.25">
      <c r="C16" s="100" t="s">
        <v>141</v>
      </c>
      <c r="D16" s="103">
        <f>Mesures_Sechoir!G11</f>
        <v>9</v>
      </c>
      <c r="F16" s="92" t="s">
        <v>142</v>
      </c>
      <c r="G16" s="102">
        <f>Mesures_Sechoir!G12</f>
        <v>0</v>
      </c>
    </row>
    <row r="17" spans="1:9" ht="15.75" x14ac:dyDescent="0.25">
      <c r="C17" s="97"/>
      <c r="D17" s="98"/>
      <c r="F17" s="97"/>
      <c r="G17" s="27"/>
    </row>
    <row r="18" spans="1:9" ht="15.75" x14ac:dyDescent="0.25">
      <c r="C18" s="100" t="s">
        <v>143</v>
      </c>
      <c r="D18" s="140">
        <f>Mesures_Sechoir!C11</f>
        <v>0</v>
      </c>
      <c r="F18" s="92" t="s">
        <v>144</v>
      </c>
      <c r="G18" s="141">
        <f>Mesures_Sechoir!G10</f>
        <v>0</v>
      </c>
    </row>
    <row r="19" spans="1:9" ht="15.75" x14ac:dyDescent="0.25">
      <c r="C19" s="94" t="s">
        <v>145</v>
      </c>
      <c r="D19" s="101">
        <f>Mesures_Sechoir!C10</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385" t="s">
        <v>282</v>
      </c>
      <c r="B30" s="385"/>
      <c r="C30" s="385"/>
      <c r="D30" s="385"/>
      <c r="E30" s="385"/>
      <c r="F30" s="385"/>
      <c r="G30" s="385"/>
      <c r="H30" s="385"/>
      <c r="I30" s="385"/>
    </row>
    <row r="31" spans="1:9" x14ac:dyDescent="0.25">
      <c r="A31" s="385"/>
      <c r="B31" s="385"/>
      <c r="C31" s="385"/>
      <c r="D31" s="385"/>
      <c r="E31" s="385"/>
      <c r="F31" s="385"/>
      <c r="G31" s="385"/>
      <c r="H31" s="385"/>
      <c r="I31" s="385"/>
    </row>
    <row r="32" spans="1:9" x14ac:dyDescent="0.25">
      <c r="A32" s="385"/>
      <c r="B32" s="385"/>
      <c r="C32" s="385"/>
      <c r="D32" s="385"/>
      <c r="E32" s="385"/>
      <c r="F32" s="385"/>
      <c r="G32" s="385"/>
      <c r="H32" s="385"/>
      <c r="I32" s="385"/>
    </row>
    <row r="33" spans="1:9" x14ac:dyDescent="0.25">
      <c r="A33" s="385"/>
      <c r="B33" s="385"/>
      <c r="C33" s="385"/>
      <c r="D33" s="385"/>
      <c r="E33" s="385"/>
      <c r="F33" s="385"/>
      <c r="G33" s="385"/>
      <c r="H33" s="385"/>
      <c r="I33" s="385"/>
    </row>
    <row r="34" spans="1:9" x14ac:dyDescent="0.25">
      <c r="A34" s="385"/>
      <c r="B34" s="385"/>
      <c r="C34" s="385"/>
      <c r="D34" s="385"/>
      <c r="E34" s="385"/>
      <c r="F34" s="385"/>
      <c r="G34" s="385"/>
      <c r="H34" s="385"/>
      <c r="I34" s="385"/>
    </row>
    <row r="35" spans="1:9" x14ac:dyDescent="0.25">
      <c r="A35" s="385"/>
      <c r="B35" s="385"/>
      <c r="C35" s="385"/>
      <c r="D35" s="385"/>
      <c r="E35" s="385"/>
      <c r="F35" s="385"/>
      <c r="G35" s="385"/>
      <c r="H35" s="385"/>
      <c r="I35" s="385"/>
    </row>
    <row r="36" spans="1:9" x14ac:dyDescent="0.25">
      <c r="A36" s="385"/>
      <c r="B36" s="385"/>
      <c r="C36" s="385"/>
      <c r="D36" s="385"/>
      <c r="E36" s="385"/>
      <c r="F36" s="385"/>
      <c r="G36" s="385"/>
      <c r="H36" s="385"/>
      <c r="I36" s="385"/>
    </row>
    <row r="37" spans="1:9" x14ac:dyDescent="0.25">
      <c r="A37" s="385"/>
      <c r="B37" s="385"/>
      <c r="C37" s="385"/>
      <c r="D37" s="385"/>
      <c r="E37" s="385"/>
      <c r="F37" s="385"/>
      <c r="G37" s="385"/>
      <c r="H37" s="385"/>
      <c r="I37" s="385"/>
    </row>
    <row r="38" spans="1:9" x14ac:dyDescent="0.25">
      <c r="A38" s="385"/>
      <c r="B38" s="385"/>
      <c r="C38" s="385"/>
      <c r="D38" s="385"/>
      <c r="E38" s="385"/>
      <c r="F38" s="385"/>
      <c r="G38" s="385"/>
      <c r="H38" s="385"/>
      <c r="I38" s="385"/>
    </row>
    <row r="39" spans="1:9" x14ac:dyDescent="0.25">
      <c r="A39" s="385"/>
      <c r="B39" s="385"/>
      <c r="C39" s="385"/>
      <c r="D39" s="385"/>
      <c r="E39" s="385"/>
      <c r="F39" s="385"/>
      <c r="G39" s="385"/>
      <c r="H39" s="385"/>
      <c r="I39" s="385"/>
    </row>
    <row r="40" spans="1:9" x14ac:dyDescent="0.25">
      <c r="A40" s="385"/>
      <c r="B40" s="385"/>
      <c r="C40" s="385"/>
      <c r="D40" s="385"/>
      <c r="E40" s="385"/>
      <c r="F40" s="385"/>
      <c r="G40" s="385"/>
      <c r="H40" s="385"/>
      <c r="I40" s="385"/>
    </row>
    <row r="41" spans="1:9" x14ac:dyDescent="0.25">
      <c r="A41" s="385"/>
      <c r="B41" s="385"/>
      <c r="C41" s="385"/>
      <c r="D41" s="385"/>
      <c r="E41" s="385"/>
      <c r="F41" s="385"/>
      <c r="G41" s="385"/>
      <c r="H41" s="385"/>
      <c r="I41" s="385"/>
    </row>
    <row r="42" spans="1:9" x14ac:dyDescent="0.25">
      <c r="A42" s="385"/>
      <c r="B42" s="385"/>
      <c r="C42" s="385"/>
      <c r="D42" s="385"/>
      <c r="E42" s="385"/>
      <c r="F42" s="385"/>
      <c r="G42" s="385"/>
      <c r="H42" s="385"/>
      <c r="I42" s="385"/>
    </row>
    <row r="43" spans="1:9" x14ac:dyDescent="0.25">
      <c r="A43" s="385"/>
      <c r="B43" s="385"/>
      <c r="C43" s="385"/>
      <c r="D43" s="385"/>
      <c r="E43" s="385"/>
      <c r="F43" s="385"/>
      <c r="G43" s="385"/>
      <c r="H43" s="385"/>
      <c r="I43" s="385"/>
    </row>
    <row r="44" spans="1:9" x14ac:dyDescent="0.25">
      <c r="A44" s="385"/>
      <c r="B44" s="385"/>
      <c r="C44" s="385"/>
      <c r="D44" s="385"/>
      <c r="E44" s="385"/>
      <c r="F44" s="385"/>
      <c r="G44" s="385"/>
      <c r="H44" s="385"/>
      <c r="I44" s="385"/>
    </row>
    <row r="45" spans="1:9" x14ac:dyDescent="0.25">
      <c r="A45" s="385"/>
      <c r="B45" s="385"/>
      <c r="C45" s="385"/>
      <c r="D45" s="385"/>
      <c r="E45" s="385"/>
      <c r="F45" s="385"/>
      <c r="G45" s="385"/>
      <c r="H45" s="385"/>
      <c r="I45" s="385"/>
    </row>
    <row r="46" spans="1:9" x14ac:dyDescent="0.25">
      <c r="A46" s="385"/>
      <c r="B46" s="385"/>
      <c r="C46" s="385"/>
      <c r="D46" s="385"/>
      <c r="E46" s="385"/>
      <c r="F46" s="385"/>
      <c r="G46" s="385"/>
      <c r="H46" s="385"/>
      <c r="I46" s="385"/>
    </row>
    <row r="47" spans="1:9" x14ac:dyDescent="0.25">
      <c r="A47" s="385"/>
      <c r="B47" s="385"/>
      <c r="C47" s="385"/>
      <c r="D47" s="385"/>
      <c r="E47" s="385"/>
      <c r="F47" s="385"/>
      <c r="G47" s="385"/>
      <c r="H47" s="385"/>
      <c r="I47" s="385"/>
    </row>
    <row r="51" spans="2:8" ht="36" x14ac:dyDescent="0.25">
      <c r="C51" s="466" t="s">
        <v>148</v>
      </c>
      <c r="D51" s="466"/>
      <c r="E51" s="466"/>
      <c r="F51" s="466"/>
    </row>
    <row r="52" spans="2:8" ht="20.25" customHeight="1" x14ac:dyDescent="0.25">
      <c r="B52" s="105"/>
    </row>
    <row r="53" spans="2:8" ht="23.25" x14ac:dyDescent="0.25">
      <c r="B53" s="106" t="s">
        <v>149</v>
      </c>
    </row>
    <row r="55" spans="2:8" ht="21" x14ac:dyDescent="0.25">
      <c r="B55" s="107" t="s">
        <v>150</v>
      </c>
      <c r="E55" s="475" t="s">
        <v>151</v>
      </c>
      <c r="F55" s="475"/>
      <c r="G55" s="475"/>
      <c r="H55" s="108"/>
    </row>
    <row r="56" spans="2:8" ht="21" customHeight="1" x14ac:dyDescent="0.25">
      <c r="B56" s="107" t="s">
        <v>152</v>
      </c>
      <c r="E56" s="475" t="s">
        <v>153</v>
      </c>
      <c r="F56" s="475"/>
      <c r="G56" s="475"/>
      <c r="H56" s="475"/>
    </row>
    <row r="57" spans="2:8" ht="21" x14ac:dyDescent="0.25">
      <c r="B57" s="107" t="s">
        <v>154</v>
      </c>
      <c r="E57" s="475" t="s">
        <v>155</v>
      </c>
      <c r="F57" s="475"/>
      <c r="G57" s="108"/>
      <c r="H57" s="108"/>
    </row>
    <row r="59" spans="2:8" ht="23.25" x14ac:dyDescent="0.25">
      <c r="B59" s="106" t="s">
        <v>156</v>
      </c>
    </row>
    <row r="61" spans="2:8" ht="21" x14ac:dyDescent="0.25">
      <c r="B61" s="475" t="s">
        <v>157</v>
      </c>
      <c r="C61" s="475"/>
      <c r="D61" s="475"/>
      <c r="E61" s="475" t="s">
        <v>158</v>
      </c>
      <c r="F61" s="475"/>
      <c r="G61" s="475"/>
    </row>
    <row r="62" spans="2:8" ht="21" x14ac:dyDescent="0.25">
      <c r="B62" s="475" t="s">
        <v>159</v>
      </c>
      <c r="C62" s="475"/>
      <c r="D62" s="475"/>
    </row>
    <row r="64" spans="2:8" ht="21" x14ac:dyDescent="0.25">
      <c r="B64" s="107" t="s">
        <v>160</v>
      </c>
    </row>
    <row r="66" spans="1:10" ht="21" x14ac:dyDescent="0.25">
      <c r="B66" s="475" t="s">
        <v>161</v>
      </c>
      <c r="C66" s="475"/>
      <c r="D66" s="475"/>
      <c r="E66" s="475" t="s">
        <v>162</v>
      </c>
      <c r="F66" s="475"/>
      <c r="G66" s="475"/>
      <c r="H66" s="475"/>
      <c r="I66" s="475"/>
    </row>
    <row r="67" spans="1:10" ht="23.25" x14ac:dyDescent="0.25">
      <c r="B67" s="475" t="s">
        <v>163</v>
      </c>
      <c r="C67" s="475"/>
      <c r="D67" s="475"/>
      <c r="E67" s="475" t="s">
        <v>164</v>
      </c>
      <c r="F67" s="475"/>
      <c r="G67" s="475"/>
      <c r="H67" s="475"/>
      <c r="I67" s="475"/>
    </row>
    <row r="68" spans="1:10" ht="21" x14ac:dyDescent="0.25">
      <c r="B68" s="475" t="s">
        <v>165</v>
      </c>
      <c r="C68" s="475"/>
      <c r="D68" s="475"/>
      <c r="E68" s="475" t="s">
        <v>166</v>
      </c>
      <c r="F68" s="475"/>
      <c r="G68" s="475"/>
      <c r="H68" s="475"/>
      <c r="I68" s="475"/>
    </row>
    <row r="69" spans="1:10" ht="23.25" x14ac:dyDescent="0.25">
      <c r="B69" s="475" t="s">
        <v>167</v>
      </c>
      <c r="C69" s="475"/>
      <c r="D69" s="475"/>
      <c r="E69" s="475" t="s">
        <v>168</v>
      </c>
      <c r="F69" s="475"/>
      <c r="G69" s="475"/>
      <c r="H69" s="475"/>
      <c r="I69" s="108"/>
    </row>
    <row r="72" spans="1:10" ht="21" customHeight="1" x14ac:dyDescent="0.25">
      <c r="A72" s="467" t="s">
        <v>169</v>
      </c>
      <c r="B72" s="467"/>
      <c r="C72" s="467"/>
      <c r="D72" s="467"/>
      <c r="E72" s="467"/>
      <c r="F72" s="467"/>
      <c r="G72" s="467"/>
      <c r="H72" s="467"/>
      <c r="I72" s="467"/>
      <c r="J72" s="467"/>
    </row>
    <row r="73" spans="1:10" ht="21" customHeight="1" x14ac:dyDescent="0.25">
      <c r="A73" s="467"/>
      <c r="B73" s="467"/>
      <c r="C73" s="467"/>
      <c r="D73" s="467"/>
      <c r="E73" s="467"/>
      <c r="F73" s="467"/>
      <c r="G73" s="467"/>
      <c r="H73" s="467"/>
      <c r="I73" s="467"/>
      <c r="J73" s="467"/>
    </row>
    <row r="74" spans="1:10" ht="15" customHeight="1" x14ac:dyDescent="0.25">
      <c r="A74" s="467"/>
      <c r="B74" s="467"/>
      <c r="C74" s="467"/>
      <c r="D74" s="467"/>
      <c r="E74" s="467"/>
      <c r="F74" s="467"/>
      <c r="G74" s="467"/>
      <c r="H74" s="467"/>
      <c r="I74" s="467"/>
      <c r="J74" s="467"/>
    </row>
    <row r="75" spans="1:10" ht="15" customHeight="1" x14ac:dyDescent="0.25">
      <c r="A75" s="467"/>
      <c r="B75" s="467"/>
      <c r="C75" s="467"/>
      <c r="D75" s="467"/>
      <c r="E75" s="467"/>
      <c r="F75" s="467"/>
      <c r="G75" s="467"/>
      <c r="H75" s="467"/>
      <c r="I75" s="467"/>
      <c r="J75" s="467"/>
    </row>
    <row r="76" spans="1:10" x14ac:dyDescent="0.25">
      <c r="A76" s="467"/>
      <c r="B76" s="467"/>
      <c r="C76" s="467"/>
      <c r="D76" s="467"/>
      <c r="E76" s="467"/>
      <c r="F76" s="467"/>
      <c r="G76" s="467"/>
      <c r="H76" s="467"/>
      <c r="I76" s="467"/>
      <c r="J76" s="467"/>
    </row>
    <row r="77" spans="1:10" x14ac:dyDescent="0.25">
      <c r="A77" s="467"/>
      <c r="B77" s="467"/>
      <c r="C77" s="467"/>
      <c r="D77" s="467"/>
      <c r="E77" s="467"/>
      <c r="F77" s="467"/>
      <c r="G77" s="467"/>
      <c r="H77" s="467"/>
      <c r="I77" s="467"/>
      <c r="J77" s="467"/>
    </row>
    <row r="78" spans="1:10" x14ac:dyDescent="0.25">
      <c r="A78" s="467"/>
      <c r="B78" s="467"/>
      <c r="C78" s="467"/>
      <c r="D78" s="467"/>
      <c r="E78" s="467"/>
      <c r="F78" s="467"/>
      <c r="G78" s="467"/>
      <c r="H78" s="467"/>
      <c r="I78" s="467"/>
      <c r="J78" s="467"/>
    </row>
    <row r="79" spans="1:10" x14ac:dyDescent="0.25">
      <c r="A79" s="467"/>
      <c r="B79" s="467"/>
      <c r="C79" s="467"/>
      <c r="D79" s="467"/>
      <c r="E79" s="467"/>
      <c r="F79" s="467"/>
      <c r="G79" s="467"/>
      <c r="H79" s="467"/>
      <c r="I79" s="467"/>
      <c r="J79" s="467"/>
    </row>
    <row r="80" spans="1:10" x14ac:dyDescent="0.25">
      <c r="A80" s="467"/>
      <c r="B80" s="467"/>
      <c r="C80" s="467"/>
      <c r="D80" s="467"/>
      <c r="E80" s="467"/>
      <c r="F80" s="467"/>
      <c r="G80" s="467"/>
      <c r="H80" s="467"/>
      <c r="I80" s="467"/>
      <c r="J80" s="467"/>
    </row>
    <row r="81" spans="1:10" x14ac:dyDescent="0.25">
      <c r="A81" s="467"/>
      <c r="B81" s="467"/>
      <c r="C81" s="467"/>
      <c r="D81" s="467"/>
      <c r="E81" s="467"/>
      <c r="F81" s="467"/>
      <c r="G81" s="467"/>
      <c r="H81" s="467"/>
      <c r="I81" s="467"/>
      <c r="J81" s="467"/>
    </row>
    <row r="85" spans="1:10" ht="36" x14ac:dyDescent="0.25">
      <c r="C85" s="466" t="s">
        <v>170</v>
      </c>
      <c r="D85" s="466"/>
      <c r="E85" s="466"/>
      <c r="F85" s="466"/>
      <c r="G85" s="466"/>
    </row>
    <row r="87" spans="1:10" ht="26.25" x14ac:dyDescent="0.25">
      <c r="B87" s="109" t="s">
        <v>171</v>
      </c>
    </row>
    <row r="89" spans="1:10" ht="21" x14ac:dyDescent="0.25">
      <c r="B89" s="107" t="s">
        <v>172</v>
      </c>
      <c r="C89" s="107"/>
      <c r="E89" s="107"/>
      <c r="F89" s="107"/>
      <c r="G89" s="107"/>
      <c r="H89" s="108"/>
    </row>
    <row r="90" spans="1:10" ht="21" x14ac:dyDescent="0.25">
      <c r="B90" s="107" t="s">
        <v>173</v>
      </c>
      <c r="C90" s="107"/>
      <c r="E90" s="107"/>
      <c r="F90" s="107"/>
      <c r="G90" s="107"/>
      <c r="H90" s="108"/>
    </row>
    <row r="91" spans="1:10" ht="21" x14ac:dyDescent="0.25">
      <c r="B91" s="107" t="s">
        <v>174</v>
      </c>
      <c r="C91" s="107"/>
      <c r="E91" s="107"/>
      <c r="F91" s="107"/>
      <c r="G91" s="107"/>
      <c r="H91" s="108"/>
    </row>
    <row r="92" spans="1:10" ht="21" x14ac:dyDescent="0.25">
      <c r="B92" s="107" t="s">
        <v>175</v>
      </c>
      <c r="C92" s="107"/>
      <c r="E92" s="107"/>
      <c r="F92" s="107"/>
      <c r="G92" s="107"/>
      <c r="H92" s="108"/>
    </row>
    <row r="93" spans="1:10" ht="21" x14ac:dyDescent="0.25">
      <c r="B93" s="110"/>
      <c r="C93" s="110"/>
      <c r="E93" s="107"/>
      <c r="F93" s="107"/>
      <c r="G93" s="107"/>
      <c r="H93" s="108"/>
    </row>
    <row r="94" spans="1:10" ht="17.25" x14ac:dyDescent="0.25">
      <c r="A94" s="111"/>
      <c r="C94" s="111"/>
      <c r="D94" s="111"/>
    </row>
    <row r="95" spans="1:10" ht="17.25" x14ac:dyDescent="0.25">
      <c r="A95" s="111"/>
      <c r="B95" s="111"/>
      <c r="C95" s="114"/>
      <c r="D95" s="114"/>
    </row>
    <row r="96" spans="1:10" ht="17.25" x14ac:dyDescent="0.25">
      <c r="A96" s="111"/>
      <c r="B96" s="111"/>
      <c r="C96" s="449" t="s">
        <v>10</v>
      </c>
      <c r="D96" s="449"/>
      <c r="E96" s="450"/>
      <c r="F96" s="450"/>
      <c r="G96" s="450"/>
      <c r="H96" s="451"/>
    </row>
    <row r="97" spans="1:9" ht="30" x14ac:dyDescent="0.25">
      <c r="A97" s="111"/>
      <c r="B97" s="111"/>
      <c r="C97" s="449"/>
      <c r="D97" s="449"/>
      <c r="E97" s="3" t="s">
        <v>15</v>
      </c>
      <c r="F97" s="20" t="s">
        <v>17</v>
      </c>
      <c r="G97" s="20" t="s">
        <v>24</v>
      </c>
      <c r="H97" s="20" t="s">
        <v>25</v>
      </c>
    </row>
    <row r="98" spans="1:9" ht="17.25" x14ac:dyDescent="0.25">
      <c r="A98" s="111"/>
      <c r="B98" s="111"/>
      <c r="C98" s="445" t="str">
        <f>CONCATENATE("Sonde ", D79)</f>
        <v xml:space="preserve">Sonde </v>
      </c>
      <c r="D98" s="446"/>
      <c r="E98" s="10"/>
      <c r="F98" s="10"/>
      <c r="G98" s="10"/>
      <c r="H98" s="10"/>
    </row>
    <row r="99" spans="1:9" ht="17.25" x14ac:dyDescent="0.25">
      <c r="A99" s="111"/>
      <c r="B99" s="111"/>
      <c r="C99" s="445" t="str">
        <f t="shared" ref="C99:C106" si="0">"Sonde " &amp; D80</f>
        <v xml:space="preserve">Sonde </v>
      </c>
      <c r="D99" s="446"/>
      <c r="E99" s="10"/>
      <c r="F99" s="10"/>
      <c r="G99" s="10"/>
      <c r="H99" s="10"/>
    </row>
    <row r="100" spans="1:9" ht="17.25" x14ac:dyDescent="0.25">
      <c r="A100" s="111"/>
      <c r="B100" s="111"/>
      <c r="C100" s="445" t="str">
        <f t="shared" si="0"/>
        <v xml:space="preserve">Sonde </v>
      </c>
      <c r="D100" s="446"/>
      <c r="E100" s="10"/>
      <c r="F100" s="10"/>
      <c r="G100" s="10"/>
      <c r="H100" s="10"/>
    </row>
    <row r="101" spans="1:9" ht="17.25" x14ac:dyDescent="0.25">
      <c r="A101" s="111"/>
      <c r="B101" s="111"/>
      <c r="C101" s="445" t="str">
        <f t="shared" si="0"/>
        <v xml:space="preserve">Sonde </v>
      </c>
      <c r="D101" s="446"/>
      <c r="E101" s="10"/>
      <c r="F101" s="10"/>
      <c r="G101" s="10"/>
      <c r="H101" s="10"/>
    </row>
    <row r="102" spans="1:9" ht="17.25" x14ac:dyDescent="0.25">
      <c r="A102" s="111"/>
      <c r="B102" s="111"/>
      <c r="C102" s="445" t="str">
        <f t="shared" si="0"/>
        <v xml:space="preserve">Sonde </v>
      </c>
      <c r="D102" s="446"/>
      <c r="E102" s="10"/>
      <c r="F102" s="10"/>
      <c r="G102" s="10"/>
      <c r="H102" s="10"/>
    </row>
    <row r="103" spans="1:9" ht="17.25" x14ac:dyDescent="0.25">
      <c r="A103" s="111"/>
      <c r="B103" s="111"/>
      <c r="C103" s="445" t="str">
        <f t="shared" si="0"/>
        <v xml:space="preserve">Sonde </v>
      </c>
      <c r="D103" s="446"/>
      <c r="E103" s="10"/>
      <c r="F103" s="10"/>
      <c r="G103" s="10"/>
      <c r="H103" s="10"/>
    </row>
    <row r="104" spans="1:9" ht="17.25" x14ac:dyDescent="0.25">
      <c r="A104" s="111"/>
      <c r="B104" s="111"/>
      <c r="C104" s="445" t="str">
        <f t="shared" si="0"/>
        <v xml:space="preserve">Sonde </v>
      </c>
      <c r="D104" s="446"/>
      <c r="E104" s="10"/>
      <c r="F104" s="10"/>
      <c r="G104" s="10"/>
      <c r="H104" s="10"/>
    </row>
    <row r="105" spans="1:9" ht="17.25" x14ac:dyDescent="0.25">
      <c r="A105" s="111"/>
      <c r="B105" s="111"/>
      <c r="C105" s="445" t="str">
        <f t="shared" si="0"/>
        <v xml:space="preserve">Sonde </v>
      </c>
      <c r="D105" s="446"/>
      <c r="E105" s="10"/>
      <c r="F105" s="10"/>
      <c r="G105" s="10"/>
      <c r="H105" s="10"/>
    </row>
    <row r="106" spans="1:9" ht="17.25" x14ac:dyDescent="0.25">
      <c r="A106" s="111"/>
      <c r="B106" s="111"/>
      <c r="C106" s="445" t="str">
        <f t="shared" si="0"/>
        <v xml:space="preserve">Sonde </v>
      </c>
      <c r="D106" s="446"/>
      <c r="E106" s="10"/>
      <c r="F106" s="10"/>
      <c r="G106" s="10"/>
      <c r="H106" s="10"/>
    </row>
    <row r="107" spans="1:9" ht="17.25" x14ac:dyDescent="0.25">
      <c r="A107" s="111"/>
      <c r="B107" s="111"/>
      <c r="C107" s="111"/>
      <c r="D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9" t="s">
        <v>176</v>
      </c>
      <c r="C116" s="469"/>
      <c r="D116" s="469"/>
      <c r="E116" s="469"/>
      <c r="F116" s="469"/>
    </row>
    <row r="118" spans="1:9" ht="26.25" x14ac:dyDescent="0.25">
      <c r="B118" s="109" t="s">
        <v>177</v>
      </c>
    </row>
    <row r="119" spans="1:9" ht="21" x14ac:dyDescent="0.3">
      <c r="E119" s="107" t="s">
        <v>178</v>
      </c>
      <c r="F119" s="107"/>
      <c r="G119" s="116">
        <f>Mesures_Sechoir!$M$42</f>
        <v>0</v>
      </c>
    </row>
    <row r="120" spans="1:9" ht="21" x14ac:dyDescent="0.3">
      <c r="B120" s="117" t="s">
        <v>179</v>
      </c>
      <c r="C120" s="107" t="s">
        <v>180</v>
      </c>
      <c r="E120" s="107" t="s">
        <v>181</v>
      </c>
      <c r="F120" s="107"/>
      <c r="G120" s="116">
        <f>Mesures_Sechoir!$N$42</f>
        <v>0</v>
      </c>
    </row>
    <row r="121" spans="1:9" ht="21" x14ac:dyDescent="0.25">
      <c r="B121" s="117" t="s">
        <v>182</v>
      </c>
      <c r="C121" s="110" t="s">
        <v>183</v>
      </c>
      <c r="E121" s="107" t="s">
        <v>184</v>
      </c>
      <c r="F121" s="107"/>
      <c r="G121" s="118">
        <f>Mesures_Sechoir!$O$42</f>
        <v>0</v>
      </c>
    </row>
    <row r="122" spans="1:9" ht="21" x14ac:dyDescent="0.35">
      <c r="B122" s="119" t="s">
        <v>185</v>
      </c>
      <c r="C122" s="120" t="s">
        <v>186</v>
      </c>
      <c r="E122" s="107" t="s">
        <v>187</v>
      </c>
      <c r="F122" s="107"/>
      <c r="G122" s="121" t="e">
        <f>"±" &amp;  SUBSTITUTE(ROUND(AVERAGE(Mesures_Sechoir!$D$23:$D$34),2),"-"," ") &amp; "°C"</f>
        <v>#DIV/0!</v>
      </c>
    </row>
    <row r="127" spans="1:9" ht="36" x14ac:dyDescent="0.25">
      <c r="C127" s="466" t="s">
        <v>188</v>
      </c>
      <c r="D127" s="466"/>
      <c r="E127" s="466"/>
      <c r="F127" s="466"/>
    </row>
    <row r="128" spans="1:9" ht="36" x14ac:dyDescent="0.25">
      <c r="B128" s="104"/>
      <c r="C128" s="104"/>
      <c r="D128" s="104"/>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6" t="s">
        <v>289</v>
      </c>
      <c r="D163" s="466"/>
      <c r="E163" s="466"/>
      <c r="F163" s="466"/>
      <c r="G163" s="466"/>
      <c r="H163" s="466"/>
    </row>
    <row r="167" spans="1:8" x14ac:dyDescent="0.25">
      <c r="A167" s="122" t="str" cm="1">
        <f t="array" ref="A167:C176">Mesures_Sechoir!A22:C31</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96" spans="1:9" ht="36" x14ac:dyDescent="0.25">
      <c r="C196" s="466" t="str">
        <f>"6. Résultats et exploitation des résultats à " &amp; Mesures_Sechoir!B19 &amp; "°C"</f>
        <v>6. Résultats et exploitation des résultats à °C</v>
      </c>
      <c r="D196" s="466"/>
      <c r="E196" s="466"/>
      <c r="F196" s="466"/>
      <c r="G196" s="466"/>
      <c r="H196" s="466"/>
    </row>
    <row r="200" spans="1:9" x14ac:dyDescent="0.25">
      <c r="A200" s="122" t="str" cm="1">
        <f t="array" ref="A200:B201">Mesures_Sechoir!$A$19:$B$20</f>
        <v>Consignes</v>
      </c>
      <c r="B200" s="124">
        <v>0</v>
      </c>
      <c r="G200" s="470" t="s">
        <v>191</v>
      </c>
      <c r="H200" s="471"/>
      <c r="I200" s="472"/>
    </row>
    <row r="201" spans="1:9" x14ac:dyDescent="0.25">
      <c r="A201" s="122" t="str">
        <v>Tolérances +/-</v>
      </c>
      <c r="B201" s="124">
        <v>0</v>
      </c>
      <c r="G201" s="22" t="s">
        <v>192</v>
      </c>
      <c r="H201" s="22" t="s">
        <v>193</v>
      </c>
      <c r="I201" s="22" t="s">
        <v>194</v>
      </c>
    </row>
    <row r="202" spans="1:9" x14ac:dyDescent="0.25">
      <c r="G202" s="125" t="e" cm="1">
        <f t="array" ref="G202">INDEX(Valeurs_Brutes_Congel[Date/Heure], COUNTA(Valeurs_Brutes_Congel[Date/Heure])-30)</f>
        <v>#VALUE!</v>
      </c>
      <c r="H202" s="125" cm="1">
        <f t="array" ref="H202">INDEX(Valeurs_Brutes_Congel[Date/Heure], COUNTA(Valeurs_Brutes_Congel[Date/Heure]))</f>
        <v>0</v>
      </c>
      <c r="I202" s="125" t="e">
        <f>H202-G202</f>
        <v>#VALUE!</v>
      </c>
    </row>
    <row r="205" spans="1:9" ht="23.25" x14ac:dyDescent="0.25">
      <c r="B205" s="473" t="s">
        <v>195</v>
      </c>
      <c r="C205" s="473"/>
    </row>
    <row r="208" spans="1:9" ht="30" x14ac:dyDescent="0.25">
      <c r="B208" s="126" t="s">
        <v>196</v>
      </c>
      <c r="C208" s="127" t="s">
        <v>197</v>
      </c>
      <c r="D208" s="127" t="s">
        <v>112</v>
      </c>
      <c r="E208" s="128" t="s">
        <v>198</v>
      </c>
      <c r="F208" s="127" t="s">
        <v>199</v>
      </c>
    </row>
    <row r="209" spans="1:6" x14ac:dyDescent="0.25">
      <c r="B209" s="129" t="s">
        <v>200</v>
      </c>
      <c r="C209" s="130" t="str">
        <f>B200 &amp; "°C"</f>
        <v>0°C</v>
      </c>
      <c r="D209" s="130" t="s">
        <v>201</v>
      </c>
      <c r="E209" s="130" t="s">
        <v>201</v>
      </c>
      <c r="F209" s="131" t="s">
        <v>201</v>
      </c>
    </row>
    <row r="210" spans="1:6" x14ac:dyDescent="0.25">
      <c r="B210" s="129" t="s">
        <v>202</v>
      </c>
      <c r="C210" s="130" t="str">
        <f>B200 &amp; "°C"</f>
        <v>0°C</v>
      </c>
      <c r="D210" s="130" t="s">
        <v>201</v>
      </c>
      <c r="E210" s="130" t="s">
        <v>201</v>
      </c>
      <c r="F210" s="131" t="s">
        <v>201</v>
      </c>
    </row>
    <row r="211" spans="1:6" ht="15" customHeight="1" x14ac:dyDescent="0.25">
      <c r="A211" s="474" t="s">
        <v>203</v>
      </c>
      <c r="B211" s="129" t="s">
        <v>204</v>
      </c>
      <c r="C211" s="132" t="e">
        <f ca="1">MAX(Sechoir!C16:N16)</f>
        <v>#REF!</v>
      </c>
      <c r="D211" s="130" t="e">
        <f ca="1">_xlfn.XLOOKUP(INT(SUBSTITUTE(E211,"Connecteur ","")),Mesures_Sechoir!$C$23:$C$34,Mesures_Sechoir!$A$23:$A$34)</f>
        <v>#REF!</v>
      </c>
      <c r="E211" s="130" t="e" cm="1">
        <f t="array" aca="1" ref="E211" ca="1">_xlfn.XLOOKUP(C211,Sechoir!C16:N16,_xlfn.ANCHORARRAY(Sechoir!C14))</f>
        <v>#REF!</v>
      </c>
      <c r="F211" s="130" t="e">
        <f ca="1">_xlfn.XLOOKUP(INT(SUBSTITUTE(E211,"Connecteur ","")),Mesures_Sechoir!$C$23:$C$34,Mesures_Sechoir!$B$23:$B$34)</f>
        <v>#REF!</v>
      </c>
    </row>
    <row r="212" spans="1:6" x14ac:dyDescent="0.25">
      <c r="A212" s="474"/>
      <c r="B212" s="129" t="s">
        <v>205</v>
      </c>
      <c r="C212" s="132" t="e">
        <f ca="1">MIN(Sechoir!C16:N16)</f>
        <v>#REF!</v>
      </c>
      <c r="D212" s="130" t="e">
        <f ca="1">_xlfn.XLOOKUP(INT(SUBSTITUTE(E212,"Connecteur ","")),Mesures_Sechoir!$C$23:$C$34,Mesures_Sechoir!$A$23:$A$34)</f>
        <v>#REF!</v>
      </c>
      <c r="E212" s="130" t="e" cm="1">
        <f t="array" aca="1" ref="E212" ca="1">_xlfn.XLOOKUP(C212,Sechoir!C16:N16,_xlfn.ANCHORARRAY(Sechoir!C14))</f>
        <v>#REF!</v>
      </c>
      <c r="F212" s="131" t="e">
        <f ca="1">_xlfn.XLOOKUP(INT(SUBSTITUTE(E212,"Connecteur ","")),Mesures_Sechoir!$C$23:$C$34,Mesures_Sechoir!$B$23:$B$34)</f>
        <v>#REF!</v>
      </c>
    </row>
    <row r="213" spans="1:6" ht="34.5" customHeight="1" x14ac:dyDescent="0.25">
      <c r="A213" s="474"/>
      <c r="B213" s="129" t="s">
        <v>206</v>
      </c>
      <c r="C213" s="132" t="e">
        <f ca="1">MIN(Sechoir!C17:N17)</f>
        <v>#REF!</v>
      </c>
      <c r="D213" s="130" t="e">
        <f ca="1">_xlfn.XLOOKUP(INT(SUBSTITUTE(E213,"Connecteur ","")),Mesures_Sechoir!$C$23:$C$34,Mesures_Sechoir!$A$23:$A$34)</f>
        <v>#REF!</v>
      </c>
      <c r="E213" s="130" t="e" cm="1">
        <f t="array" aca="1" ref="E213" ca="1">_xlfn.XLOOKUP(C213,Sechoir!C16:N16,_xlfn.ANCHORARRAY(Sechoir!C14))</f>
        <v>#REF!</v>
      </c>
      <c r="F213" s="131" t="e">
        <f ca="1">_xlfn.XLOOKUP(INT(SUBSTITUTE(E213,"Connecteur ","")),Mesures_Sechoir!$C$23:$C$34,Mesures_Sechoir!$B$23:$B$34)</f>
        <v>#REF!</v>
      </c>
    </row>
    <row r="214" spans="1:6" x14ac:dyDescent="0.25">
      <c r="A214" s="474"/>
      <c r="B214" s="129" t="s">
        <v>207</v>
      </c>
      <c r="C214" s="132" t="e">
        <f ca="1">Sechoir!C21</f>
        <v>#REF!</v>
      </c>
      <c r="D214" s="130" t="s">
        <v>201</v>
      </c>
      <c r="E214" s="130" t="s">
        <v>201</v>
      </c>
      <c r="F214" s="131" t="s">
        <v>201</v>
      </c>
    </row>
    <row r="215" spans="1:6" x14ac:dyDescent="0.25">
      <c r="C215" s="89"/>
      <c r="D215" s="89"/>
      <c r="E215" s="89"/>
      <c r="F215" s="89"/>
    </row>
    <row r="226" spans="2:9" ht="36" x14ac:dyDescent="0.25">
      <c r="B226" s="466" t="s">
        <v>287</v>
      </c>
      <c r="C226" s="466"/>
      <c r="D226" s="466"/>
      <c r="E226" s="466"/>
      <c r="F226" s="466"/>
    </row>
    <row r="229" spans="2:9" x14ac:dyDescent="0.25">
      <c r="B229" s="342" t="s">
        <v>209</v>
      </c>
      <c r="C229" s="342"/>
    </row>
    <row r="232" spans="2:9" x14ac:dyDescent="0.25">
      <c r="C232" s="27"/>
      <c r="D232" s="27"/>
      <c r="E232" s="27"/>
      <c r="F232" s="461" t="s">
        <v>191</v>
      </c>
      <c r="G232" s="463"/>
      <c r="H232" s="463"/>
      <c r="I232" s="462"/>
    </row>
    <row r="233" spans="2:9" ht="30" x14ac:dyDescent="0.25">
      <c r="C233" s="36" t="s">
        <v>9</v>
      </c>
      <c r="D233" s="36" t="s">
        <v>12</v>
      </c>
      <c r="E233" s="133" t="s">
        <v>210</v>
      </c>
      <c r="F233" s="36" t="s">
        <v>211</v>
      </c>
      <c r="G233" s="36" t="s">
        <v>212</v>
      </c>
      <c r="H233" s="36" t="s">
        <v>213</v>
      </c>
      <c r="I233" s="36" t="s">
        <v>214</v>
      </c>
    </row>
    <row r="234" spans="2:9" x14ac:dyDescent="0.25">
      <c r="C234" s="38" cm="1">
        <f t="array" ref="C234:E245">Mesures_Sechoir!$A$23:$C$34</f>
        <v>1</v>
      </c>
      <c r="D234" s="38">
        <v>0</v>
      </c>
      <c r="E234" s="38">
        <v>0</v>
      </c>
      <c r="F234" s="134" t="e" cm="1">
        <f t="array" ref="F234">_xlfn.XLOOKUP(SUBSTITUTE(Sechoir_PV!E234,Sechoir_PV!E234,"Connecteur " &amp; Sechoir_PV!E234),_xlfn.ANCHORARRAY(Sechoir!C14),Sechoir!C17:N17)</f>
        <v>#VALUE!</v>
      </c>
      <c r="G234" s="134" t="e" cm="1">
        <f t="array" ref="G234">_xlfn.XLOOKUP(SUBSTITUTE(Sechoir_PV!E234,Sechoir_PV!E234,"Connecteur " &amp; Sechoir_PV!E234),_xlfn.ANCHORARRAY(Sechoir!C14),Sechoir!C16:N16)</f>
        <v>#VALUE!</v>
      </c>
      <c r="H234" s="134" t="e" cm="1">
        <f t="array" ref="H234">_xlfn.XLOOKUP(SUBSTITUTE(Sechoir_PV!E234,Sechoir_PV!E234,"Connecteur " &amp; Sechoir_PV!E234),_xlfn.ANCHORARRAY(Sechoir!C14),Sechoir!C18:N18)</f>
        <v>#VALUE!</v>
      </c>
      <c r="I234" s="134" t="e" cm="1">
        <f t="array" ref="I234">_xlfn.XLOOKUP(SUBSTITUTE(Sechoir_PV!E234,Sechoir_PV!E234,"Connecteur " &amp; Sechoir_PV!E234),_xlfn.ANCHORARRAY(Sechoir!C14),Sechoir!C19:N19)</f>
        <v>#VALUE!</v>
      </c>
    </row>
    <row r="235" spans="2:9" x14ac:dyDescent="0.25">
      <c r="C235" s="38">
        <v>2</v>
      </c>
      <c r="D235" s="38">
        <v>0</v>
      </c>
      <c r="E235" s="38">
        <v>0</v>
      </c>
      <c r="F235" s="134" t="e" cm="1">
        <f t="array" ref="F235">_xlfn.XLOOKUP(SUBSTITUTE(Sechoir_PV!E235,Sechoir_PV!E235,"Connecteur " &amp; Sechoir_PV!E235),_xlfn.ANCHORARRAY(Sechoir!C14),Sechoir!C17:N17)</f>
        <v>#VALUE!</v>
      </c>
      <c r="G235" s="134" t="e" cm="1">
        <f t="array" ref="G235">_xlfn.XLOOKUP(SUBSTITUTE(Sechoir_PV!E235,Sechoir_PV!E235,"Connecteur " &amp; Sechoir_PV!E235),_xlfn.ANCHORARRAY(Sechoir!C14),Sechoir!C16:N16)</f>
        <v>#VALUE!</v>
      </c>
      <c r="H235" s="134" t="e" cm="1">
        <f t="array" ref="H235">_xlfn.XLOOKUP(SUBSTITUTE(Sechoir_PV!E235,Sechoir_PV!E235,"Connecteur " &amp; Sechoir_PV!E235),_xlfn.ANCHORARRAY(Sechoir!C14),Sechoir!C18:N18)</f>
        <v>#VALUE!</v>
      </c>
      <c r="I235" s="134" t="e" cm="1">
        <f t="array" ref="I235">_xlfn.XLOOKUP(SUBSTITUTE(Sechoir_PV!E235,Sechoir_PV!E235,"Connecteur " &amp; Sechoir_PV!E235),_xlfn.ANCHORARRAY(Sechoir!C14),Sechoir!C19:N19)</f>
        <v>#VALUE!</v>
      </c>
    </row>
    <row r="236" spans="2:9" x14ac:dyDescent="0.25">
      <c r="C236" s="38">
        <v>3</v>
      </c>
      <c r="D236" s="38">
        <v>0</v>
      </c>
      <c r="E236" s="38">
        <v>0</v>
      </c>
      <c r="F236" s="134" t="e" cm="1">
        <f t="array" ref="F236">_xlfn.XLOOKUP(SUBSTITUTE(Sechoir_PV!E236,Sechoir_PV!E236,"Connecteur " &amp; Sechoir_PV!E236),_xlfn.ANCHORARRAY(Sechoir!C14),Sechoir!C17:N17)</f>
        <v>#VALUE!</v>
      </c>
      <c r="G236" s="134" t="e" cm="1">
        <f t="array" ref="G236">_xlfn.XLOOKUP(SUBSTITUTE(Sechoir_PV!E236,Sechoir_PV!E236,"Connecteur " &amp; Sechoir_PV!E236),_xlfn.ANCHORARRAY(Sechoir!C14),Sechoir!C16:N16)</f>
        <v>#VALUE!</v>
      </c>
      <c r="H236" s="134" t="e" cm="1">
        <f t="array" ref="H236">_xlfn.XLOOKUP(SUBSTITUTE(Sechoir_PV!E236,Sechoir_PV!E236,"Connecteur " &amp; Sechoir_PV!E236),_xlfn.ANCHORARRAY(Sechoir!C14),Sechoir!C18:N18)</f>
        <v>#VALUE!</v>
      </c>
      <c r="I236" s="134" t="e" cm="1">
        <f t="array" ref="I236">_xlfn.XLOOKUP(SUBSTITUTE(Sechoir_PV!E236,Sechoir_PV!E236,"Connecteur " &amp; Sechoir_PV!E236),_xlfn.ANCHORARRAY(Sechoir!C14),Sechoir!C19:N19)</f>
        <v>#VALUE!</v>
      </c>
    </row>
    <row r="237" spans="2:9" x14ac:dyDescent="0.25">
      <c r="C237" s="38">
        <v>4</v>
      </c>
      <c r="D237" s="38">
        <v>0</v>
      </c>
      <c r="E237" s="38">
        <v>0</v>
      </c>
      <c r="F237" s="134" t="e" cm="1">
        <f t="array" ref="F237">_xlfn.XLOOKUP(SUBSTITUTE(Sechoir_PV!E237,Sechoir_PV!E237,"Connecteur " &amp; Sechoir_PV!E237),_xlfn.ANCHORARRAY(Sechoir!C14),Sechoir!C17:N17)</f>
        <v>#VALUE!</v>
      </c>
      <c r="G237" s="134" t="e" cm="1">
        <f t="array" ref="G237">_xlfn.XLOOKUP(SUBSTITUTE(Sechoir_PV!E237,Sechoir_PV!E237,"Connecteur " &amp; Sechoir_PV!E237),_xlfn.ANCHORARRAY(Sechoir!C14),Sechoir!C16:N16)</f>
        <v>#VALUE!</v>
      </c>
      <c r="H237" s="134" t="e" cm="1">
        <f t="array" ref="H237">_xlfn.XLOOKUP(SUBSTITUTE(Sechoir_PV!E237,Sechoir_PV!E237,"Connecteur " &amp; Sechoir_PV!E237),_xlfn.ANCHORARRAY(Sechoir!C14),Sechoir!C18:N18)</f>
        <v>#VALUE!</v>
      </c>
      <c r="I237" s="134" t="e" cm="1">
        <f t="array" ref="I237">_xlfn.XLOOKUP(SUBSTITUTE(Sechoir_PV!E237,Sechoir_PV!E237,"Connecteur " &amp; Sechoir_PV!E237),_xlfn.ANCHORARRAY(Sechoir!C14),Sechoir!C19:N19)</f>
        <v>#VALUE!</v>
      </c>
    </row>
    <row r="238" spans="2:9" x14ac:dyDescent="0.25">
      <c r="C238" s="38">
        <v>5</v>
      </c>
      <c r="D238" s="38">
        <v>0</v>
      </c>
      <c r="E238" s="38">
        <v>0</v>
      </c>
      <c r="F238" s="134" t="e" cm="1">
        <f t="array" ref="F238">_xlfn.XLOOKUP(SUBSTITUTE(Sechoir_PV!E238,Sechoir_PV!E238,"Connecteur " &amp; Sechoir_PV!E238),_xlfn.ANCHORARRAY(Sechoir!C14),Sechoir!C17:N17)</f>
        <v>#VALUE!</v>
      </c>
      <c r="G238" s="134" t="e" cm="1">
        <f t="array" ref="G238">_xlfn.XLOOKUP(SUBSTITUTE(Sechoir_PV!E238,Sechoir_PV!E238,"Connecteur "&amp;Sechoir_PV!E238),_xlfn.ANCHORARRAY(Sechoir!C14),Sechoir!C16:N16)</f>
        <v>#VALUE!</v>
      </c>
      <c r="H238" s="134" t="e" cm="1">
        <f t="array" ref="H238">_xlfn.XLOOKUP(SUBSTITUTE(Sechoir_PV!E238,Sechoir_PV!E238,"Connecteur " &amp; Sechoir_PV!E238),_xlfn.ANCHORARRAY(Sechoir!C14),Sechoir!C18:N18)</f>
        <v>#VALUE!</v>
      </c>
      <c r="I238" s="134" t="e" cm="1">
        <f t="array" ref="I238">_xlfn.XLOOKUP(SUBSTITUTE(Sechoir_PV!E238,Sechoir_PV!E238,"Connecteur " &amp; Sechoir_PV!E238),_xlfn.ANCHORARRAY(Sechoir!C14),Sechoir!C19:N19)</f>
        <v>#VALUE!</v>
      </c>
    </row>
    <row r="239" spans="2:9" x14ac:dyDescent="0.25">
      <c r="C239" s="38">
        <v>6</v>
      </c>
      <c r="D239" s="38">
        <v>0</v>
      </c>
      <c r="E239" s="38">
        <v>0</v>
      </c>
      <c r="F239" s="134" t="e" cm="1">
        <f t="array" ref="F239">_xlfn.XLOOKUP(SUBSTITUTE(Sechoir_PV!E239,Sechoir_PV!E239,"Connecteur " &amp; Sechoir_PV!E239),_xlfn.ANCHORARRAY(Sechoir!C14),Sechoir!C17:N17)</f>
        <v>#VALUE!</v>
      </c>
      <c r="G239" s="134" t="e" cm="1">
        <f t="array" ref="G239">_xlfn.XLOOKUP(SUBSTITUTE(Sechoir_PV!E239,Sechoir_PV!E239,"Connecteur " &amp; Sechoir_PV!E239),_xlfn.ANCHORARRAY(Sechoir!C14),Sechoir!C16:N16)</f>
        <v>#VALUE!</v>
      </c>
      <c r="H239" s="134" t="e" cm="1">
        <f t="array" ref="H239">_xlfn.XLOOKUP(SUBSTITUTE(Sechoir_PV!E239,Sechoir_PV!E239,"Connecteur " &amp; Sechoir_PV!E239),_xlfn.ANCHORARRAY(Sechoir!C14),Sechoir!C18:N18)</f>
        <v>#VALUE!</v>
      </c>
      <c r="I239" s="134" t="e" cm="1">
        <f t="array" ref="I239">_xlfn.XLOOKUP(SUBSTITUTE(Sechoir_PV!E239,Sechoir_PV!E239,"Connecteur " &amp; Sechoir_PV!E239),_xlfn.ANCHORARRAY(Sechoir!C14),Sechoir!C19:N19)</f>
        <v>#VALUE!</v>
      </c>
    </row>
    <row r="240" spans="2:9" x14ac:dyDescent="0.25">
      <c r="C240" s="38">
        <v>7</v>
      </c>
      <c r="D240" s="38">
        <v>0</v>
      </c>
      <c r="E240" s="38">
        <v>0</v>
      </c>
      <c r="F240" s="134" t="e" cm="1">
        <f t="array" ref="F240">_xlfn.XLOOKUP(SUBSTITUTE(Sechoir_PV!E240,Sechoir_PV!E240,"Connecteur " &amp; Sechoir_PV!E240),_xlfn.ANCHORARRAY(Sechoir!C14),Sechoir!C17:N17)</f>
        <v>#VALUE!</v>
      </c>
      <c r="G240" s="134" t="e" cm="1">
        <f t="array" ref="G240">_xlfn.XLOOKUP(SUBSTITUTE(Sechoir_PV!E240,Sechoir_PV!E240,"Connecteur " &amp; Sechoir_PV!E240),_xlfn.ANCHORARRAY(Sechoir!C14),Sechoir!C16:N16)</f>
        <v>#VALUE!</v>
      </c>
      <c r="H240" s="134" t="e" cm="1">
        <f t="array" ref="H240">_xlfn.XLOOKUP(SUBSTITUTE(Sechoir_PV!E240,Sechoir_PV!E240,"Connecteur " &amp; Sechoir_PV!E240),_xlfn.ANCHORARRAY(Sechoir!C14),Sechoir!C18:N18)</f>
        <v>#VALUE!</v>
      </c>
      <c r="I240" s="134" t="e" cm="1">
        <f t="array" ref="I240">_xlfn.XLOOKUP(SUBSTITUTE(Sechoir_PV!E240,Sechoir_PV!E240,"Connecteur " &amp; Sechoir_PV!E240),_xlfn.ANCHORARRAY(Sechoir!C14),Sechoir!C19:N19)</f>
        <v>#VALUE!</v>
      </c>
    </row>
    <row r="241" spans="2:9" x14ac:dyDescent="0.25">
      <c r="C241" s="38">
        <v>8</v>
      </c>
      <c r="D241" s="38">
        <v>0</v>
      </c>
      <c r="E241" s="38">
        <v>0</v>
      </c>
      <c r="F241" s="134" t="e" cm="1">
        <f t="array" ref="F241">_xlfn.XLOOKUP(SUBSTITUTE(Sechoir_PV!E241,Sechoir_PV!E241,"Connecteur " &amp; Sechoir_PV!E241),_xlfn.ANCHORARRAY(Sechoir!C14),Sechoir!C17:N17)</f>
        <v>#VALUE!</v>
      </c>
      <c r="G241" s="134" t="e" cm="1">
        <f t="array" ref="G241">_xlfn.XLOOKUP(SUBSTITUTE(Sechoir_PV!E241,Sechoir_PV!E241,"Connecteur " &amp; Sechoir_PV!E241),_xlfn.ANCHORARRAY(Sechoir!C14),Sechoir!C16:N16)</f>
        <v>#VALUE!</v>
      </c>
      <c r="H241" s="134" t="e" cm="1">
        <f t="array" ref="H241">_xlfn.XLOOKUP(SUBSTITUTE(Sechoir_PV!E241,Sechoir_PV!E241,"Connecteur " &amp; Sechoir_PV!E241),_xlfn.ANCHORARRAY(Sechoir!C14),Sechoir!C18:N18)</f>
        <v>#VALUE!</v>
      </c>
      <c r="I241" s="134" t="e" cm="1">
        <f t="array" ref="I241">_xlfn.XLOOKUP(SUBSTITUTE(Sechoir_PV!E241,Sechoir_PV!E241,"Connecteur " &amp; Sechoir_PV!E241),_xlfn.ANCHORARRAY(Sechoir!C14),Sechoir!C19:N19)</f>
        <v>#VALUE!</v>
      </c>
    </row>
    <row r="242" spans="2:9" x14ac:dyDescent="0.25">
      <c r="C242" s="38">
        <v>9</v>
      </c>
      <c r="D242" s="38">
        <v>0</v>
      </c>
      <c r="E242" s="38">
        <v>0</v>
      </c>
      <c r="F242" s="134" t="e" cm="1">
        <f t="array" ref="F242">_xlfn.XLOOKUP(SUBSTITUTE(Sechoir_PV!E242,Sechoir_PV!E242,"Connecteur " &amp; Sechoir_PV!E242),_xlfn.ANCHORARRAY(Sechoir!C14),Sechoir!C17:N17)</f>
        <v>#VALUE!</v>
      </c>
      <c r="G242" s="134" t="e" cm="1">
        <f t="array" ref="G242">_xlfn.XLOOKUP(SUBSTITUTE(Sechoir_PV!E242,Sechoir_PV!E242,"Connecteur " &amp; Sechoir_PV!E242),_xlfn.ANCHORARRAY(Sechoir!C14),Sechoir!C16:N16)</f>
        <v>#VALUE!</v>
      </c>
      <c r="H242" s="134" t="e" cm="1">
        <f t="array" ref="H242">_xlfn.XLOOKUP(SUBSTITUTE(Sechoir_PV!E242,Sechoir_PV!E242,"Connecteur " &amp; Sechoir_PV!E242),_xlfn.ANCHORARRAY(Sechoir!C14),Sechoir!C18:N18)</f>
        <v>#VALUE!</v>
      </c>
      <c r="I242" s="134" t="e" cm="1">
        <f t="array" ref="I242">_xlfn.XLOOKUP(SUBSTITUTE(Sechoir_PV!E242,Sechoir_PV!E242,"Connecteur " &amp; Sechoir_PV!E242),_xlfn.ANCHORARRAY(Sechoir!C14),Sechoir!C19:N19)</f>
        <v>#VALUE!</v>
      </c>
    </row>
    <row r="243" spans="2:9" x14ac:dyDescent="0.25">
      <c r="C243" s="38">
        <v>0</v>
      </c>
      <c r="D243" s="38">
        <v>0</v>
      </c>
      <c r="E243" s="38">
        <v>0</v>
      </c>
      <c r="F243" s="134" t="e" cm="1">
        <f t="array" ref="F243">_xlfn.XLOOKUP(SUBSTITUTE(Sechoir_PV!E243,Sechoir_PV!E243,"Connecteur " &amp; Sechoir_PV!E243),_xlfn.ANCHORARRAY(Sechoir!C14),Sechoir!C17:N17)</f>
        <v>#VALUE!</v>
      </c>
      <c r="G243" s="134" t="e" cm="1">
        <f t="array" ref="G243">_xlfn.XLOOKUP(SUBSTITUTE(Sechoir_PV!E243,Sechoir_PV!E243,"Connecteur " &amp; Sechoir_PV!E243),_xlfn.ANCHORARRAY(Sechoir!C14),Sechoir!C16:N16)</f>
        <v>#VALUE!</v>
      </c>
      <c r="H243" s="134" t="e" cm="1">
        <f t="array" ref="H243">_xlfn.XLOOKUP(SUBSTITUTE(Sechoir_PV!E243,Sechoir_PV!E243,"Connecteur " &amp; Sechoir_PV!E243),_xlfn.ANCHORARRAY(Sechoir!C14),Sechoir!C18:N18)</f>
        <v>#VALUE!</v>
      </c>
      <c r="I243" s="134" t="e" cm="1">
        <f t="array" ref="I243">_xlfn.XLOOKUP(SUBSTITUTE(Sechoir_PV!E243,Sechoir_PV!E243,"Connecteur " &amp; Sechoir_PV!E243),_xlfn.ANCHORARRAY(Sechoir!C14),Sechoir!C19:N19)</f>
        <v>#VALUE!</v>
      </c>
    </row>
    <row r="244" spans="2:9" x14ac:dyDescent="0.25">
      <c r="C244" s="38">
        <v>0</v>
      </c>
      <c r="D244" s="38">
        <v>0</v>
      </c>
      <c r="E244" s="38">
        <v>0</v>
      </c>
      <c r="F244" s="134" t="e" cm="1">
        <f t="array" ref="F244">_xlfn.XLOOKUP(SUBSTITUTE(Sechoir_PV!E244,Sechoir_PV!E244,"Connecteur " &amp; Sechoir_PV!E244),_xlfn.ANCHORARRAY(Sechoir!C14),Sechoir!C17:N17)</f>
        <v>#VALUE!</v>
      </c>
      <c r="G244" s="134" t="e" cm="1">
        <f t="array" ref="G244">_xlfn.XLOOKUP(SUBSTITUTE(Sechoir_PV!E244,Sechoir_PV!E244,"Connecteur " &amp; Sechoir_PV!E244),_xlfn.ANCHORARRAY(Sechoir!C14),Sechoir!C16:N16)</f>
        <v>#VALUE!</v>
      </c>
      <c r="H244" s="134" t="e" cm="1">
        <f t="array" ref="H244">_xlfn.XLOOKUP(SUBSTITUTE(Sechoir_PV!E244,Sechoir_PV!E244,"Connecteur " &amp; Sechoir_PV!E244),_xlfn.ANCHORARRAY(Sechoir!C14),Sechoir!C18:N18)</f>
        <v>#VALUE!</v>
      </c>
      <c r="I244" s="134" t="e" cm="1">
        <f t="array" ref="I244">_xlfn.XLOOKUP(SUBSTITUTE(Sechoir_PV!E244,Sechoir_PV!E244,"Connecteur " &amp; Sechoir_PV!E244),_xlfn.ANCHORARRAY(Sechoir!C14),Sechoir!C19:N19)</f>
        <v>#VALUE!</v>
      </c>
    </row>
    <row r="245" spans="2:9" x14ac:dyDescent="0.25">
      <c r="C245" s="38">
        <v>0</v>
      </c>
      <c r="D245" s="38">
        <v>0</v>
      </c>
      <c r="E245" s="38">
        <v>0</v>
      </c>
      <c r="F245" s="134" t="e" cm="1">
        <f t="array" ref="F245">_xlfn.XLOOKUP(SUBSTITUTE(Sechoir_PV!E245,Sechoir_PV!E245,"Connecteur " &amp; Sechoir_PV!E245),_xlfn.ANCHORARRAY(Sechoir!C14),Sechoir!C17:N17)</f>
        <v>#VALUE!</v>
      </c>
      <c r="G245" s="134" t="e" cm="1">
        <f t="array" ref="G245">_xlfn.XLOOKUP(SUBSTITUTE(Sechoir_PV!E245,Sechoir_PV!E245,"Connecteur " &amp; Sechoir_PV!E245),_xlfn.ANCHORARRAY(Sechoir!C14),Sechoir!C16:N16)</f>
        <v>#VALUE!</v>
      </c>
      <c r="H245" s="134" t="e" cm="1">
        <f t="array" ref="H245">_xlfn.XLOOKUP(SUBSTITUTE(Sechoir_PV!E245,Sechoir_PV!E245,"Connecteur " &amp; Sechoir_PV!E245),_xlfn.ANCHORARRAY(Sechoir!C14),Sechoir!C18:N18)</f>
        <v>#VALUE!</v>
      </c>
      <c r="I245" s="134" t="e" cm="1">
        <f t="array" ref="I245">_xlfn.XLOOKUP(SUBSTITUTE(Sechoir_PV!E245,Sechoir_PV!E245,"Connecteur " &amp; Sechoir_PV!E245),_xlfn.ANCHORARRAY(Sechoir!C14),Sechoir!C19:N19)</f>
        <v>#VALUE!</v>
      </c>
    </row>
    <row r="252" spans="2:9" x14ac:dyDescent="0.25">
      <c r="B252" s="135"/>
    </row>
    <row r="254" spans="2:9" ht="36" x14ac:dyDescent="0.3">
      <c r="C254" s="136" t="str">
        <f>"8. Résultats et exploitation des résultats à " &amp; Mesures_Sechoir!B19 &amp; "°C"</f>
        <v>8. Résultats et exploitation des résultats à °C</v>
      </c>
      <c r="D254" s="137"/>
      <c r="E254" s="137"/>
      <c r="F254" s="137"/>
    </row>
    <row r="257" spans="2:2" x14ac:dyDescent="0.25">
      <c r="B257" t="s">
        <v>216</v>
      </c>
    </row>
    <row r="293" spans="2:8" ht="36" x14ac:dyDescent="0.55000000000000004">
      <c r="G293" s="464" t="s">
        <v>217</v>
      </c>
      <c r="H293" s="464"/>
    </row>
    <row r="297" spans="2:8" ht="23.25" customHeight="1" x14ac:dyDescent="0.25">
      <c r="B297" s="465" t="s">
        <v>288</v>
      </c>
      <c r="C297" s="465"/>
      <c r="D297" s="465"/>
      <c r="E297" s="465"/>
      <c r="F297" s="138" t="e">
        <f ca="1">IF(OR(AVERAGE(Sechoir!C16:N16)&gt;Sechoir!O16,AVERAGE(Sechoir!C17:N17)&lt;Sechoir!O17),"NON CONFORME","CONFORME")</f>
        <v>#REF!</v>
      </c>
      <c r="G297" s="139"/>
    </row>
    <row r="298" spans="2:8" ht="23.25" customHeight="1" x14ac:dyDescent="0.25">
      <c r="B298" s="465"/>
      <c r="C298" s="465"/>
      <c r="D298" s="465"/>
      <c r="E298" s="465"/>
      <c r="F298" s="139"/>
      <c r="G298" s="139"/>
    </row>
    <row r="299" spans="2:8" ht="15" customHeight="1" x14ac:dyDescent="0.25">
      <c r="B299" s="139"/>
      <c r="C299" s="139"/>
      <c r="D299" s="139"/>
      <c r="E299" s="139"/>
      <c r="F299" s="139"/>
      <c r="G299" s="139"/>
    </row>
    <row r="303" spans="2:8" x14ac:dyDescent="0.25">
      <c r="C303" s="129" t="s">
        <v>219</v>
      </c>
      <c r="D303" s="129"/>
      <c r="E303" s="177">
        <f>Mesures_Sechoir!B19</f>
        <v>0</v>
      </c>
    </row>
    <row r="304" spans="2:8" x14ac:dyDescent="0.25">
      <c r="C304" s="460" t="s">
        <v>220</v>
      </c>
      <c r="D304" s="460"/>
      <c r="E304" s="142">
        <f>Mesures_Sechoir!$B$19</f>
        <v>0</v>
      </c>
    </row>
    <row r="305" spans="3:5" x14ac:dyDescent="0.25">
      <c r="C305" s="460" t="s">
        <v>221</v>
      </c>
      <c r="D305" s="460"/>
      <c r="E305" s="134" t="e">
        <f ca="1">Sechoir!C20</f>
        <v>#REF!</v>
      </c>
    </row>
    <row r="306" spans="3:5" x14ac:dyDescent="0.25">
      <c r="C306" s="460" t="s">
        <v>222</v>
      </c>
      <c r="D306" s="460"/>
      <c r="E306" s="38" t="str">
        <f>"±" &amp; Mesures_Sechoir!$B$20</f>
        <v>±</v>
      </c>
    </row>
    <row r="307" spans="3:5" x14ac:dyDescent="0.25">
      <c r="C307" s="461" t="s">
        <v>223</v>
      </c>
      <c r="D307" s="462"/>
      <c r="E307" s="38" t="e">
        <f ca="1">IF(F297="CONFORME","OUI","NON")</f>
        <v>#REF!</v>
      </c>
    </row>
    <row r="308" spans="3:5" x14ac:dyDescent="0.25">
      <c r="C308" s="460" t="s">
        <v>224</v>
      </c>
      <c r="D308" s="460"/>
      <c r="E308" s="38">
        <v>2</v>
      </c>
    </row>
  </sheetData>
  <sheetProtection algorithmName="SHA-512" hashValue="LoSDSeuwgbIBArtIpsG3uAGpjy66DWy26nV81gHd5yVxtZcPTg88wsEXoMEweLMtujYdIGH+RCw94XP3GAEc7g==" saltValue="QSvOfA8UdcMI3oekRY4UEw==" spinCount="100000" sheet="1" objects="1" scenarios="1"/>
  <mergeCells count="50">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B116:F116"/>
    <mergeCell ref="C127:F127"/>
    <mergeCell ref="B129:I144"/>
    <mergeCell ref="C163:H163"/>
    <mergeCell ref="C196:H196"/>
    <mergeCell ref="G200:I200"/>
    <mergeCell ref="B205:C205"/>
    <mergeCell ref="A211:A214"/>
    <mergeCell ref="C96:H96"/>
    <mergeCell ref="C97:D97"/>
    <mergeCell ref="C98:D98"/>
    <mergeCell ref="C99:D99"/>
    <mergeCell ref="C105:D105"/>
    <mergeCell ref="C306:D306"/>
    <mergeCell ref="C307:D307"/>
    <mergeCell ref="C308:D308"/>
    <mergeCell ref="B229:C229"/>
    <mergeCell ref="F232:I232"/>
    <mergeCell ref="G293:H293"/>
    <mergeCell ref="B297:E298"/>
    <mergeCell ref="C304:D304"/>
    <mergeCell ref="C305:D305"/>
    <mergeCell ref="C106:D106"/>
    <mergeCell ref="C100:D100"/>
    <mergeCell ref="C101:D101"/>
    <mergeCell ref="C102:D102"/>
    <mergeCell ref="C103:D103"/>
    <mergeCell ref="C104:D104"/>
  </mergeCells>
  <conditionalFormatting sqref="F297">
    <cfRule type="containsText" dxfId="43" priority="2" operator="containsText" text="NON CONFORME">
      <formula>NOT(ISERROR(SEARCH("NON CONFORME",F297)))</formula>
    </cfRule>
    <cfRule type="containsText" dxfId="42" priority="3" operator="containsText" text="CONFORME">
      <formula>NOT(ISERROR(SEARCH("CONFORME",F297)))</formula>
    </cfRule>
  </conditionalFormatting>
  <conditionalFormatting sqref="C96:H106">
    <cfRule type="expression" dxfId="41" priority="1">
      <formula>AND(NOT(CELL("protege", C96)), C96="")</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7" workbookViewId="0">
      <selection activeCell="E28" sqref="E28"/>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5.5703125" customWidth="1"/>
    <col min="9" max="9" width="13.140625" customWidth="1"/>
    <col min="11" max="11" width="24.140625" customWidth="1"/>
    <col min="12" max="12" width="18.7109375" customWidth="1"/>
    <col min="13" max="13" width="32.28515625" customWidth="1"/>
  </cols>
  <sheetData>
    <row r="2" spans="1:13" x14ac:dyDescent="0.25">
      <c r="B2" s="456" t="s">
        <v>49</v>
      </c>
      <c r="C2" s="457"/>
      <c r="D2" s="457"/>
      <c r="E2" s="457"/>
      <c r="F2" s="457"/>
      <c r="G2" s="457"/>
      <c r="H2" s="457"/>
      <c r="I2" s="457"/>
      <c r="J2" s="457"/>
      <c r="K2" s="457"/>
    </row>
    <row r="3" spans="1:13" x14ac:dyDescent="0.25">
      <c r="B3" s="457"/>
      <c r="C3" s="457"/>
      <c r="D3" s="457"/>
      <c r="E3" s="457"/>
      <c r="F3" s="457"/>
      <c r="G3" s="457"/>
      <c r="H3" s="457"/>
      <c r="I3" s="457"/>
      <c r="J3" s="457"/>
      <c r="K3" s="457"/>
    </row>
    <row r="4" spans="1:13" ht="57" x14ac:dyDescent="0.25">
      <c r="A4" s="1"/>
      <c r="B4" s="2"/>
      <c r="C4" s="2"/>
      <c r="D4" s="2"/>
      <c r="E4" s="2"/>
      <c r="F4" s="2"/>
      <c r="G4" s="2"/>
    </row>
    <row r="5" spans="1:13" x14ac:dyDescent="0.25">
      <c r="A5" s="449" t="s">
        <v>0</v>
      </c>
      <c r="B5" s="449"/>
      <c r="C5" s="449"/>
      <c r="D5" s="162"/>
      <c r="E5" s="1"/>
      <c r="F5" s="1"/>
    </row>
    <row r="6" spans="1:13" x14ac:dyDescent="0.25">
      <c r="A6" s="1"/>
      <c r="B6" s="1"/>
      <c r="C6" s="1"/>
      <c r="D6" s="1"/>
      <c r="E6" s="1"/>
      <c r="F6" s="1"/>
      <c r="G6" s="1"/>
    </row>
    <row r="7" spans="1:13" x14ac:dyDescent="0.25">
      <c r="A7" s="449" t="s">
        <v>1</v>
      </c>
      <c r="B7" s="449"/>
      <c r="C7" s="4"/>
      <c r="D7" s="1"/>
      <c r="E7" s="449" t="s">
        <v>18</v>
      </c>
      <c r="F7" s="449"/>
      <c r="G7" s="4"/>
      <c r="H7" s="157"/>
      <c r="M7" s="5"/>
    </row>
    <row r="8" spans="1:13" x14ac:dyDescent="0.25">
      <c r="A8" s="449" t="s">
        <v>2</v>
      </c>
      <c r="B8" s="449"/>
      <c r="C8" s="6"/>
      <c r="D8" s="1"/>
      <c r="E8" s="449" t="s">
        <v>19</v>
      </c>
      <c r="F8" s="449"/>
      <c r="G8" s="6"/>
      <c r="M8" s="5"/>
    </row>
    <row r="9" spans="1:13" x14ac:dyDescent="0.25">
      <c r="A9" s="1"/>
      <c r="B9" s="1"/>
      <c r="C9" s="1"/>
      <c r="D9" s="1"/>
      <c r="E9" s="1"/>
      <c r="F9" s="1"/>
      <c r="G9" s="1"/>
      <c r="M9" s="5"/>
    </row>
    <row r="10" spans="1:13" x14ac:dyDescent="0.25">
      <c r="A10" s="445" t="s">
        <v>3</v>
      </c>
      <c r="B10" s="446"/>
      <c r="C10" s="7"/>
      <c r="D10" s="1"/>
      <c r="E10" s="445" t="s">
        <v>20</v>
      </c>
      <c r="F10" s="446"/>
      <c r="G10" s="8"/>
    </row>
    <row r="11" spans="1:13" x14ac:dyDescent="0.25">
      <c r="A11" s="445" t="s">
        <v>4</v>
      </c>
      <c r="B11" s="446"/>
      <c r="C11" s="8"/>
      <c r="D11" s="1"/>
      <c r="E11" s="449" t="s">
        <v>21</v>
      </c>
      <c r="F11" s="449"/>
      <c r="G11" s="160">
        <v>15</v>
      </c>
    </row>
    <row r="12" spans="1:13" x14ac:dyDescent="0.25">
      <c r="A12" s="1"/>
      <c r="B12" s="1"/>
      <c r="C12" s="1"/>
      <c r="D12" s="1"/>
      <c r="E12" s="449" t="s">
        <v>22</v>
      </c>
      <c r="F12" s="449"/>
      <c r="G12" s="10"/>
    </row>
    <row r="13" spans="1:13" x14ac:dyDescent="0.25">
      <c r="A13" s="1"/>
      <c r="B13" s="1"/>
      <c r="C13" s="1"/>
      <c r="D13" s="1"/>
      <c r="E13" s="1"/>
      <c r="F13" s="1"/>
      <c r="G13" s="1"/>
    </row>
    <row r="14" spans="1:13" x14ac:dyDescent="0.25">
      <c r="A14" s="445" t="s">
        <v>5</v>
      </c>
      <c r="B14" s="446"/>
      <c r="C14" s="4"/>
      <c r="D14" s="1"/>
      <c r="E14" s="1"/>
      <c r="F14" s="1"/>
      <c r="G14" s="1"/>
    </row>
    <row r="15" spans="1:13" x14ac:dyDescent="0.25">
      <c r="A15" s="445" t="s">
        <v>6</v>
      </c>
      <c r="B15" s="446"/>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0"/>
      <c r="C19" s="10"/>
      <c r="D19" s="10"/>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TC " &amp; B19 &amp; "°C"</f>
        <v>Décalage TC °C</v>
      </c>
      <c r="H22" s="26" t="str">
        <f>"Décalage TC " &amp; C19 &amp; "°C"</f>
        <v>Décalage TC °C</v>
      </c>
      <c r="I22" s="26" t="str">
        <f>"Décalage TC " &amp; D19 &amp; "°C"</f>
        <v>Décalage TC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448" t="s">
        <v>13</v>
      </c>
      <c r="C40" s="448"/>
      <c r="D40" s="1"/>
      <c r="E40" s="1"/>
      <c r="F40" s="1"/>
      <c r="G40" s="1"/>
      <c r="H40" s="1"/>
      <c r="I40" s="1"/>
      <c r="J40" s="448" t="s">
        <v>30</v>
      </c>
      <c r="K40" s="448"/>
      <c r="L40" s="1"/>
      <c r="M40" s="1"/>
    </row>
    <row r="41" spans="1:15" x14ac:dyDescent="0.25">
      <c r="A41" s="1"/>
      <c r="B41" s="1"/>
      <c r="C41" s="1"/>
      <c r="D41" s="1"/>
      <c r="E41" s="1"/>
      <c r="F41" s="1"/>
      <c r="G41" s="1"/>
      <c r="H41" s="1"/>
      <c r="I41" s="1"/>
      <c r="J41" s="1"/>
      <c r="K41" s="1"/>
      <c r="L41" s="1"/>
      <c r="M41" s="1"/>
      <c r="N41" s="1"/>
      <c r="O41" s="1"/>
    </row>
    <row r="42" spans="1:15" x14ac:dyDescent="0.25">
      <c r="A42" s="445" t="s">
        <v>10</v>
      </c>
      <c r="B42" s="455"/>
      <c r="C42" s="455"/>
      <c r="D42" s="455"/>
      <c r="E42" s="455"/>
      <c r="F42" s="446"/>
      <c r="G42" s="1"/>
      <c r="H42" s="1"/>
      <c r="I42" s="449" t="s">
        <v>26</v>
      </c>
      <c r="J42" s="449"/>
      <c r="K42" s="449"/>
      <c r="L42" s="449"/>
      <c r="M42" s="449"/>
    </row>
    <row r="43" spans="1:15" ht="30" x14ac:dyDescent="0.25">
      <c r="A43" s="449"/>
      <c r="B43" s="449"/>
      <c r="C43" s="3" t="s">
        <v>15</v>
      </c>
      <c r="D43" s="20" t="s">
        <v>17</v>
      </c>
      <c r="E43" s="20" t="s">
        <v>24</v>
      </c>
      <c r="F43" s="20" t="s">
        <v>25</v>
      </c>
      <c r="G43" s="1"/>
      <c r="H43" s="1"/>
      <c r="I43" s="452"/>
      <c r="J43" s="452"/>
      <c r="K43" s="3" t="s">
        <v>32</v>
      </c>
      <c r="L43" s="3" t="s">
        <v>34</v>
      </c>
      <c r="M43" s="3" t="s">
        <v>35</v>
      </c>
    </row>
    <row r="44" spans="1:15" x14ac:dyDescent="0.25">
      <c r="A44" s="445" t="str">
        <f>CONCATENATE("Sonde ", B23)</f>
        <v xml:space="preserve">Sonde </v>
      </c>
      <c r="B44" s="446"/>
      <c r="C44" s="10"/>
      <c r="D44" s="10"/>
      <c r="E44" s="10"/>
      <c r="F44" s="4"/>
      <c r="G44" s="1"/>
      <c r="H44" s="1"/>
      <c r="I44" s="453" t="s">
        <v>27</v>
      </c>
      <c r="J44" s="454"/>
      <c r="K44" s="10"/>
      <c r="L44" s="4"/>
      <c r="M44" s="4"/>
    </row>
    <row r="45" spans="1:15" x14ac:dyDescent="0.25">
      <c r="A45" s="445" t="str">
        <f t="shared" ref="A45:A56" si="0">CONCATENATE("Sonde ", B24)</f>
        <v xml:space="preserve">Sonde </v>
      </c>
      <c r="B45" s="446"/>
      <c r="C45" s="10"/>
      <c r="D45" s="10"/>
      <c r="E45" s="10"/>
      <c r="F45" s="4"/>
      <c r="G45" s="1"/>
      <c r="H45" s="1"/>
      <c r="I45" s="1"/>
      <c r="J45" s="1"/>
      <c r="K45" s="1"/>
      <c r="L45" s="1"/>
      <c r="M45" s="1"/>
    </row>
    <row r="46" spans="1:15" x14ac:dyDescent="0.25">
      <c r="A46" s="445" t="str">
        <f t="shared" si="0"/>
        <v xml:space="preserve">Sonde </v>
      </c>
      <c r="B46" s="446"/>
      <c r="C46" s="10"/>
      <c r="D46" s="10"/>
      <c r="E46" s="10"/>
      <c r="F46" s="4"/>
      <c r="G46" s="1"/>
      <c r="H46" s="1"/>
      <c r="I46" s="1"/>
      <c r="J46" s="1"/>
      <c r="K46" s="1"/>
      <c r="L46" s="1"/>
      <c r="M46" s="1"/>
    </row>
    <row r="47" spans="1:15" x14ac:dyDescent="0.25">
      <c r="A47" s="445" t="str">
        <f t="shared" si="0"/>
        <v xml:space="preserve">Sonde </v>
      </c>
      <c r="B47" s="446"/>
      <c r="C47" s="10"/>
      <c r="D47" s="10"/>
      <c r="E47" s="10"/>
      <c r="F47" s="4"/>
      <c r="G47" s="1"/>
      <c r="H47" s="1"/>
      <c r="I47" s="1"/>
      <c r="J47" s="1"/>
      <c r="K47" s="1"/>
      <c r="L47" s="1"/>
      <c r="M47" s="1"/>
    </row>
    <row r="48" spans="1:15" x14ac:dyDescent="0.25">
      <c r="A48" s="445" t="str">
        <f t="shared" si="0"/>
        <v xml:space="preserve">Sonde </v>
      </c>
      <c r="B48" s="446"/>
      <c r="C48" s="10"/>
      <c r="D48" s="10"/>
      <c r="E48" s="10"/>
      <c r="F48" s="4"/>
      <c r="G48" s="1"/>
      <c r="H48" s="1"/>
      <c r="I48" s="1"/>
      <c r="J48" s="1"/>
    </row>
    <row r="49" spans="1:15" x14ac:dyDescent="0.25">
      <c r="A49" s="445" t="str">
        <f t="shared" si="0"/>
        <v xml:space="preserve">Sonde </v>
      </c>
      <c r="B49" s="446"/>
      <c r="C49" s="10"/>
      <c r="D49" s="10"/>
      <c r="E49" s="10"/>
      <c r="F49" s="4"/>
      <c r="G49" s="1"/>
      <c r="H49" s="1"/>
      <c r="I49" s="1"/>
      <c r="J49" s="1"/>
    </row>
    <row r="50" spans="1:15" x14ac:dyDescent="0.25">
      <c r="A50" s="445" t="str">
        <f t="shared" si="0"/>
        <v xml:space="preserve">Sonde </v>
      </c>
      <c r="B50" s="446"/>
      <c r="C50" s="10"/>
      <c r="D50" s="10"/>
      <c r="E50" s="10"/>
      <c r="F50" s="4"/>
      <c r="G50" s="1"/>
      <c r="H50" s="1"/>
      <c r="I50" s="1"/>
      <c r="J50" s="1"/>
    </row>
    <row r="51" spans="1:15" x14ac:dyDescent="0.25">
      <c r="A51" s="445" t="str">
        <f t="shared" si="0"/>
        <v xml:space="preserve">Sonde </v>
      </c>
      <c r="B51" s="446"/>
      <c r="C51" s="10"/>
      <c r="D51" s="10"/>
      <c r="E51" s="10"/>
      <c r="F51" s="4"/>
      <c r="G51" s="1"/>
      <c r="H51" s="1"/>
      <c r="I51" s="1"/>
      <c r="J51" s="1"/>
    </row>
    <row r="52" spans="1:15" x14ac:dyDescent="0.25">
      <c r="A52" s="445" t="str">
        <f t="shared" si="0"/>
        <v xml:space="preserve">Sonde </v>
      </c>
      <c r="B52" s="446"/>
      <c r="C52" s="10"/>
      <c r="D52" s="10"/>
      <c r="E52" s="10"/>
      <c r="F52" s="4"/>
      <c r="G52" s="1"/>
      <c r="H52" s="1"/>
      <c r="I52" s="1"/>
      <c r="J52" s="1"/>
    </row>
    <row r="53" spans="1:15" x14ac:dyDescent="0.25">
      <c r="A53" s="445" t="str">
        <f t="shared" si="0"/>
        <v xml:space="preserve">Sonde </v>
      </c>
      <c r="B53" s="446"/>
      <c r="C53" s="10"/>
      <c r="D53" s="10"/>
      <c r="E53" s="10"/>
      <c r="F53" s="4"/>
      <c r="G53" s="1"/>
      <c r="H53" s="1"/>
      <c r="I53" s="1"/>
      <c r="J53" s="1"/>
    </row>
    <row r="54" spans="1:15" x14ac:dyDescent="0.25">
      <c r="A54" s="445" t="str">
        <f t="shared" si="0"/>
        <v xml:space="preserve">Sonde </v>
      </c>
      <c r="B54" s="446"/>
      <c r="C54" s="10"/>
      <c r="D54" s="10"/>
      <c r="E54" s="10"/>
      <c r="F54" s="4"/>
      <c r="G54" s="1"/>
      <c r="H54" s="1"/>
      <c r="I54" s="1"/>
      <c r="J54" s="1"/>
      <c r="K54" s="1"/>
      <c r="L54" s="1"/>
      <c r="M54" s="1"/>
    </row>
    <row r="55" spans="1:15" x14ac:dyDescent="0.25">
      <c r="A55" s="445" t="str">
        <f t="shared" si="0"/>
        <v xml:space="preserve">Sonde </v>
      </c>
      <c r="B55" s="446"/>
      <c r="C55" s="10"/>
      <c r="D55" s="10"/>
      <c r="E55" s="10"/>
      <c r="F55" s="4"/>
      <c r="G55" s="1"/>
      <c r="H55" s="1"/>
      <c r="I55" s="1"/>
      <c r="J55" s="1"/>
      <c r="K55" s="1"/>
      <c r="L55" s="1"/>
      <c r="M55" s="1"/>
    </row>
    <row r="56" spans="1:15" x14ac:dyDescent="0.25">
      <c r="A56" s="445" t="str">
        <f t="shared" si="0"/>
        <v xml:space="preserve">Sonde </v>
      </c>
      <c r="B56" s="446"/>
      <c r="C56" s="10"/>
      <c r="D56" s="10"/>
      <c r="E56" s="10"/>
      <c r="F56" s="4"/>
      <c r="G56" s="1"/>
      <c r="H56" s="1"/>
      <c r="I56" s="1"/>
      <c r="J56" s="1"/>
      <c r="K56" s="1"/>
      <c r="L56" s="1"/>
      <c r="M56" s="1"/>
      <c r="N56" s="1"/>
      <c r="O56" s="1"/>
    </row>
  </sheetData>
  <sheetProtection algorithmName="SHA-512" hashValue="uBXo2zWRvgZPf8Vah09uzeQ/8EHSsU/mpmXTK0Y1JUi/nJn38lCjRbYrcWMkC7I6E78ytGIioJUo703P+POE/w==" saltValue="s33ojqUJ6fqxgU6KdBRf4Q==" spinCount="100000" sheet="1" objects="1" scenarios="1"/>
  <protectedRanges>
    <protectedRange sqref="C10" name="Donnees controleur"/>
  </protectedRanges>
  <mergeCells count="33">
    <mergeCell ref="A55:B55"/>
    <mergeCell ref="A56:B56"/>
    <mergeCell ref="A49:B49"/>
    <mergeCell ref="A50:B50"/>
    <mergeCell ref="A51:B51"/>
    <mergeCell ref="A52:B52"/>
    <mergeCell ref="A53:B53"/>
    <mergeCell ref="A54:B54"/>
    <mergeCell ref="A48:B48"/>
    <mergeCell ref="A15:B15"/>
    <mergeCell ref="B40:C40"/>
    <mergeCell ref="J40:K40"/>
    <mergeCell ref="A42:F42"/>
    <mergeCell ref="I42:M42"/>
    <mergeCell ref="A43:B43"/>
    <mergeCell ref="I43:J43"/>
    <mergeCell ref="A44:B44"/>
    <mergeCell ref="I44:J44"/>
    <mergeCell ref="A45:B45"/>
    <mergeCell ref="A46:B46"/>
    <mergeCell ref="A47:B47"/>
    <mergeCell ref="A14:B14"/>
    <mergeCell ref="B2:K3"/>
    <mergeCell ref="A5:C5"/>
    <mergeCell ref="A7:B7"/>
    <mergeCell ref="E7:F7"/>
    <mergeCell ref="A8:B8"/>
    <mergeCell ref="E8:F8"/>
    <mergeCell ref="A10:B10"/>
    <mergeCell ref="E10:F10"/>
    <mergeCell ref="A11:B11"/>
    <mergeCell ref="E11:F11"/>
    <mergeCell ref="E12:F12"/>
  </mergeCells>
  <conditionalFormatting sqref="A1:N4 A5:M5 A6:N58">
    <cfRule type="expression" dxfId="40" priority="1">
      <formula>AND(NOT(CELL("protege", A1)), A1="")</formula>
    </cfRule>
  </conditionalFormatting>
  <dataValidations count="2">
    <dataValidation type="list" allowBlank="1" showInputMessage="1" showErrorMessage="1" sqref="C15" xr:uid="{BF2A2463-3FA1-41DE-BA1C-423DBF5686F9}">
      <formula1>"Trimestrielle,Annuelle,Mensuelle"</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2"/>
  <sheetViews>
    <sheetView topLeftCell="A10" workbookViewId="0">
      <selection activeCell="A2" sqref="A2"/>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TabJ/NgZEfaml3dg8+ifpn6AGn2oCT9ljbxco2zqQxI0Go1eW5ViW9dJJmVDx/tQaV4ih42RBK517Oi/MGuYkQ==" saltValue="5VTUIjFp3xYjr8PKTRxUsQ==" spinCount="100000" sheet="1" objects="1" scenarios="1"/>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2"/>
  <sheetViews>
    <sheetView workbookViewId="0">
      <selection activeCell="C2" sqref="C2"/>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u9g5pNm0HIPvMq01B5BxN7jHMtFY6u3aPBL6hs+aFG4LFXvucn8GD37+hsITRKwnou6KgMeW0WZ2gGonFU1g9w==" saltValue="LQKIsVy21xD8dGMaY1h7Gg==" spinCount="100000" sheet="1" objects="1" scenarios="1"/>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2"/>
  <sheetViews>
    <sheetView topLeftCell="A16" workbookViewId="0">
      <selection activeCell="A47" sqref="A47"/>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36</v>
      </c>
      <c r="B1" t="s">
        <v>37</v>
      </c>
      <c r="C1" t="s">
        <v>38</v>
      </c>
      <c r="D1" t="s">
        <v>39</v>
      </c>
      <c r="E1" t="s">
        <v>40</v>
      </c>
      <c r="F1" t="s">
        <v>41</v>
      </c>
      <c r="G1" t="s">
        <v>42</v>
      </c>
      <c r="H1" t="s">
        <v>43</v>
      </c>
      <c r="I1" t="s">
        <v>44</v>
      </c>
      <c r="J1" t="s">
        <v>45</v>
      </c>
      <c r="K1" t="s">
        <v>46</v>
      </c>
      <c r="L1" t="s">
        <v>47</v>
      </c>
      <c r="M1" t="s">
        <v>48</v>
      </c>
      <c r="N1" t="s">
        <v>225</v>
      </c>
    </row>
    <row r="2" spans="1:14" x14ac:dyDescent="0.25">
      <c r="A2" s="23"/>
    </row>
  </sheetData>
  <sheetProtection algorithmName="SHA-512" hashValue="3Zk8rjPq+Dgu4oNvU9q7Ef9gkmQfyqrA88dHOKu5JLafgrqQlVm6Gqpg6PWw7x0HSsgcJryNGuMNXul2u8auDA==" saltValue="6r0XN2IqGC5WrO1XCY4Wow==" spinCount="100000" sheet="1" objects="1" scenarios="1"/>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5"/>
  <sheetViews>
    <sheetView topLeftCell="A10" workbookViewId="0">
      <selection activeCell="A11" sqref="A11:A14"/>
    </sheetView>
  </sheetViews>
  <sheetFormatPr baseColWidth="10" defaultRowHeight="15" x14ac:dyDescent="0.25"/>
  <cols>
    <col min="2" max="3" width="16.42578125" bestFit="1" customWidth="1"/>
    <col min="4"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458" t="str">
        <f>Mesures_Omia!B19 &amp; "°C"</f>
        <v>°C</v>
      </c>
      <c r="B1" s="458"/>
      <c r="C1" s="458"/>
      <c r="D1" s="458"/>
      <c r="E1" s="458"/>
      <c r="F1" s="458"/>
      <c r="G1" s="458"/>
      <c r="H1" s="458"/>
      <c r="I1" s="458"/>
      <c r="J1" s="458"/>
      <c r="K1" s="458"/>
      <c r="L1" s="458"/>
      <c r="M1" s="458"/>
      <c r="N1" s="458"/>
      <c r="O1" s="458"/>
      <c r="P1" s="458"/>
      <c r="Q1" s="458"/>
      <c r="R1" s="458"/>
      <c r="S1" s="458"/>
    </row>
    <row r="2" spans="1:19" s="27" customFormat="1" x14ac:dyDescent="0.25">
      <c r="A2" s="458"/>
      <c r="B2" s="458"/>
      <c r="C2" s="458"/>
      <c r="D2" s="458"/>
      <c r="E2" s="458"/>
      <c r="F2" s="458"/>
      <c r="G2" s="458"/>
      <c r="H2" s="458"/>
      <c r="I2" s="458"/>
      <c r="J2" s="458"/>
      <c r="K2" s="458"/>
      <c r="L2" s="458"/>
      <c r="M2" s="458"/>
      <c r="N2" s="458"/>
      <c r="O2" s="458"/>
      <c r="P2" s="458"/>
      <c r="Q2" s="458"/>
      <c r="R2" s="458"/>
      <c r="S2" s="458"/>
    </row>
    <row r="3" spans="1:19" s="27" customFormat="1" x14ac:dyDescent="0.25">
      <c r="A3" s="458"/>
      <c r="B3" s="458"/>
      <c r="C3" s="458"/>
      <c r="D3" s="458"/>
      <c r="E3" s="458"/>
      <c r="F3" s="458"/>
      <c r="G3" s="458"/>
      <c r="H3" s="458"/>
      <c r="I3" s="458"/>
      <c r="J3" s="458"/>
      <c r="K3" s="458"/>
      <c r="L3" s="458"/>
      <c r="M3" s="458"/>
      <c r="N3" s="458"/>
      <c r="O3" s="458"/>
      <c r="P3" s="458"/>
      <c r="Q3" s="458"/>
      <c r="R3" s="458"/>
      <c r="S3" s="458"/>
    </row>
    <row r="4" spans="1:19" s="27" customFormat="1" x14ac:dyDescent="0.25">
      <c r="P4" s="33"/>
    </row>
    <row r="5" spans="1:19" s="27" customFormat="1" x14ac:dyDescent="0.25">
      <c r="B5" s="34" t="s">
        <v>23</v>
      </c>
      <c r="C5" s="35" t="e">
        <f>_xlfn.XLOOKUP(INT(SUBSTITUTE(C47,"Connecteur ","")),Mesures_Omia!C23:C35,Mesures_Omia!G23:G35)</f>
        <v>#N/A</v>
      </c>
      <c r="D5" s="35" t="e">
        <f>_xlfn.XLOOKUP(INT(SUBSTITUTE(D47,"Connecteur ","")),Mesures_Omia!C23:C35,Mesures_Omia!G23:G35)</f>
        <v>#N/A</v>
      </c>
      <c r="E5" s="35" t="e">
        <f>_xlfn.XLOOKUP(INT(SUBSTITUTE(E47,"Connecteur ","")),Mesures_Omia!C23:C35,Mesures_Omia!G23:G35)</f>
        <v>#N/A</v>
      </c>
      <c r="F5" s="35" t="e">
        <f>_xlfn.XLOOKUP(INT(SUBSTITUTE(F47,"Connecteur ","")),Mesures_Omia!C23:C35,Mesures_Omia!G23:G35)</f>
        <v>#N/A</v>
      </c>
      <c r="G5" s="35" t="e">
        <f>_xlfn.XLOOKUP(INT(SUBSTITUTE(G47,"Connecteur ","")),Mesures_Omia!C23:C35,Mesures_Omia!G23:G35)</f>
        <v>#N/A</v>
      </c>
      <c r="H5" s="35" t="e">
        <f>_xlfn.XLOOKUP(INT(SUBSTITUTE(H47,"Connecteur ","")),Mesures_Omia!C23:C35,Mesures_Omia!G23:G35)</f>
        <v>#N/A</v>
      </c>
      <c r="I5" s="35" t="e">
        <f>_xlfn.XLOOKUP(INT(SUBSTITUTE(I47,"Connecteur ","")),Mesures_Omia!C23:C35,Mesures_Omia!G23:G35)</f>
        <v>#N/A</v>
      </c>
      <c r="J5" s="35" t="e">
        <f>_xlfn.XLOOKUP(INT(SUBSTITUTE(J47,"Connecteur ","")),Mesures_Omia!C23:C35,Mesures_Omia!G23:G35)</f>
        <v>#N/A</v>
      </c>
      <c r="K5" s="35" t="e">
        <f>_xlfn.XLOOKUP(INT(SUBSTITUTE(K47,"Connecteur ","")),Mesures_Omia!C23:C35,Mesures_Omia!G23:G35)</f>
        <v>#N/A</v>
      </c>
      <c r="L5" s="35" t="e">
        <f>_xlfn.XLOOKUP(INT(SUBSTITUTE(L47,"Connecteur ","")),Mesures_Omia!C23:C35,Mesures_Omia!G23:G35)</f>
        <v>#N/A</v>
      </c>
      <c r="M5" s="35" t="e">
        <f>_xlfn.XLOOKUP(INT(SUBSTITUTE(M47,"Connecteur ","")),Mesures_Omia!C23:C35,Mesures_Omia!G23:G35)</f>
        <v>#N/A</v>
      </c>
      <c r="N5" s="35" t="e">
        <f>_xlfn.XLOOKUP(INT(SUBSTITUTE(N47,"Connecteur ","")),Mesures_Omia!C23:C35,Mesures_Omia!G23:G35)</f>
        <v>#N/A</v>
      </c>
      <c r="O5" s="35" t="e">
        <f>_xlfn.XLOOKUP(INT(SUBSTITUTE(O47,"Connecteur ","")),Mesures_Omia!C23:C35,Mesures_Omia!G23:G35)</f>
        <v>#N/A</v>
      </c>
      <c r="P5" s="33"/>
    </row>
    <row r="6" spans="1:19" s="27" customFormat="1" x14ac:dyDescent="0.25">
      <c r="B6" s="34" t="s">
        <v>87</v>
      </c>
      <c r="C6" s="35" t="e">
        <f>_xlfn.XLOOKUP(INT(SUBSTITUTE(C47,"Connecteur ","")),Mesures_Omia!C23:C35,Mesures_Omia!D23:D35)</f>
        <v>#N/A</v>
      </c>
      <c r="D6" s="35" t="e">
        <f>_xlfn.XLOOKUP(INT(SUBSTITUTE(D47,"Connecteur ","")),Mesures_Omia!C23:C35,Mesures_Omia!D23:D35)</f>
        <v>#N/A</v>
      </c>
      <c r="E6" s="35" t="e">
        <f>_xlfn.XLOOKUP(INT(SUBSTITUTE(E47,"Connecteur ","")),Mesures_Omia!C23:C35,Mesures_Omia!D23:D35)</f>
        <v>#N/A</v>
      </c>
      <c r="F6" s="35" t="e">
        <f>_xlfn.XLOOKUP(INT(SUBSTITUTE(F47,"Connecteur ","")),Mesures_Omia!C23:C35,Mesures_Omia!D23:D35)</f>
        <v>#N/A</v>
      </c>
      <c r="G6" s="35" t="e">
        <f>_xlfn.XLOOKUP(INT(SUBSTITUTE(G47,"Connecteur ","")),Mesures_Omia!C23:C35,Mesures_Omia!D23:D35)</f>
        <v>#N/A</v>
      </c>
      <c r="H6" s="35" t="e">
        <f>_xlfn.XLOOKUP(INT(SUBSTITUTE(H47,"Connecteur ","")),Mesures_Omia!C23:C35,Mesures_Omia!D23:D35)</f>
        <v>#N/A</v>
      </c>
      <c r="I6" s="35" t="e">
        <f>_xlfn.XLOOKUP(INT(SUBSTITUTE(I47,"Connecteur ","")),Mesures_Omia!C23:C35,Mesures_Omia!D23:D35)</f>
        <v>#N/A</v>
      </c>
      <c r="J6" s="35" t="e">
        <f>_xlfn.XLOOKUP(INT(SUBSTITUTE(J47,"Connecteur ","")),Mesures_Omia!C23:C35,Mesures_Omia!D23:D35)</f>
        <v>#N/A</v>
      </c>
      <c r="K6" s="35" t="e">
        <f>_xlfn.XLOOKUP(INT(SUBSTITUTE(K47,"Connecteur ","")),Mesures_Omia!C23:C35,Mesures_Omia!D23:D35)</f>
        <v>#N/A</v>
      </c>
      <c r="L6" s="35" t="e">
        <f>_xlfn.XLOOKUP(INT(SUBSTITUTE(L47,"Connecteur ","")),Mesures_Omia!C23:C35,Mesures_Omia!D23:D35)</f>
        <v>#N/A</v>
      </c>
      <c r="M6" s="35" t="e">
        <f>_xlfn.XLOOKUP(INT(SUBSTITUTE(M47,"Connecteur ","")),Mesures_Omia!C23:C35,Mesures_Omia!D23:D35)</f>
        <v>#N/A</v>
      </c>
      <c r="N6" s="35" t="e">
        <f>_xlfn.XLOOKUP(INT(SUBSTITUTE(N47,"Connecteur ","")),Mesures_Omia!C23:C35,Mesures_Omia!D23:D35)</f>
        <v>#N/A</v>
      </c>
      <c r="O6" s="35" t="e">
        <f>_xlfn.XLOOKUP(INT(SUBSTITUTE(O47,"Connecteur ","")),Mesures_Omia!C23:C35,Mesures_Omia!D23:D35)</f>
        <v>#N/A</v>
      </c>
      <c r="P6" s="33"/>
    </row>
    <row r="7" spans="1:19" s="27" customFormat="1" x14ac:dyDescent="0.25">
      <c r="P7" s="33"/>
    </row>
    <row r="8" spans="1:19" s="27" customFormat="1" x14ac:dyDescent="0.25">
      <c r="P8" s="33"/>
    </row>
    <row r="9" spans="1:19" s="27" customFormat="1" x14ac:dyDescent="0.25">
      <c r="A9" s="375" t="s">
        <v>88</v>
      </c>
      <c r="B9" s="375"/>
      <c r="C9" s="375"/>
      <c r="D9" s="375"/>
      <c r="E9" s="375"/>
      <c r="F9" s="375"/>
      <c r="G9" s="375"/>
      <c r="H9" s="375"/>
      <c r="I9" s="375"/>
      <c r="J9" s="375"/>
      <c r="K9" s="375"/>
      <c r="L9" s="375"/>
      <c r="M9" s="375"/>
      <c r="N9" s="375"/>
      <c r="P9" s="33"/>
    </row>
    <row r="10" spans="1:19" s="27" customFormat="1" x14ac:dyDescent="0.25">
      <c r="A10" s="33"/>
      <c r="B10" s="34" t="str">
        <f>Donnees_Brutes_Omia_1[[#Headers],[Date/Heure]]</f>
        <v>Date/Heure</v>
      </c>
      <c r="C10" s="36" t="str" cm="1">
        <f t="array" ref="C10:O10">Donnees_Brutes_Omia_1[[#Headers],[Connecteur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320" t="s">
        <v>292</v>
      </c>
      <c r="B11" s="145" cm="1">
        <f t="array" ref="B11">Donnees_Brutes_Omia_1[Date/Heure]</f>
        <v>0</v>
      </c>
      <c r="C11" s="130" t="e" cm="1">
        <f t="array" ref="C11:O11">Donnees_Brutes_Omia_1[[Connecteur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324"/>
      <c r="B12" s="325"/>
      <c r="C12" s="326"/>
      <c r="D12" s="326"/>
      <c r="E12" s="326"/>
      <c r="F12" s="326"/>
      <c r="G12" s="326"/>
      <c r="H12" s="326"/>
      <c r="I12" s="326"/>
      <c r="J12" s="326"/>
      <c r="K12" s="326"/>
      <c r="L12" s="326"/>
      <c r="M12" s="326"/>
      <c r="N12" s="326"/>
      <c r="O12" s="326"/>
      <c r="P12" s="33"/>
    </row>
    <row r="13" spans="1:19" s="27" customFormat="1" ht="13.5" customHeight="1" x14ac:dyDescent="0.25">
      <c r="A13" s="324"/>
      <c r="B13" s="325"/>
      <c r="C13" s="326"/>
      <c r="D13" s="326"/>
      <c r="E13" s="326"/>
      <c r="F13" s="326"/>
      <c r="G13" s="326"/>
      <c r="H13" s="326"/>
      <c r="I13" s="326"/>
      <c r="J13" s="326"/>
      <c r="K13" s="326"/>
      <c r="L13" s="326"/>
      <c r="M13" s="326"/>
      <c r="N13" s="326"/>
      <c r="O13" s="326"/>
      <c r="P13" s="33"/>
    </row>
    <row r="14" spans="1:19" s="27" customFormat="1" ht="13.5" customHeight="1" x14ac:dyDescent="0.25">
      <c r="A14" s="324"/>
      <c r="B14" s="325"/>
      <c r="C14" s="326"/>
      <c r="D14" s="326"/>
      <c r="E14" s="326"/>
      <c r="F14" s="326"/>
      <c r="G14" s="326"/>
      <c r="H14" s="326"/>
      <c r="I14" s="326"/>
      <c r="J14" s="326"/>
      <c r="K14" s="326"/>
      <c r="L14" s="326"/>
      <c r="M14" s="326"/>
      <c r="N14" s="326"/>
      <c r="O14" s="326"/>
      <c r="P14" s="33"/>
    </row>
    <row r="15" spans="1:19" s="27" customFormat="1" ht="13.5" customHeight="1" x14ac:dyDescent="0.25">
      <c r="A15" s="377" t="s">
        <v>89</v>
      </c>
      <c r="B15" s="327"/>
      <c r="C15" s="328"/>
      <c r="D15" s="328"/>
      <c r="E15" s="328"/>
      <c r="F15" s="328"/>
      <c r="G15" s="328"/>
      <c r="H15" s="328"/>
      <c r="I15" s="328"/>
      <c r="J15" s="328"/>
      <c r="K15" s="328"/>
      <c r="L15" s="328"/>
      <c r="M15" s="328"/>
      <c r="N15" s="328"/>
      <c r="O15" s="328"/>
      <c r="P15" s="33"/>
    </row>
    <row r="16" spans="1:19" s="27" customFormat="1" ht="13.5" customHeight="1" x14ac:dyDescent="0.25">
      <c r="A16" s="377"/>
      <c r="B16" s="327"/>
      <c r="C16" s="328"/>
      <c r="D16" s="328"/>
      <c r="E16" s="328"/>
      <c r="F16" s="328"/>
      <c r="G16" s="328"/>
      <c r="H16" s="328"/>
      <c r="I16" s="328"/>
      <c r="J16" s="328"/>
      <c r="K16" s="328"/>
      <c r="L16" s="328"/>
      <c r="M16" s="328"/>
      <c r="N16" s="328"/>
      <c r="O16" s="328"/>
      <c r="P16" s="33"/>
    </row>
    <row r="17" spans="1:16" s="27" customFormat="1" ht="13.5" customHeight="1" x14ac:dyDescent="0.25">
      <c r="A17" s="377"/>
      <c r="B17" s="327"/>
      <c r="C17" s="328"/>
      <c r="D17" s="328"/>
      <c r="E17" s="328"/>
      <c r="F17" s="328"/>
      <c r="G17" s="328"/>
      <c r="H17" s="328"/>
      <c r="I17" s="328"/>
      <c r="J17" s="328"/>
      <c r="K17" s="328"/>
      <c r="L17" s="328"/>
      <c r="M17" s="328"/>
      <c r="N17" s="328"/>
      <c r="O17" s="328"/>
      <c r="P17" s="33"/>
    </row>
    <row r="18" spans="1:16" s="27" customFormat="1" ht="13.5" customHeight="1" x14ac:dyDescent="0.25">
      <c r="A18" s="377"/>
      <c r="B18" s="327"/>
      <c r="C18" s="328"/>
      <c r="D18" s="328"/>
      <c r="E18" s="328"/>
      <c r="F18" s="328"/>
      <c r="G18" s="328"/>
      <c r="H18" s="328"/>
      <c r="I18" s="328"/>
      <c r="J18" s="328"/>
      <c r="K18" s="328"/>
      <c r="L18" s="328"/>
      <c r="M18" s="328"/>
      <c r="N18" s="328"/>
      <c r="O18" s="328"/>
      <c r="P18" s="33"/>
    </row>
    <row r="19" spans="1:16" s="27" customFormat="1" ht="13.5" customHeight="1" x14ac:dyDescent="0.25">
      <c r="A19" s="377"/>
      <c r="B19" s="327"/>
      <c r="C19" s="328"/>
      <c r="D19" s="328"/>
      <c r="E19" s="328"/>
      <c r="F19" s="328"/>
      <c r="G19" s="328"/>
      <c r="H19" s="328"/>
      <c r="I19" s="328"/>
      <c r="J19" s="328"/>
      <c r="K19" s="328"/>
      <c r="L19" s="328"/>
      <c r="M19" s="328"/>
      <c r="N19" s="328"/>
      <c r="O19" s="328"/>
      <c r="P19" s="33"/>
    </row>
    <row r="20" spans="1:16" s="27" customFormat="1" ht="13.5" customHeight="1" x14ac:dyDescent="0.25">
      <c r="A20" s="377"/>
      <c r="B20" s="327"/>
      <c r="C20" s="328"/>
      <c r="D20" s="328"/>
      <c r="E20" s="328"/>
      <c r="F20" s="328"/>
      <c r="G20" s="328"/>
      <c r="H20" s="328"/>
      <c r="I20" s="328"/>
      <c r="J20" s="328"/>
      <c r="K20" s="328"/>
      <c r="L20" s="328"/>
      <c r="M20" s="328"/>
      <c r="N20" s="328"/>
      <c r="O20" s="328"/>
      <c r="P20" s="33"/>
    </row>
    <row r="21" spans="1:16" s="27" customFormat="1" ht="13.5" customHeight="1" x14ac:dyDescent="0.25">
      <c r="A21" s="377"/>
      <c r="B21" s="327"/>
      <c r="C21" s="328"/>
      <c r="D21" s="328"/>
      <c r="E21" s="328"/>
      <c r="F21" s="328"/>
      <c r="G21" s="328"/>
      <c r="H21" s="328"/>
      <c r="I21" s="328"/>
      <c r="J21" s="328"/>
      <c r="K21" s="328"/>
      <c r="L21" s="328"/>
      <c r="M21" s="328"/>
      <c r="N21" s="328"/>
      <c r="O21" s="328"/>
      <c r="P21" s="33"/>
    </row>
    <row r="22" spans="1:16" s="27" customFormat="1" ht="13.5" customHeight="1" x14ac:dyDescent="0.25">
      <c r="A22" s="377"/>
      <c r="B22" s="327"/>
      <c r="C22" s="328"/>
      <c r="D22" s="328"/>
      <c r="E22" s="328"/>
      <c r="F22" s="328"/>
      <c r="G22" s="328"/>
      <c r="H22" s="328"/>
      <c r="I22" s="328"/>
      <c r="J22" s="328"/>
      <c r="K22" s="328"/>
      <c r="L22" s="328"/>
      <c r="M22" s="328"/>
      <c r="N22" s="328"/>
      <c r="O22" s="328"/>
      <c r="P22" s="33"/>
    </row>
    <row r="23" spans="1:16" s="27" customFormat="1" ht="13.5" customHeight="1" x14ac:dyDescent="0.25">
      <c r="A23" s="377"/>
      <c r="B23" s="327"/>
      <c r="C23" s="328"/>
      <c r="D23" s="328"/>
      <c r="E23" s="328"/>
      <c r="F23" s="328"/>
      <c r="G23" s="328"/>
      <c r="H23" s="328"/>
      <c r="I23" s="328"/>
      <c r="J23" s="328"/>
      <c r="K23" s="328"/>
      <c r="L23" s="328"/>
      <c r="M23" s="328"/>
      <c r="N23" s="328"/>
      <c r="O23" s="328"/>
      <c r="P23" s="33"/>
    </row>
    <row r="24" spans="1:16" s="27" customFormat="1" ht="13.5" customHeight="1" x14ac:dyDescent="0.25">
      <c r="A24" s="377"/>
      <c r="B24" s="327"/>
      <c r="C24" s="328"/>
      <c r="D24" s="328"/>
      <c r="E24" s="328"/>
      <c r="F24" s="328"/>
      <c r="G24" s="328"/>
      <c r="H24" s="328"/>
      <c r="I24" s="328"/>
      <c r="J24" s="328"/>
      <c r="K24" s="328"/>
      <c r="L24" s="328"/>
      <c r="M24" s="328"/>
      <c r="N24" s="328"/>
      <c r="O24" s="328"/>
      <c r="P24" s="33"/>
    </row>
    <row r="25" spans="1:16" s="27" customFormat="1" ht="13.5" customHeight="1" x14ac:dyDescent="0.25">
      <c r="A25" s="377"/>
      <c r="B25" s="327"/>
      <c r="C25" s="328"/>
      <c r="D25" s="328"/>
      <c r="E25" s="328"/>
      <c r="F25" s="328"/>
      <c r="G25" s="328"/>
      <c r="H25" s="328"/>
      <c r="I25" s="328"/>
      <c r="J25" s="328"/>
      <c r="K25" s="328"/>
      <c r="L25" s="328"/>
      <c r="M25" s="328"/>
      <c r="N25" s="328"/>
      <c r="O25" s="328"/>
      <c r="P25" s="33"/>
    </row>
    <row r="26" spans="1:16" s="27" customFormat="1" ht="13.5" customHeight="1" x14ac:dyDescent="0.25">
      <c r="A26" s="377"/>
      <c r="B26" s="327"/>
      <c r="C26" s="328"/>
      <c r="D26" s="328"/>
      <c r="E26" s="328"/>
      <c r="F26" s="328"/>
      <c r="G26" s="328"/>
      <c r="H26" s="328"/>
      <c r="I26" s="328"/>
      <c r="J26" s="328"/>
      <c r="K26" s="328"/>
      <c r="L26" s="328"/>
      <c r="M26" s="328"/>
      <c r="N26" s="328"/>
      <c r="O26" s="328"/>
      <c r="P26" s="33"/>
    </row>
    <row r="27" spans="1:16" s="27" customFormat="1" ht="13.5" customHeight="1" x14ac:dyDescent="0.25">
      <c r="A27" s="377"/>
      <c r="B27" s="327"/>
      <c r="C27" s="328"/>
      <c r="D27" s="328"/>
      <c r="E27" s="328"/>
      <c r="F27" s="328"/>
      <c r="G27" s="328"/>
      <c r="H27" s="328"/>
      <c r="I27" s="328"/>
      <c r="J27" s="328"/>
      <c r="K27" s="328"/>
      <c r="L27" s="328"/>
      <c r="M27" s="328"/>
      <c r="N27" s="328"/>
      <c r="O27" s="328"/>
      <c r="P27" s="33"/>
    </row>
    <row r="28" spans="1:16" s="27" customFormat="1" ht="13.5" customHeight="1" x14ac:dyDescent="0.25">
      <c r="A28" s="377"/>
      <c r="B28" s="327"/>
      <c r="C28" s="328"/>
      <c r="D28" s="328"/>
      <c r="E28" s="328"/>
      <c r="F28" s="328"/>
      <c r="G28" s="328"/>
      <c r="H28" s="328"/>
      <c r="I28" s="328"/>
      <c r="J28" s="328"/>
      <c r="K28" s="328"/>
      <c r="L28" s="328"/>
      <c r="M28" s="328"/>
      <c r="N28" s="328"/>
      <c r="O28" s="328"/>
      <c r="P28" s="33"/>
    </row>
    <row r="29" spans="1:16" s="27" customFormat="1" ht="13.5" customHeight="1" x14ac:dyDescent="0.25">
      <c r="A29" s="377"/>
      <c r="B29" s="327"/>
      <c r="C29" s="328"/>
      <c r="D29" s="328"/>
      <c r="E29" s="328"/>
      <c r="F29" s="328"/>
      <c r="G29" s="328"/>
      <c r="H29" s="328"/>
      <c r="I29" s="328"/>
      <c r="J29" s="328"/>
      <c r="K29" s="328"/>
      <c r="L29" s="328"/>
      <c r="M29" s="328"/>
      <c r="N29" s="328"/>
      <c r="O29" s="328"/>
      <c r="P29" s="33"/>
    </row>
    <row r="30" spans="1:16" s="27" customFormat="1" ht="13.5" customHeight="1" x14ac:dyDescent="0.25">
      <c r="A30" s="377"/>
      <c r="B30" s="327"/>
      <c r="C30" s="328"/>
      <c r="D30" s="328"/>
      <c r="E30" s="328"/>
      <c r="F30" s="328"/>
      <c r="G30" s="328"/>
      <c r="H30" s="328"/>
      <c r="I30" s="328"/>
      <c r="J30" s="328"/>
      <c r="K30" s="328"/>
      <c r="L30" s="328"/>
      <c r="M30" s="328"/>
      <c r="N30" s="328"/>
      <c r="O30" s="328"/>
      <c r="P30" s="33"/>
    </row>
    <row r="31" spans="1:16" s="27" customFormat="1" ht="13.5" customHeight="1" x14ac:dyDescent="0.25">
      <c r="A31" s="377"/>
      <c r="B31" s="327"/>
      <c r="C31" s="328"/>
      <c r="D31" s="328"/>
      <c r="E31" s="328"/>
      <c r="F31" s="328"/>
      <c r="G31" s="328"/>
      <c r="H31" s="328"/>
      <c r="I31" s="328"/>
      <c r="J31" s="328"/>
      <c r="K31" s="328"/>
      <c r="L31" s="328"/>
      <c r="M31" s="328"/>
      <c r="N31" s="328"/>
      <c r="O31" s="328"/>
      <c r="P31" s="33"/>
    </row>
    <row r="32" spans="1:16" s="27" customFormat="1" ht="13.5" customHeight="1" x14ac:dyDescent="0.25">
      <c r="A32" s="377"/>
      <c r="B32" s="327"/>
      <c r="C32" s="328"/>
      <c r="D32" s="328"/>
      <c r="E32" s="328"/>
      <c r="F32" s="328"/>
      <c r="G32" s="328"/>
      <c r="H32" s="328"/>
      <c r="I32" s="328"/>
      <c r="J32" s="328"/>
      <c r="K32" s="328"/>
      <c r="L32" s="328"/>
      <c r="M32" s="328"/>
      <c r="N32" s="328"/>
      <c r="O32" s="328"/>
      <c r="P32" s="33"/>
    </row>
    <row r="33" spans="1:19" s="27" customFormat="1" ht="13.5" customHeight="1" x14ac:dyDescent="0.25">
      <c r="A33" s="377"/>
      <c r="B33" s="327"/>
      <c r="C33" s="328"/>
      <c r="D33" s="328"/>
      <c r="E33" s="328"/>
      <c r="F33" s="328"/>
      <c r="G33" s="328"/>
      <c r="H33" s="328"/>
      <c r="I33" s="328"/>
      <c r="J33" s="328"/>
      <c r="K33" s="328"/>
      <c r="L33" s="328"/>
      <c r="M33" s="328"/>
      <c r="N33" s="328"/>
      <c r="O33" s="328"/>
      <c r="P33" s="33"/>
    </row>
    <row r="34" spans="1:19" s="27" customFormat="1" ht="13.5" customHeight="1" x14ac:dyDescent="0.25">
      <c r="A34" s="377"/>
      <c r="B34" s="327"/>
      <c r="C34" s="328"/>
      <c r="D34" s="328"/>
      <c r="E34" s="328"/>
      <c r="F34" s="328"/>
      <c r="G34" s="328"/>
      <c r="H34" s="328"/>
      <c r="I34" s="328"/>
      <c r="J34" s="328"/>
      <c r="K34" s="328"/>
      <c r="L34" s="328"/>
      <c r="M34" s="328"/>
      <c r="N34" s="328"/>
      <c r="O34" s="328"/>
      <c r="P34" s="33"/>
    </row>
    <row r="35" spans="1:19" s="27" customFormat="1" ht="13.5" customHeight="1" x14ac:dyDescent="0.25">
      <c r="A35" s="377"/>
      <c r="B35" s="327"/>
      <c r="C35" s="328"/>
      <c r="D35" s="328"/>
      <c r="E35" s="328"/>
      <c r="F35" s="328"/>
      <c r="G35" s="328"/>
      <c r="H35" s="328"/>
      <c r="I35" s="328"/>
      <c r="J35" s="328"/>
      <c r="K35" s="328"/>
      <c r="L35" s="328"/>
      <c r="M35" s="328"/>
      <c r="N35" s="328"/>
      <c r="O35" s="328"/>
      <c r="P35" s="33"/>
    </row>
    <row r="36" spans="1:19" s="27" customFormat="1" ht="13.5" customHeight="1" x14ac:dyDescent="0.25">
      <c r="A36" s="377"/>
      <c r="B36" s="327"/>
      <c r="C36" s="328"/>
      <c r="D36" s="328"/>
      <c r="E36" s="328"/>
      <c r="F36" s="328"/>
      <c r="G36" s="328"/>
      <c r="H36" s="328"/>
      <c r="I36" s="328"/>
      <c r="J36" s="328"/>
      <c r="K36" s="328"/>
      <c r="L36" s="328"/>
      <c r="M36" s="328"/>
      <c r="N36" s="328"/>
      <c r="O36" s="328"/>
      <c r="P36" s="33"/>
    </row>
    <row r="37" spans="1:19" s="27" customFormat="1" ht="13.5" customHeight="1" x14ac:dyDescent="0.25">
      <c r="A37" s="377"/>
      <c r="B37" s="327"/>
      <c r="C37" s="328"/>
      <c r="D37" s="328"/>
      <c r="E37" s="328"/>
      <c r="F37" s="328"/>
      <c r="G37" s="328"/>
      <c r="H37" s="328"/>
      <c r="I37" s="328"/>
      <c r="J37" s="328"/>
      <c r="K37" s="328"/>
      <c r="L37" s="328"/>
      <c r="M37" s="328"/>
      <c r="N37" s="328"/>
      <c r="O37" s="328"/>
      <c r="P37" s="33"/>
    </row>
    <row r="38" spans="1:19" s="27" customFormat="1" ht="13.5" customHeight="1" x14ac:dyDescent="0.25">
      <c r="A38" s="377"/>
      <c r="B38" s="327"/>
      <c r="C38" s="328"/>
      <c r="D38" s="328"/>
      <c r="E38" s="328"/>
      <c r="F38" s="328"/>
      <c r="G38" s="328"/>
      <c r="H38" s="328"/>
      <c r="I38" s="328"/>
      <c r="J38" s="328"/>
      <c r="K38" s="328"/>
      <c r="L38" s="328"/>
      <c r="M38" s="328"/>
      <c r="N38" s="328"/>
      <c r="O38" s="328"/>
      <c r="P38" s="33"/>
    </row>
    <row r="39" spans="1:19" s="27" customFormat="1" ht="13.5" customHeight="1" x14ac:dyDescent="0.25">
      <c r="A39" s="377"/>
      <c r="B39" s="327"/>
      <c r="C39" s="328"/>
      <c r="D39" s="328"/>
      <c r="E39" s="328"/>
      <c r="F39" s="328"/>
      <c r="G39" s="328"/>
      <c r="H39" s="328"/>
      <c r="I39" s="328"/>
      <c r="J39" s="328"/>
      <c r="K39" s="328"/>
      <c r="L39" s="328"/>
      <c r="M39" s="328"/>
      <c r="N39" s="328"/>
      <c r="O39" s="328"/>
      <c r="P39" s="33"/>
    </row>
    <row r="40" spans="1:19" s="27" customFormat="1" ht="13.5" customHeight="1" x14ac:dyDescent="0.25">
      <c r="A40" s="377"/>
      <c r="B40" s="327"/>
      <c r="C40" s="328"/>
      <c r="D40" s="328"/>
      <c r="E40" s="328"/>
      <c r="F40" s="328"/>
      <c r="G40" s="328"/>
      <c r="H40" s="328"/>
      <c r="I40" s="328"/>
      <c r="J40" s="328"/>
      <c r="K40" s="328"/>
      <c r="L40" s="328"/>
      <c r="M40" s="328"/>
      <c r="N40" s="328"/>
      <c r="O40" s="328"/>
      <c r="P40" s="33"/>
    </row>
    <row r="41" spans="1:19" s="27" customFormat="1" ht="13.5" customHeight="1" x14ac:dyDescent="0.25">
      <c r="A41" s="377"/>
      <c r="B41" s="327"/>
      <c r="C41" s="328"/>
      <c r="D41" s="328"/>
      <c r="E41" s="328"/>
      <c r="F41" s="328"/>
      <c r="G41" s="328"/>
      <c r="H41" s="328"/>
      <c r="I41" s="328"/>
      <c r="J41" s="328"/>
      <c r="K41" s="328"/>
      <c r="L41" s="328"/>
      <c r="M41" s="328"/>
      <c r="N41" s="328"/>
      <c r="O41" s="328"/>
      <c r="P41" s="33"/>
    </row>
    <row r="42" spans="1:19" s="27" customFormat="1" ht="13.5" customHeight="1" x14ac:dyDescent="0.25">
      <c r="A42" s="377"/>
      <c r="B42" s="327"/>
      <c r="C42" s="328"/>
      <c r="D42" s="328"/>
      <c r="E42" s="328"/>
      <c r="F42" s="328"/>
      <c r="G42" s="328"/>
      <c r="H42" s="328"/>
      <c r="I42" s="328"/>
      <c r="J42" s="328"/>
      <c r="K42" s="328"/>
      <c r="L42" s="328"/>
      <c r="M42" s="328"/>
      <c r="N42" s="328"/>
      <c r="O42" s="328"/>
      <c r="P42" s="33"/>
    </row>
    <row r="43" spans="1:19" s="27" customFormat="1" ht="13.5" customHeight="1" x14ac:dyDescent="0.25">
      <c r="A43" s="377"/>
      <c r="B43" s="327"/>
      <c r="C43" s="328"/>
      <c r="D43" s="328"/>
      <c r="E43" s="328"/>
      <c r="F43" s="328"/>
      <c r="G43" s="328"/>
      <c r="H43" s="328"/>
      <c r="I43" s="328"/>
      <c r="J43" s="328"/>
      <c r="K43" s="328"/>
      <c r="L43" s="328"/>
      <c r="M43" s="328"/>
      <c r="N43" s="328"/>
      <c r="O43" s="328"/>
      <c r="P43" s="33"/>
    </row>
    <row r="44" spans="1:19" s="27" customFormat="1" ht="13.5" customHeight="1" x14ac:dyDescent="0.25">
      <c r="A44" s="377"/>
      <c r="B44" s="327"/>
      <c r="C44" s="328"/>
      <c r="D44" s="328"/>
      <c r="E44" s="328"/>
      <c r="F44" s="328"/>
      <c r="G44" s="328"/>
      <c r="H44" s="328"/>
      <c r="I44" s="328"/>
      <c r="J44" s="328"/>
      <c r="K44" s="328"/>
      <c r="L44" s="328"/>
      <c r="M44" s="328"/>
      <c r="N44" s="328"/>
      <c r="O44" s="328"/>
      <c r="P44" s="33"/>
    </row>
    <row r="45" spans="1:19" s="27" customFormat="1" ht="13.5" customHeight="1" x14ac:dyDescent="0.25">
      <c r="A45" s="377"/>
      <c r="B45" s="327"/>
      <c r="C45" s="328"/>
      <c r="D45" s="328"/>
      <c r="E45" s="328"/>
      <c r="F45" s="328"/>
      <c r="G45" s="328"/>
      <c r="H45" s="328"/>
      <c r="I45" s="328"/>
      <c r="J45" s="328"/>
      <c r="K45" s="328"/>
      <c r="L45" s="328"/>
      <c r="M45" s="328"/>
      <c r="N45" s="328"/>
      <c r="O45" s="328"/>
      <c r="P45" s="33"/>
    </row>
    <row r="46" spans="1:19" s="459" customFormat="1" x14ac:dyDescent="0.25"/>
    <row r="47" spans="1:19" s="27" customFormat="1" x14ac:dyDescent="0.25">
      <c r="C47" s="41" t="str" cm="1">
        <f t="array" ref="C47:O47">Donnees_Brutes_Omia_1[[#Headers],[Connecteur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41" t="str">
        <v>Connecteur 13</v>
      </c>
      <c r="Q47" s="33"/>
    </row>
    <row r="48" spans="1:19" s="27" customFormat="1" x14ac:dyDescent="0.25">
      <c r="B48" s="42" t="s">
        <v>91</v>
      </c>
      <c r="C48" s="43" t="e">
        <f t="shared" ref="C48:O48" si="0">MAX(C11:C11)</f>
        <v>#N/A</v>
      </c>
      <c r="D48" s="43" t="e">
        <f t="shared" si="0"/>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S48+Mesures_Omia!B20</f>
        <v>0</v>
      </c>
      <c r="Q48" s="33"/>
      <c r="R48" s="36" t="s">
        <v>7</v>
      </c>
      <c r="S48" s="48">
        <f>Mesures_Omia!B19</f>
        <v>0</v>
      </c>
    </row>
    <row r="49" spans="2:19" s="27" customFormat="1" x14ac:dyDescent="0.25">
      <c r="B49" s="42" t="s">
        <v>93</v>
      </c>
      <c r="C49" s="43" t="e">
        <f t="shared" ref="C49:O49" si="1">MIN(C11:C11)</f>
        <v>#N/A</v>
      </c>
      <c r="D49" s="43" t="e">
        <f t="shared" si="1"/>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S48-Mesures_Omia!B20</f>
        <v>0</v>
      </c>
      <c r="Q49" s="33"/>
      <c r="R49" s="36" t="s">
        <v>92</v>
      </c>
      <c r="S49" s="35" t="str">
        <f>"+" &amp; Mesures_Omia!B20 &amp; "°C"</f>
        <v>+°C</v>
      </c>
    </row>
    <row r="50" spans="2:19" s="27" customFormat="1" x14ac:dyDescent="0.25">
      <c r="B50" s="42" t="s">
        <v>95</v>
      </c>
      <c r="C50" s="43" t="e">
        <f t="shared" ref="C50:O50" si="2">AVERAGE(C11:C11)</f>
        <v>#N/A</v>
      </c>
      <c r="D50" s="43" t="e">
        <f t="shared" si="2"/>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94</v>
      </c>
      <c r="S50" s="35" t="str">
        <f>"-" &amp; Mesures_Omia!B20 &amp; "°C"</f>
        <v>-°C</v>
      </c>
    </row>
    <row r="51" spans="2:19" s="27" customFormat="1" x14ac:dyDescent="0.25">
      <c r="B51" s="42" t="s">
        <v>96</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2:19" s="27" customFormat="1" x14ac:dyDescent="0.25">
      <c r="B52" s="42" t="s">
        <v>97</v>
      </c>
      <c r="C52" s="376" t="e">
        <f>ABS(MAX(C48:O48)-MIN(C49:O49))</f>
        <v>#N/A</v>
      </c>
      <c r="D52" s="376"/>
      <c r="E52" s="376"/>
      <c r="F52" s="376"/>
      <c r="G52" s="376"/>
      <c r="H52" s="376"/>
      <c r="I52" s="376"/>
      <c r="J52" s="376"/>
      <c r="K52" s="376"/>
      <c r="L52" s="376"/>
      <c r="M52" s="376"/>
      <c r="N52" s="376"/>
      <c r="O52" s="376"/>
      <c r="P52" s="33"/>
    </row>
    <row r="53" spans="2:19" s="27" customFormat="1" x14ac:dyDescent="0.25">
      <c r="B53" s="42" t="s">
        <v>98</v>
      </c>
      <c r="C53" s="376" t="e">
        <f>AVERAGE(C50:O50)</f>
        <v>#N/A</v>
      </c>
      <c r="D53" s="376"/>
      <c r="E53" s="376"/>
      <c r="F53" s="376"/>
      <c r="G53" s="376"/>
      <c r="H53" s="376"/>
      <c r="I53" s="376"/>
      <c r="J53" s="376"/>
      <c r="K53" s="376"/>
      <c r="L53" s="376"/>
      <c r="M53" s="376"/>
      <c r="N53" s="376"/>
      <c r="O53" s="376"/>
      <c r="P53" s="33"/>
    </row>
    <row r="54" spans="2:19" s="27" customFormat="1" x14ac:dyDescent="0.25">
      <c r="B54" s="36" t="s">
        <v>99</v>
      </c>
      <c r="C54" s="46" t="e">
        <f ca="1">STDEV(OFFSET(INDEX(Donnees_Brutes_Omia_1[Connecteur 1],1),COUNT(Donnees_Brutes_Omia_1[Connecteur 1])-30,0,30))+C5+C6</f>
        <v>#REF!</v>
      </c>
      <c r="D54" s="46" t="e">
        <f ca="1">STDEV(OFFSET(INDEX(Donnees_Brutes_Omia_1[Connecteur 2],1),COUNT(Donnees_Brutes_Omia_1[Connecteur 2])-30,0,30))+D5+D6</f>
        <v>#REF!</v>
      </c>
      <c r="E54" s="46" t="e">
        <f ca="1">STDEV(OFFSET(INDEX(Donnees_Brutes_Omia_1[Connecteur 3],1),COUNT(Donnees_Brutes_Omia_1[Connecteur 3])-30,0,30))+E5+E6</f>
        <v>#REF!</v>
      </c>
      <c r="F54" s="46" t="e">
        <f ca="1">STDEV(OFFSET(INDEX(Donnees_Brutes_Omia_1[Connecteur 4],1),COUNT(Donnees_Brutes_Omia_1[Connecteur 4])-30,0,30))+F5+F6</f>
        <v>#REF!</v>
      </c>
      <c r="G54" s="46" t="e">
        <f ca="1">STDEV(OFFSET(INDEX(Donnees_Brutes_Omia_1[Connecteur 5],1),COUNT(Donnees_Brutes_Omia_1[Connecteur 5])-30,0,30))+G5+G6</f>
        <v>#REF!</v>
      </c>
      <c r="H54" s="46" t="e">
        <f ca="1">STDEV(OFFSET(INDEX(Donnees_Brutes_Omia_1[Connecteur 6],1),COUNT(Donnees_Brutes_Omia_1[Connecteur 6])-30,0,30))+H5+H6</f>
        <v>#REF!</v>
      </c>
      <c r="I54" s="46" t="e">
        <f ca="1">STDEV(OFFSET(INDEX(Donnees_Brutes_Omia_1[Connecteur 7],1),COUNT(Donnees_Brutes_Omia_1[Connecteur 7])-30,0,30))+I5+I6</f>
        <v>#REF!</v>
      </c>
      <c r="J54" s="46" t="e">
        <f ca="1">STDEV(OFFSET(INDEX(Donnees_Brutes_Omia_1[Connecteur 8],1),COUNT(Donnees_Brutes_Omia_1[Connecteur 8])-30,0,30))+J5+J6</f>
        <v>#REF!</v>
      </c>
      <c r="K54" s="46" t="e">
        <f ca="1">STDEV(OFFSET(INDEX(Donnees_Brutes_Omia_1[Connecteur 9],1),COUNT(Donnees_Brutes_Omia_1[Connecteur 9])-30,0,30))+K5+K6</f>
        <v>#REF!</v>
      </c>
      <c r="L54" s="46" t="e">
        <f ca="1">STDEV(OFFSET(INDEX(Donnees_Brutes_Omia_1[Connecteur 10],1),COUNT(Donnees_Brutes_Omia_1[Connecteur 10])-30,0,30))+L5+L6</f>
        <v>#REF!</v>
      </c>
      <c r="M54" s="46" t="e">
        <f ca="1">STDEV(OFFSET(INDEX(Donnees_Brutes_Omia_1[Connecteur 11],1),COUNT(Donnees_Brutes_Omia_1[Connecteur 11])-30,0,30))+M5+M6</f>
        <v>#REF!</v>
      </c>
      <c r="N54" s="46" t="e">
        <f ca="1">STDEV(OFFSET(INDEX(Donnees_Brutes_Omia_1[Connecteur 12],1),COUNT(Donnees_Brutes_Omia_1[Connecteur 12])-30,0,30))+N5+N6</f>
        <v>#REF!</v>
      </c>
      <c r="O54" s="46" t="e">
        <f ca="1">STDEV(OFFSET(INDEX(Donnees_Brutes_Omia_1[Connecteur 13],1),COUNT(Donnees_Brutes_Omia_1[Connecteur 13])-30,0,30))+O5+O6</f>
        <v>#REF!</v>
      </c>
      <c r="P54" s="33"/>
    </row>
    <row r="55" spans="2:19" s="27" customFormat="1" x14ac:dyDescent="0.25">
      <c r="B55"/>
      <c r="C55"/>
      <c r="D55"/>
      <c r="E55"/>
      <c r="F55"/>
      <c r="G55"/>
      <c r="H55"/>
      <c r="I55"/>
      <c r="J55"/>
      <c r="K55"/>
      <c r="L55"/>
      <c r="M55"/>
      <c r="N55"/>
      <c r="O55"/>
      <c r="P55"/>
    </row>
  </sheetData>
  <sheetProtection algorithmName="SHA-512" hashValue="NCuOcsPkmsRBlGWyqH1I8Eh+3mqeMmoPA3gFc0uxIRCw+SiGyHOHm31lv1luOJKXDYiZcV0EUAozRFFPMh+7+Q==" saltValue="Ug3htqxK/6dpQd7mEiykBA==" spinCount="100000" sheet="1" objects="1" scenarios="1"/>
  <dataConsolidate/>
  <mergeCells count="6">
    <mergeCell ref="C53:O53"/>
    <mergeCell ref="A1:S3"/>
    <mergeCell ref="A9:N9"/>
    <mergeCell ref="A46:XFD46"/>
    <mergeCell ref="C52:O52"/>
    <mergeCell ref="A15:A45"/>
  </mergeCells>
  <conditionalFormatting sqref="C48:O48">
    <cfRule type="cellIs" dxfId="36" priority="1" operator="greaterThan">
      <formula>$P$48</formula>
    </cfRule>
  </conditionalFormatting>
  <conditionalFormatting sqref="C49:O49">
    <cfRule type="cellIs" dxfId="35" priority="2" operator="lessThan">
      <formula>$P$49</formula>
    </cfRule>
  </conditionalFormatting>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72"/>
  <sheetViews>
    <sheetView topLeftCell="A46" workbookViewId="0">
      <selection activeCell="B50" sqref="B50"/>
    </sheetView>
  </sheetViews>
  <sheetFormatPr baseColWidth="10" defaultRowHeight="15" x14ac:dyDescent="0.25"/>
  <cols>
    <col min="2" max="2" width="15" bestFit="1" customWidth="1"/>
    <col min="3" max="3" width="16.42578125" bestFit="1" customWidth="1"/>
    <col min="4" max="11" width="12.7109375" bestFit="1" customWidth="1"/>
    <col min="12" max="15" width="13.7109375" bestFit="1" customWidth="1"/>
    <col min="16" max="16" width="8.28515625" customWidth="1"/>
    <col min="17" max="18" width="15.28515625" bestFit="1" customWidth="1"/>
  </cols>
  <sheetData>
    <row r="1" spans="1:19" s="27" customFormat="1" x14ac:dyDescent="0.25">
      <c r="A1" s="458" t="str">
        <f>Mesures_Omia!C19 &amp; "°C"</f>
        <v>°C</v>
      </c>
      <c r="B1" s="458"/>
      <c r="C1" s="458"/>
      <c r="D1" s="458"/>
      <c r="E1" s="458"/>
      <c r="F1" s="458"/>
      <c r="G1" s="458"/>
      <c r="H1" s="458"/>
      <c r="I1" s="458"/>
      <c r="J1" s="458"/>
      <c r="K1" s="458"/>
      <c r="L1" s="458"/>
      <c r="M1" s="458"/>
      <c r="N1" s="458"/>
      <c r="O1" s="458"/>
      <c r="P1" s="458"/>
      <c r="Q1" s="458"/>
      <c r="R1" s="458"/>
      <c r="S1" s="458"/>
    </row>
    <row r="2" spans="1:19" s="27" customFormat="1" x14ac:dyDescent="0.25">
      <c r="A2" s="458"/>
      <c r="B2" s="458"/>
      <c r="C2" s="458"/>
      <c r="D2" s="458"/>
      <c r="E2" s="458"/>
      <c r="F2" s="458"/>
      <c r="G2" s="458"/>
      <c r="H2" s="458"/>
      <c r="I2" s="458"/>
      <c r="J2" s="458"/>
      <c r="K2" s="458"/>
      <c r="L2" s="458"/>
      <c r="M2" s="458"/>
      <c r="N2" s="458"/>
      <c r="O2" s="458"/>
      <c r="P2" s="458"/>
      <c r="Q2" s="458"/>
      <c r="R2" s="458"/>
      <c r="S2" s="458"/>
    </row>
    <row r="3" spans="1:19" s="27" customFormat="1" x14ac:dyDescent="0.25">
      <c r="A3" s="458"/>
      <c r="B3" s="458"/>
      <c r="C3" s="458"/>
      <c r="D3" s="458"/>
      <c r="E3" s="458"/>
      <c r="F3" s="458"/>
      <c r="G3" s="458"/>
      <c r="H3" s="458"/>
      <c r="I3" s="458"/>
      <c r="J3" s="458"/>
      <c r="K3" s="458"/>
      <c r="L3" s="458"/>
      <c r="M3" s="458"/>
      <c r="N3" s="458"/>
      <c r="O3" s="458"/>
      <c r="P3" s="458"/>
      <c r="Q3" s="458"/>
      <c r="R3" s="458"/>
      <c r="S3" s="458"/>
    </row>
    <row r="4" spans="1:19" s="27" customFormat="1" x14ac:dyDescent="0.25">
      <c r="P4" s="33"/>
    </row>
    <row r="5" spans="1:19" s="27" customFormat="1" x14ac:dyDescent="0.25">
      <c r="B5" s="34" t="s">
        <v>23</v>
      </c>
      <c r="C5" s="35" t="e">
        <f>_xlfn.XLOOKUP(INT(SUBSTITUTE(C63,"Connecteur ","")),Mesures_Omia!C23:C35,Mesures_Omia!E23:E35)</f>
        <v>#N/A</v>
      </c>
      <c r="D5" s="35" t="e">
        <f>_xlfn.XLOOKUP(INT(SUBSTITUTE(D63,"Connecteur ","")),Mesures_Omia!C23:C35,Mesures_Omia!E23:E35)</f>
        <v>#N/A</v>
      </c>
      <c r="E5" s="35" t="e">
        <f>_xlfn.XLOOKUP(INT(SUBSTITUTE(E63,"Connecteur ","")),Mesures_Omia!C23:C35,Mesures_Omia!E23:E35)</f>
        <v>#N/A</v>
      </c>
      <c r="F5" s="35" t="e">
        <f>_xlfn.XLOOKUP(INT(SUBSTITUTE(F63,"Connecteur ","")),Mesures_Omia!C23:C35,Mesures_Omia!E23:E35)</f>
        <v>#N/A</v>
      </c>
      <c r="G5" s="35" t="e">
        <f>_xlfn.XLOOKUP(INT(SUBSTITUTE(G63,"Connecteur ","")),Mesures_Omia!C23:C35,Mesures_Omia!E23:E35)</f>
        <v>#N/A</v>
      </c>
      <c r="H5" s="35" t="e">
        <f>_xlfn.XLOOKUP(INT(SUBSTITUTE(H63,"Connecteur ","")),Mesures_Omia!C23:C35,Mesures_Omia!E23:E35)</f>
        <v>#N/A</v>
      </c>
      <c r="I5" s="35" t="e">
        <f>_xlfn.XLOOKUP(INT(SUBSTITUTE(I63,"Connecteur ","")),Mesures_Omia!C23:C35,Mesures_Omia!E23:E35)</f>
        <v>#N/A</v>
      </c>
      <c r="J5" s="35" t="e">
        <f>_xlfn.XLOOKUP(INT(SUBSTITUTE(J63,"Connecteur ","")),Mesures_Omia!C23:C35,Mesures_Omia!E23:E35)</f>
        <v>#N/A</v>
      </c>
      <c r="K5" s="35" t="e">
        <f>_xlfn.XLOOKUP(INT(SUBSTITUTE(K63,"Connecteur ","")),Mesures_Omia!C23:C35,Mesures_Omia!E23:E35)</f>
        <v>#N/A</v>
      </c>
      <c r="L5" s="35" t="e">
        <f>_xlfn.XLOOKUP(INT(SUBSTITUTE(L63,"Connecteur ","")),Mesures_Omia!C23:C35,Mesures_Omia!E23:E35)</f>
        <v>#N/A</v>
      </c>
      <c r="M5" s="35" t="e">
        <f>_xlfn.XLOOKUP(INT(SUBSTITUTE(M63,"Connecteur ","")),Mesures_Omia!C23:C35,Mesures_Omia!E23:E35)</f>
        <v>#N/A</v>
      </c>
      <c r="N5" s="35" t="e">
        <f>_xlfn.XLOOKUP(INT(SUBSTITUTE(N63,"Connecteur ","")),Mesures_Omia!C23:C35,Mesures_Omia!E23:E35)</f>
        <v>#N/A</v>
      </c>
      <c r="O5" s="35" t="e">
        <f>_xlfn.XLOOKUP(INT(SUBSTITUTE(O63,"Connecteur ","")),Mesures_Omia!C23:C35,Mesures_Omia!E23:E35)</f>
        <v>#N/A</v>
      </c>
      <c r="P5" s="33"/>
    </row>
    <row r="6" spans="1:19" s="27" customFormat="1" x14ac:dyDescent="0.25">
      <c r="B6" s="34" t="s">
        <v>87</v>
      </c>
      <c r="C6" s="35" t="e">
        <f>_xlfn.XLOOKUP(INT(SUBSTITUTE(C63,"Connecteur ","")),Mesures_Omia!C23:C35,Mesures_Omia!H23:H35)</f>
        <v>#N/A</v>
      </c>
      <c r="D6" s="35" t="e">
        <f>_xlfn.XLOOKUP(INT(SUBSTITUTE(D63,"Connecteur ","")),Mesures_Omia!C23:C35,Mesures_Omia!H23:H35)</f>
        <v>#N/A</v>
      </c>
      <c r="E6" s="35" t="e">
        <f>_xlfn.XLOOKUP(INT(SUBSTITUTE(E63,"Connecteur ","")),Mesures_Omia!C23:C35,Mesures_Omia!H23:H35)</f>
        <v>#N/A</v>
      </c>
      <c r="F6" s="35" t="e">
        <f>_xlfn.XLOOKUP(INT(SUBSTITUTE(F63,"Connecteur ","")),Mesures_Omia!C23:C35,Mesures_Omia!H23:H35)</f>
        <v>#N/A</v>
      </c>
      <c r="G6" s="35" t="e">
        <f>_xlfn.XLOOKUP(INT(SUBSTITUTE(G63,"Connecteur ","")),Mesures_Omia!C23:C35,Mesures_Omia!H23:H35)</f>
        <v>#N/A</v>
      </c>
      <c r="H6" s="35" t="e">
        <f>_xlfn.XLOOKUP(INT(SUBSTITUTE(H63,"Connecteur ","")),Mesures_Omia!C23:C35,Mesures_Omia!H23:H35)</f>
        <v>#N/A</v>
      </c>
      <c r="I6" s="35" t="e">
        <f>_xlfn.XLOOKUP(INT(SUBSTITUTE(I63,"Connecteur ","")),Mesures_Omia!C23:C35,Mesures_Omia!H23:H35)</f>
        <v>#N/A</v>
      </c>
      <c r="J6" s="35" t="e">
        <f>_xlfn.XLOOKUP(INT(SUBSTITUTE(J63,"Connecteur ","")),Mesures_Omia!C23:C35,Mesures_Omia!H23:H35)</f>
        <v>#N/A</v>
      </c>
      <c r="K6" s="35" t="e">
        <f>_xlfn.XLOOKUP(INT(SUBSTITUTE(K63,"Connecteur ","")),Mesures_Omia!C23:C35,Mesures_Omia!H23:H35)</f>
        <v>#N/A</v>
      </c>
      <c r="L6" s="35" t="e">
        <f>_xlfn.XLOOKUP(INT(SUBSTITUTE(L63,"Connecteur ","")),Mesures_Omia!C23:C35,Mesures_Omia!H23:H35)</f>
        <v>#N/A</v>
      </c>
      <c r="M6" s="35" t="e">
        <f>_xlfn.XLOOKUP(INT(SUBSTITUTE(M63,"Connecteur ","")),Mesures_Omia!C23:C35,Mesures_Omia!H23:H35)</f>
        <v>#N/A</v>
      </c>
      <c r="N6" s="35" t="e">
        <f>_xlfn.XLOOKUP(INT(SUBSTITUTE(N63,"Connecteur ","")),Mesures_Omia!C23:C35,Mesures_Omia!H23:H35)</f>
        <v>#N/A</v>
      </c>
      <c r="O6" s="35" t="e">
        <f>_xlfn.XLOOKUP(INT(SUBSTITUTE(O63,"Connecteur ","")),Mesures_Omia!C23:C35,Mesures_Omia!H23:H35)</f>
        <v>#N/A</v>
      </c>
      <c r="P6" s="33"/>
    </row>
    <row r="7" spans="1:19" s="27" customFormat="1" x14ac:dyDescent="0.25">
      <c r="P7" s="33"/>
    </row>
    <row r="8" spans="1:19" s="27" customFormat="1" x14ac:dyDescent="0.25">
      <c r="P8" s="33"/>
    </row>
    <row r="9" spans="1:19" s="27" customFormat="1" x14ac:dyDescent="0.25">
      <c r="A9" s="342" t="s">
        <v>88</v>
      </c>
      <c r="B9" s="342"/>
      <c r="C9" s="342"/>
      <c r="D9" s="342"/>
      <c r="E9" s="342"/>
      <c r="F9" s="342"/>
      <c r="G9" s="342"/>
      <c r="H9" s="342"/>
      <c r="I9" s="342"/>
      <c r="J9" s="342"/>
      <c r="K9" s="342"/>
      <c r="L9" s="342"/>
      <c r="M9" s="342"/>
      <c r="N9" s="342"/>
      <c r="P9" s="33"/>
    </row>
    <row r="10" spans="1:19" s="27" customFormat="1" x14ac:dyDescent="0.25">
      <c r="A10" s="33"/>
      <c r="B10" s="34" t="str">
        <f>Donnees_Brutes_Omia_2[[#Headers],[Date/Heure]]</f>
        <v>Date/Heure</v>
      </c>
      <c r="C10" s="36" t="str" cm="1">
        <f t="array" ref="C10:O10">Donnees_Brutes_Omia_2[[#Headers],[Connecteur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496" t="s">
        <v>292</v>
      </c>
      <c r="B11" s="145" cm="1">
        <f t="array" ref="B11">Donnees_Brutes_Omia_2[Date/Heure]</f>
        <v>0</v>
      </c>
      <c r="C11" s="130" t="e" cm="1">
        <f t="array" ref="C11:O11">Donnees_Brutes_Omia_2[[Connecteur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497"/>
      <c r="B12" s="325"/>
      <c r="C12" s="326"/>
      <c r="D12" s="326"/>
      <c r="E12" s="326"/>
      <c r="F12" s="326"/>
      <c r="G12" s="326"/>
      <c r="H12" s="326"/>
      <c r="I12" s="326"/>
      <c r="J12" s="326"/>
      <c r="K12" s="326"/>
      <c r="L12" s="326"/>
      <c r="M12" s="326"/>
      <c r="N12" s="326"/>
      <c r="O12" s="326"/>
      <c r="P12" s="33"/>
    </row>
    <row r="13" spans="1:19" s="27" customFormat="1" ht="13.5" customHeight="1" x14ac:dyDescent="0.25">
      <c r="A13" s="497"/>
      <c r="B13" s="325"/>
      <c r="C13" s="326"/>
      <c r="D13" s="326"/>
      <c r="E13" s="326"/>
      <c r="F13" s="326"/>
      <c r="G13" s="326"/>
      <c r="H13" s="326"/>
      <c r="I13" s="326"/>
      <c r="J13" s="326"/>
      <c r="K13" s="326"/>
      <c r="L13" s="326"/>
      <c r="M13" s="326"/>
      <c r="N13" s="326"/>
      <c r="O13" s="326"/>
      <c r="P13" s="33"/>
    </row>
    <row r="14" spans="1:19" s="27" customFormat="1" ht="13.5" customHeight="1" x14ac:dyDescent="0.25">
      <c r="A14" s="497"/>
      <c r="B14" s="325"/>
      <c r="C14" s="326"/>
      <c r="D14" s="326"/>
      <c r="E14" s="326"/>
      <c r="F14" s="326"/>
      <c r="G14" s="326"/>
      <c r="H14" s="326"/>
      <c r="I14" s="326"/>
      <c r="J14" s="326"/>
      <c r="K14" s="326"/>
      <c r="L14" s="326"/>
      <c r="M14" s="326"/>
      <c r="N14" s="326"/>
      <c r="O14" s="326"/>
      <c r="P14" s="33"/>
    </row>
    <row r="15" spans="1:19" s="27" customFormat="1" ht="13.5" customHeight="1" x14ac:dyDescent="0.25">
      <c r="A15" s="497"/>
      <c r="B15" s="325"/>
      <c r="C15" s="326"/>
      <c r="D15" s="326"/>
      <c r="E15" s="326"/>
      <c r="F15" s="326"/>
      <c r="G15" s="326"/>
      <c r="H15" s="326"/>
      <c r="I15" s="326"/>
      <c r="J15" s="326"/>
      <c r="K15" s="326"/>
      <c r="L15" s="326"/>
      <c r="M15" s="326"/>
      <c r="N15" s="326"/>
      <c r="O15" s="326"/>
      <c r="P15" s="33"/>
    </row>
    <row r="16" spans="1:19" s="27" customFormat="1" ht="13.5" customHeight="1" x14ac:dyDescent="0.25">
      <c r="A16" s="497"/>
      <c r="B16" s="325"/>
      <c r="C16" s="326"/>
      <c r="D16" s="326"/>
      <c r="E16" s="326"/>
      <c r="F16" s="326"/>
      <c r="G16" s="326"/>
      <c r="H16" s="326"/>
      <c r="I16" s="326"/>
      <c r="J16" s="326"/>
      <c r="K16" s="326"/>
      <c r="L16" s="326"/>
      <c r="M16" s="326"/>
      <c r="N16" s="326"/>
      <c r="O16" s="326"/>
      <c r="P16" s="33"/>
    </row>
    <row r="17" spans="1:16" s="27" customFormat="1" ht="13.5" customHeight="1" x14ac:dyDescent="0.25">
      <c r="A17" s="497"/>
      <c r="B17" s="325"/>
      <c r="C17" s="326"/>
      <c r="D17" s="326"/>
      <c r="E17" s="326"/>
      <c r="F17" s="326"/>
      <c r="G17" s="326"/>
      <c r="H17" s="326"/>
      <c r="I17" s="326"/>
      <c r="J17" s="326"/>
      <c r="K17" s="326"/>
      <c r="L17" s="326"/>
      <c r="M17" s="326"/>
      <c r="N17" s="326"/>
      <c r="O17" s="326"/>
      <c r="P17" s="33"/>
    </row>
    <row r="18" spans="1:16" s="27" customFormat="1" ht="13.5" customHeight="1" x14ac:dyDescent="0.25">
      <c r="A18" s="497"/>
      <c r="B18" s="325"/>
      <c r="C18" s="326"/>
      <c r="D18" s="326"/>
      <c r="E18" s="326"/>
      <c r="F18" s="326"/>
      <c r="G18" s="326"/>
      <c r="H18" s="326"/>
      <c r="I18" s="326"/>
      <c r="J18" s="326"/>
      <c r="K18" s="326"/>
      <c r="L18" s="326"/>
      <c r="M18" s="326"/>
      <c r="N18" s="326"/>
      <c r="O18" s="326"/>
      <c r="P18" s="33"/>
    </row>
    <row r="19" spans="1:16" s="27" customFormat="1" ht="13.5" customHeight="1" x14ac:dyDescent="0.25">
      <c r="A19" s="497"/>
      <c r="B19" s="325"/>
      <c r="C19" s="326"/>
      <c r="D19" s="326"/>
      <c r="E19" s="326"/>
      <c r="F19" s="326"/>
      <c r="G19" s="326"/>
      <c r="H19" s="326"/>
      <c r="I19" s="326"/>
      <c r="J19" s="326"/>
      <c r="K19" s="326"/>
      <c r="L19" s="326"/>
      <c r="M19" s="326"/>
      <c r="N19" s="326"/>
      <c r="O19" s="326"/>
      <c r="P19" s="33"/>
    </row>
    <row r="20" spans="1:16" s="27" customFormat="1" ht="13.5" customHeight="1" x14ac:dyDescent="0.25">
      <c r="A20" s="497"/>
      <c r="B20" s="325"/>
      <c r="C20" s="326"/>
      <c r="D20" s="326"/>
      <c r="E20" s="326"/>
      <c r="F20" s="326"/>
      <c r="G20" s="326"/>
      <c r="H20" s="326"/>
      <c r="I20" s="326"/>
      <c r="J20" s="326"/>
      <c r="K20" s="326"/>
      <c r="L20" s="326"/>
      <c r="M20" s="326"/>
      <c r="N20" s="326"/>
      <c r="O20" s="326"/>
      <c r="P20" s="33"/>
    </row>
    <row r="21" spans="1:16" s="27" customFormat="1" ht="13.5" customHeight="1" x14ac:dyDescent="0.25">
      <c r="A21" s="497"/>
      <c r="B21" s="325"/>
      <c r="C21" s="326"/>
      <c r="D21" s="326"/>
      <c r="E21" s="326"/>
      <c r="F21" s="326"/>
      <c r="G21" s="326"/>
      <c r="H21" s="326"/>
      <c r="I21" s="326"/>
      <c r="J21" s="326"/>
      <c r="K21" s="326"/>
      <c r="L21" s="326"/>
      <c r="M21" s="326"/>
      <c r="N21" s="326"/>
      <c r="O21" s="326"/>
      <c r="P21" s="33"/>
    </row>
    <row r="22" spans="1:16" s="27" customFormat="1" ht="13.5" customHeight="1" x14ac:dyDescent="0.25">
      <c r="A22" s="497"/>
      <c r="B22" s="325"/>
      <c r="C22" s="326"/>
      <c r="D22" s="326"/>
      <c r="E22" s="326"/>
      <c r="F22" s="326"/>
      <c r="G22" s="326"/>
      <c r="H22" s="326"/>
      <c r="I22" s="326"/>
      <c r="J22" s="326"/>
      <c r="K22" s="326"/>
      <c r="L22" s="326"/>
      <c r="M22" s="326"/>
      <c r="N22" s="326"/>
      <c r="O22" s="326"/>
      <c r="P22" s="33"/>
    </row>
    <row r="23" spans="1:16" s="27" customFormat="1" ht="13.5" customHeight="1" x14ac:dyDescent="0.25">
      <c r="A23" s="497"/>
      <c r="B23" s="325"/>
      <c r="C23" s="326"/>
      <c r="D23" s="326"/>
      <c r="E23" s="326"/>
      <c r="F23" s="326"/>
      <c r="G23" s="326"/>
      <c r="H23" s="326"/>
      <c r="I23" s="326"/>
      <c r="J23" s="326"/>
      <c r="K23" s="326"/>
      <c r="L23" s="326"/>
      <c r="M23" s="326"/>
      <c r="N23" s="326"/>
      <c r="O23" s="326"/>
      <c r="P23" s="33"/>
    </row>
    <row r="24" spans="1:16" s="27" customFormat="1" ht="13.5" customHeight="1" x14ac:dyDescent="0.25">
      <c r="A24" s="497"/>
      <c r="B24" s="325"/>
      <c r="C24" s="326"/>
      <c r="D24" s="326"/>
      <c r="E24" s="326"/>
      <c r="F24" s="326"/>
      <c r="G24" s="326"/>
      <c r="H24" s="326"/>
      <c r="I24" s="326"/>
      <c r="J24" s="326"/>
      <c r="K24" s="326"/>
      <c r="L24" s="326"/>
      <c r="M24" s="326"/>
      <c r="N24" s="326"/>
      <c r="O24" s="326"/>
      <c r="P24" s="33"/>
    </row>
    <row r="25" spans="1:16" s="27" customFormat="1" ht="13.5" customHeight="1" x14ac:dyDescent="0.25">
      <c r="A25" s="497"/>
      <c r="B25" s="325"/>
      <c r="C25" s="326"/>
      <c r="D25" s="326"/>
      <c r="E25" s="326"/>
      <c r="F25" s="326"/>
      <c r="G25" s="326"/>
      <c r="H25" s="326"/>
      <c r="I25" s="326"/>
      <c r="J25" s="326"/>
      <c r="K25" s="326"/>
      <c r="L25" s="326"/>
      <c r="M25" s="326"/>
      <c r="N25" s="326"/>
      <c r="O25" s="326"/>
      <c r="P25" s="33"/>
    </row>
    <row r="26" spans="1:16" s="27" customFormat="1" ht="13.5" customHeight="1" x14ac:dyDescent="0.25">
      <c r="A26" s="497"/>
      <c r="B26" s="325"/>
      <c r="C26" s="326"/>
      <c r="D26" s="326"/>
      <c r="E26" s="326"/>
      <c r="F26" s="326"/>
      <c r="G26" s="326"/>
      <c r="H26" s="326"/>
      <c r="I26" s="326"/>
      <c r="J26" s="326"/>
      <c r="K26" s="326"/>
      <c r="L26" s="326"/>
      <c r="M26" s="326"/>
      <c r="N26" s="326"/>
      <c r="O26" s="326"/>
      <c r="P26" s="33"/>
    </row>
    <row r="27" spans="1:16" s="27" customFormat="1" ht="13.5" customHeight="1" x14ac:dyDescent="0.25">
      <c r="A27" s="497"/>
      <c r="B27" s="325"/>
      <c r="C27" s="326"/>
      <c r="D27" s="326"/>
      <c r="E27" s="326"/>
      <c r="F27" s="326"/>
      <c r="G27" s="326"/>
      <c r="H27" s="326"/>
      <c r="I27" s="326"/>
      <c r="J27" s="326"/>
      <c r="K27" s="326"/>
      <c r="L27" s="326"/>
      <c r="M27" s="326"/>
      <c r="N27" s="326"/>
      <c r="O27" s="326"/>
      <c r="P27" s="33"/>
    </row>
    <row r="28" spans="1:16" s="27" customFormat="1" ht="13.5" customHeight="1" x14ac:dyDescent="0.25">
      <c r="A28" s="497"/>
      <c r="B28" s="325"/>
      <c r="C28" s="326"/>
      <c r="D28" s="326"/>
      <c r="E28" s="326"/>
      <c r="F28" s="326"/>
      <c r="G28" s="326"/>
      <c r="H28" s="326"/>
      <c r="I28" s="326"/>
      <c r="J28" s="326"/>
      <c r="K28" s="326"/>
      <c r="L28" s="326"/>
      <c r="M28" s="326"/>
      <c r="N28" s="326"/>
      <c r="O28" s="326"/>
      <c r="P28" s="33"/>
    </row>
    <row r="29" spans="1:16" s="27" customFormat="1" ht="13.5" customHeight="1" x14ac:dyDescent="0.25">
      <c r="A29" s="497"/>
      <c r="B29" s="325"/>
      <c r="C29" s="326"/>
      <c r="D29" s="326"/>
      <c r="E29" s="326"/>
      <c r="F29" s="326"/>
      <c r="G29" s="326"/>
      <c r="H29" s="326"/>
      <c r="I29" s="326"/>
      <c r="J29" s="326"/>
      <c r="K29" s="326"/>
      <c r="L29" s="326"/>
      <c r="M29" s="326"/>
      <c r="N29" s="326"/>
      <c r="O29" s="326"/>
      <c r="P29" s="33"/>
    </row>
    <row r="30" spans="1:16" s="27" customFormat="1" ht="13.5" customHeight="1" x14ac:dyDescent="0.25">
      <c r="A30" s="497"/>
      <c r="B30" s="325"/>
      <c r="C30" s="326"/>
      <c r="D30" s="326"/>
      <c r="E30" s="326"/>
      <c r="F30" s="326"/>
      <c r="G30" s="326"/>
      <c r="H30" s="326"/>
      <c r="I30" s="326"/>
      <c r="J30" s="326"/>
      <c r="K30" s="326"/>
      <c r="L30" s="326"/>
      <c r="M30" s="326"/>
      <c r="N30" s="326"/>
      <c r="O30" s="326"/>
      <c r="P30" s="33"/>
    </row>
    <row r="31" spans="1:16" s="27" customFormat="1" ht="13.5" customHeight="1" x14ac:dyDescent="0.25">
      <c r="A31" s="377" t="s">
        <v>89</v>
      </c>
      <c r="B31" s="327"/>
      <c r="C31" s="328"/>
      <c r="D31" s="328"/>
      <c r="E31" s="328"/>
      <c r="F31" s="328"/>
      <c r="G31" s="328"/>
      <c r="H31" s="328"/>
      <c r="I31" s="328"/>
      <c r="J31" s="328"/>
      <c r="K31" s="328"/>
      <c r="L31" s="328"/>
      <c r="M31" s="328"/>
      <c r="N31" s="328"/>
      <c r="O31" s="328"/>
      <c r="P31" s="33"/>
    </row>
    <row r="32" spans="1:16" s="27" customFormat="1" ht="13.5" customHeight="1" x14ac:dyDescent="0.25">
      <c r="A32" s="377"/>
      <c r="B32" s="327"/>
      <c r="C32" s="328"/>
      <c r="D32" s="328"/>
      <c r="E32" s="328"/>
      <c r="F32" s="328"/>
      <c r="G32" s="328"/>
      <c r="H32" s="328"/>
      <c r="I32" s="328"/>
      <c r="J32" s="328"/>
      <c r="K32" s="328"/>
      <c r="L32" s="328"/>
      <c r="M32" s="328"/>
      <c r="N32" s="328"/>
      <c r="O32" s="328"/>
      <c r="P32" s="33"/>
    </row>
    <row r="33" spans="1:16" s="27" customFormat="1" ht="13.5" customHeight="1" x14ac:dyDescent="0.25">
      <c r="A33" s="377"/>
      <c r="B33" s="327"/>
      <c r="C33" s="328"/>
      <c r="D33" s="328"/>
      <c r="E33" s="328"/>
      <c r="F33" s="328"/>
      <c r="G33" s="328"/>
      <c r="H33" s="328"/>
      <c r="I33" s="328"/>
      <c r="J33" s="328"/>
      <c r="K33" s="328"/>
      <c r="L33" s="328"/>
      <c r="M33" s="328"/>
      <c r="N33" s="328"/>
      <c r="O33" s="328"/>
      <c r="P33" s="33"/>
    </row>
    <row r="34" spans="1:16" s="27" customFormat="1" ht="13.5" customHeight="1" x14ac:dyDescent="0.25">
      <c r="A34" s="377"/>
      <c r="B34" s="327"/>
      <c r="C34" s="328"/>
      <c r="D34" s="328"/>
      <c r="E34" s="328"/>
      <c r="F34" s="328"/>
      <c r="G34" s="328"/>
      <c r="H34" s="328"/>
      <c r="I34" s="328"/>
      <c r="J34" s="328"/>
      <c r="K34" s="328"/>
      <c r="L34" s="328"/>
      <c r="M34" s="328"/>
      <c r="N34" s="328"/>
      <c r="O34" s="328"/>
      <c r="P34" s="33"/>
    </row>
    <row r="35" spans="1:16" s="27" customFormat="1" ht="13.5" customHeight="1" x14ac:dyDescent="0.25">
      <c r="A35" s="377"/>
      <c r="B35" s="327"/>
      <c r="C35" s="328"/>
      <c r="D35" s="328"/>
      <c r="E35" s="328"/>
      <c r="F35" s="328"/>
      <c r="G35" s="328"/>
      <c r="H35" s="328"/>
      <c r="I35" s="328"/>
      <c r="J35" s="328"/>
      <c r="K35" s="328"/>
      <c r="L35" s="328"/>
      <c r="M35" s="328"/>
      <c r="N35" s="328"/>
      <c r="O35" s="328"/>
      <c r="P35" s="33"/>
    </row>
    <row r="36" spans="1:16" s="27" customFormat="1" ht="13.5" customHeight="1" x14ac:dyDescent="0.25">
      <c r="A36" s="377"/>
      <c r="B36" s="327"/>
      <c r="C36" s="328"/>
      <c r="D36" s="328"/>
      <c r="E36" s="328"/>
      <c r="F36" s="328"/>
      <c r="G36" s="328"/>
      <c r="H36" s="328"/>
      <c r="I36" s="328"/>
      <c r="J36" s="328"/>
      <c r="K36" s="328"/>
      <c r="L36" s="328"/>
      <c r="M36" s="328"/>
      <c r="N36" s="328"/>
      <c r="O36" s="328"/>
      <c r="P36" s="33"/>
    </row>
    <row r="37" spans="1:16" s="27" customFormat="1" ht="13.5" customHeight="1" x14ac:dyDescent="0.25">
      <c r="A37" s="377"/>
      <c r="B37" s="327"/>
      <c r="C37" s="328"/>
      <c r="D37" s="328"/>
      <c r="E37" s="328"/>
      <c r="F37" s="328"/>
      <c r="G37" s="328"/>
      <c r="H37" s="328"/>
      <c r="I37" s="328"/>
      <c r="J37" s="328"/>
      <c r="K37" s="328"/>
      <c r="L37" s="328"/>
      <c r="M37" s="328"/>
      <c r="N37" s="328"/>
      <c r="O37" s="328"/>
      <c r="P37" s="33"/>
    </row>
    <row r="38" spans="1:16" s="27" customFormat="1" ht="13.5" customHeight="1" x14ac:dyDescent="0.25">
      <c r="A38" s="377"/>
      <c r="B38" s="327"/>
      <c r="C38" s="328"/>
      <c r="D38" s="328"/>
      <c r="E38" s="328"/>
      <c r="F38" s="328"/>
      <c r="G38" s="328"/>
      <c r="H38" s="328"/>
      <c r="I38" s="328"/>
      <c r="J38" s="328"/>
      <c r="K38" s="328"/>
      <c r="L38" s="328"/>
      <c r="M38" s="328"/>
      <c r="N38" s="328"/>
      <c r="O38" s="328"/>
      <c r="P38" s="33"/>
    </row>
    <row r="39" spans="1:16" s="27" customFormat="1" ht="13.5" customHeight="1" x14ac:dyDescent="0.25">
      <c r="A39" s="377"/>
      <c r="B39" s="327"/>
      <c r="C39" s="328"/>
      <c r="D39" s="328"/>
      <c r="E39" s="328"/>
      <c r="F39" s="328"/>
      <c r="G39" s="328"/>
      <c r="H39" s="328"/>
      <c r="I39" s="328"/>
      <c r="J39" s="328"/>
      <c r="K39" s="328"/>
      <c r="L39" s="328"/>
      <c r="M39" s="328"/>
      <c r="N39" s="328"/>
      <c r="O39" s="328"/>
      <c r="P39" s="33"/>
    </row>
    <row r="40" spans="1:16" s="27" customFormat="1" ht="13.5" customHeight="1" x14ac:dyDescent="0.25">
      <c r="A40" s="377"/>
      <c r="B40" s="327"/>
      <c r="C40" s="328"/>
      <c r="D40" s="328"/>
      <c r="E40" s="328"/>
      <c r="F40" s="328"/>
      <c r="G40" s="328"/>
      <c r="H40" s="328"/>
      <c r="I40" s="328"/>
      <c r="J40" s="328"/>
      <c r="K40" s="328"/>
      <c r="L40" s="328"/>
      <c r="M40" s="328"/>
      <c r="N40" s="328"/>
      <c r="O40" s="328"/>
      <c r="P40" s="33"/>
    </row>
    <row r="41" spans="1:16" s="27" customFormat="1" ht="13.5" customHeight="1" x14ac:dyDescent="0.25">
      <c r="A41" s="377"/>
      <c r="B41" s="327"/>
      <c r="C41" s="328"/>
      <c r="D41" s="328"/>
      <c r="E41" s="328"/>
      <c r="F41" s="328"/>
      <c r="G41" s="328"/>
      <c r="H41" s="328"/>
      <c r="I41" s="328"/>
      <c r="J41" s="328"/>
      <c r="K41" s="328"/>
      <c r="L41" s="328"/>
      <c r="M41" s="328"/>
      <c r="N41" s="328"/>
      <c r="O41" s="328"/>
      <c r="P41" s="33"/>
    </row>
    <row r="42" spans="1:16" s="27" customFormat="1" ht="13.5" customHeight="1" x14ac:dyDescent="0.25">
      <c r="A42" s="377"/>
      <c r="B42" s="327"/>
      <c r="C42" s="328"/>
      <c r="D42" s="328"/>
      <c r="E42" s="328"/>
      <c r="F42" s="328"/>
      <c r="G42" s="328"/>
      <c r="H42" s="328"/>
      <c r="I42" s="328"/>
      <c r="J42" s="328"/>
      <c r="K42" s="328"/>
      <c r="L42" s="328"/>
      <c r="M42" s="328"/>
      <c r="N42" s="328"/>
      <c r="O42" s="328"/>
      <c r="P42" s="33"/>
    </row>
    <row r="43" spans="1:16" s="27" customFormat="1" ht="13.5" customHeight="1" x14ac:dyDescent="0.25">
      <c r="A43" s="377"/>
      <c r="B43" s="327"/>
      <c r="C43" s="328"/>
      <c r="D43" s="328"/>
      <c r="E43" s="328"/>
      <c r="F43" s="328"/>
      <c r="G43" s="328"/>
      <c r="H43" s="328"/>
      <c r="I43" s="328"/>
      <c r="J43" s="328"/>
      <c r="K43" s="328"/>
      <c r="L43" s="328"/>
      <c r="M43" s="328"/>
      <c r="N43" s="328"/>
      <c r="O43" s="328"/>
      <c r="P43" s="33"/>
    </row>
    <row r="44" spans="1:16" s="27" customFormat="1" ht="13.5" customHeight="1" x14ac:dyDescent="0.25">
      <c r="A44" s="377"/>
      <c r="B44" s="327"/>
      <c r="C44" s="328"/>
      <c r="D44" s="328"/>
      <c r="E44" s="328"/>
      <c r="F44" s="328"/>
      <c r="G44" s="328"/>
      <c r="H44" s="328"/>
      <c r="I44" s="328"/>
      <c r="J44" s="328"/>
      <c r="K44" s="328"/>
      <c r="L44" s="328"/>
      <c r="M44" s="328"/>
      <c r="N44" s="328"/>
      <c r="O44" s="328"/>
      <c r="P44" s="33"/>
    </row>
    <row r="45" spans="1:16" s="27" customFormat="1" ht="13.5" customHeight="1" x14ac:dyDescent="0.25">
      <c r="A45" s="377"/>
      <c r="B45" s="327"/>
      <c r="C45" s="328"/>
      <c r="D45" s="328"/>
      <c r="E45" s="328"/>
      <c r="F45" s="328"/>
      <c r="G45" s="328"/>
      <c r="H45" s="328"/>
      <c r="I45" s="328"/>
      <c r="J45" s="328"/>
      <c r="K45" s="328"/>
      <c r="L45" s="328"/>
      <c r="M45" s="328"/>
      <c r="N45" s="328"/>
      <c r="O45" s="328"/>
      <c r="P45" s="33"/>
    </row>
    <row r="46" spans="1:16" s="27" customFormat="1" ht="13.5" customHeight="1" x14ac:dyDescent="0.25">
      <c r="A46" s="377"/>
      <c r="B46" s="327"/>
      <c r="C46" s="328"/>
      <c r="D46" s="328"/>
      <c r="E46" s="328"/>
      <c r="F46" s="328"/>
      <c r="G46" s="328"/>
      <c r="H46" s="328"/>
      <c r="I46" s="328"/>
      <c r="J46" s="328"/>
      <c r="K46" s="328"/>
      <c r="L46" s="328"/>
      <c r="M46" s="328"/>
      <c r="N46" s="328"/>
      <c r="O46" s="328"/>
      <c r="P46" s="33"/>
    </row>
    <row r="47" spans="1:16" s="27" customFormat="1" ht="13.5" customHeight="1" x14ac:dyDescent="0.25">
      <c r="A47" s="377"/>
      <c r="B47" s="327"/>
      <c r="C47" s="328"/>
      <c r="D47" s="328"/>
      <c r="E47" s="328"/>
      <c r="F47" s="328"/>
      <c r="G47" s="328"/>
      <c r="H47" s="328"/>
      <c r="I47" s="328"/>
      <c r="J47" s="328"/>
      <c r="K47" s="328"/>
      <c r="L47" s="328"/>
      <c r="M47" s="328"/>
      <c r="N47" s="328"/>
      <c r="O47" s="328"/>
      <c r="P47" s="33"/>
    </row>
    <row r="48" spans="1:16" s="27" customFormat="1" ht="13.5" customHeight="1" x14ac:dyDescent="0.25">
      <c r="A48" s="377"/>
      <c r="B48" s="327"/>
      <c r="C48" s="328"/>
      <c r="D48" s="328"/>
      <c r="E48" s="328"/>
      <c r="F48" s="328"/>
      <c r="G48" s="328"/>
      <c r="H48" s="328"/>
      <c r="I48" s="328"/>
      <c r="J48" s="328"/>
      <c r="K48" s="328"/>
      <c r="L48" s="328"/>
      <c r="M48" s="328"/>
      <c r="N48" s="328"/>
      <c r="O48" s="328"/>
      <c r="P48" s="33"/>
    </row>
    <row r="49" spans="1:19" s="27" customFormat="1" ht="13.5" customHeight="1" x14ac:dyDescent="0.25">
      <c r="A49" s="377"/>
      <c r="B49" s="327"/>
      <c r="C49" s="328"/>
      <c r="D49" s="328"/>
      <c r="E49" s="328"/>
      <c r="F49" s="328"/>
      <c r="G49" s="328"/>
      <c r="H49" s="328"/>
      <c r="I49" s="328"/>
      <c r="J49" s="328"/>
      <c r="K49" s="328"/>
      <c r="L49" s="328"/>
      <c r="M49" s="328"/>
      <c r="N49" s="328"/>
      <c r="O49" s="328"/>
      <c r="P49" s="33"/>
    </row>
    <row r="50" spans="1:19" s="27" customFormat="1" ht="13.5" customHeight="1" x14ac:dyDescent="0.25">
      <c r="A50" s="377"/>
      <c r="B50" s="327"/>
      <c r="C50" s="328"/>
      <c r="D50" s="328"/>
      <c r="E50" s="328"/>
      <c r="F50" s="328"/>
      <c r="G50" s="328"/>
      <c r="H50" s="328"/>
      <c r="I50" s="328"/>
      <c r="J50" s="328"/>
      <c r="K50" s="328"/>
      <c r="L50" s="328"/>
      <c r="M50" s="328"/>
      <c r="N50" s="328"/>
      <c r="O50" s="328"/>
      <c r="P50" s="33"/>
    </row>
    <row r="51" spans="1:19" s="27" customFormat="1" ht="13.5" customHeight="1" x14ac:dyDescent="0.25">
      <c r="A51" s="377"/>
      <c r="B51" s="327"/>
      <c r="C51" s="328"/>
      <c r="D51" s="328"/>
      <c r="E51" s="328"/>
      <c r="F51" s="328"/>
      <c r="G51" s="328"/>
      <c r="H51" s="328"/>
      <c r="I51" s="328"/>
      <c r="J51" s="328"/>
      <c r="K51" s="328"/>
      <c r="L51" s="328"/>
      <c r="M51" s="328"/>
      <c r="N51" s="328"/>
      <c r="O51" s="328"/>
      <c r="P51" s="33"/>
    </row>
    <row r="52" spans="1:19" s="27" customFormat="1" ht="13.5" customHeight="1" x14ac:dyDescent="0.25">
      <c r="A52" s="377"/>
      <c r="B52" s="327"/>
      <c r="C52" s="328"/>
      <c r="D52" s="328"/>
      <c r="E52" s="328"/>
      <c r="F52" s="328"/>
      <c r="G52" s="328"/>
      <c r="H52" s="328"/>
      <c r="I52" s="328"/>
      <c r="J52" s="328"/>
      <c r="K52" s="328"/>
      <c r="L52" s="328"/>
      <c r="M52" s="328"/>
      <c r="N52" s="328"/>
      <c r="O52" s="328"/>
      <c r="P52" s="33"/>
    </row>
    <row r="53" spans="1:19" s="27" customFormat="1" ht="13.5" customHeight="1" x14ac:dyDescent="0.25">
      <c r="A53" s="377"/>
      <c r="B53" s="327"/>
      <c r="C53" s="328"/>
      <c r="D53" s="328"/>
      <c r="E53" s="328"/>
      <c r="F53" s="328"/>
      <c r="G53" s="328"/>
      <c r="H53" s="328"/>
      <c r="I53" s="328"/>
      <c r="J53" s="328"/>
      <c r="K53" s="328"/>
      <c r="L53" s="328"/>
      <c r="M53" s="328"/>
      <c r="N53" s="328"/>
      <c r="O53" s="328"/>
      <c r="P53" s="33"/>
    </row>
    <row r="54" spans="1:19" s="27" customFormat="1" ht="13.5" customHeight="1" x14ac:dyDescent="0.25">
      <c r="A54" s="377"/>
      <c r="B54" s="327"/>
      <c r="C54" s="328"/>
      <c r="D54" s="328"/>
      <c r="E54" s="328"/>
      <c r="F54" s="328"/>
      <c r="G54" s="328"/>
      <c r="H54" s="328"/>
      <c r="I54" s="328"/>
      <c r="J54" s="328"/>
      <c r="K54" s="328"/>
      <c r="L54" s="328"/>
      <c r="M54" s="328"/>
      <c r="N54" s="328"/>
      <c r="O54" s="328"/>
      <c r="P54" s="33"/>
    </row>
    <row r="55" spans="1:19" s="27" customFormat="1" ht="13.5" customHeight="1" x14ac:dyDescent="0.25">
      <c r="A55" s="377"/>
      <c r="B55" s="327"/>
      <c r="C55" s="328"/>
      <c r="D55" s="328"/>
      <c r="E55" s="328"/>
      <c r="F55" s="328"/>
      <c r="G55" s="328"/>
      <c r="H55" s="328"/>
      <c r="I55" s="328"/>
      <c r="J55" s="328"/>
      <c r="K55" s="328"/>
      <c r="L55" s="328"/>
      <c r="M55" s="328"/>
      <c r="N55" s="328"/>
      <c r="O55" s="328"/>
      <c r="P55" s="33"/>
    </row>
    <row r="56" spans="1:19" s="27" customFormat="1" ht="13.5" customHeight="1" x14ac:dyDescent="0.25">
      <c r="A56" s="377"/>
      <c r="B56" s="327"/>
      <c r="C56" s="328"/>
      <c r="D56" s="328"/>
      <c r="E56" s="328"/>
      <c r="F56" s="328"/>
      <c r="G56" s="328"/>
      <c r="H56" s="328"/>
      <c r="I56" s="328"/>
      <c r="J56" s="328"/>
      <c r="K56" s="328"/>
      <c r="L56" s="328"/>
      <c r="M56" s="328"/>
      <c r="N56" s="328"/>
      <c r="O56" s="328"/>
      <c r="P56" s="33"/>
    </row>
    <row r="57" spans="1:19" s="27" customFormat="1" ht="13.5" customHeight="1" x14ac:dyDescent="0.25">
      <c r="A57" s="377"/>
      <c r="B57" s="327"/>
      <c r="C57" s="328"/>
      <c r="D57" s="328"/>
      <c r="E57" s="328"/>
      <c r="F57" s="328"/>
      <c r="G57" s="328"/>
      <c r="H57" s="328"/>
      <c r="I57" s="328"/>
      <c r="J57" s="328"/>
      <c r="K57" s="328"/>
      <c r="L57" s="328"/>
      <c r="M57" s="328"/>
      <c r="N57" s="328"/>
      <c r="O57" s="328"/>
      <c r="P57" s="33"/>
    </row>
    <row r="58" spans="1:19" s="27" customFormat="1" ht="13.5" customHeight="1" x14ac:dyDescent="0.25">
      <c r="A58" s="377"/>
      <c r="B58" s="327"/>
      <c r="C58" s="328"/>
      <c r="D58" s="328"/>
      <c r="E58" s="328"/>
      <c r="F58" s="328"/>
      <c r="G58" s="328"/>
      <c r="H58" s="328"/>
      <c r="I58" s="328"/>
      <c r="J58" s="328"/>
      <c r="K58" s="328"/>
      <c r="L58" s="328"/>
      <c r="M58" s="328"/>
      <c r="N58" s="328"/>
      <c r="O58" s="328"/>
      <c r="P58" s="33"/>
    </row>
    <row r="59" spans="1:19" s="27" customFormat="1" ht="13.5" customHeight="1" x14ac:dyDescent="0.25">
      <c r="A59" s="377"/>
      <c r="B59" s="327"/>
      <c r="C59" s="328"/>
      <c r="D59" s="328"/>
      <c r="E59" s="328"/>
      <c r="F59" s="328"/>
      <c r="G59" s="328"/>
      <c r="H59" s="328"/>
      <c r="I59" s="328"/>
      <c r="J59" s="328"/>
      <c r="K59" s="328"/>
      <c r="L59" s="328"/>
      <c r="M59" s="328"/>
      <c r="N59" s="328"/>
      <c r="O59" s="328"/>
      <c r="P59" s="33"/>
    </row>
    <row r="60" spans="1:19" s="27" customFormat="1" ht="13.5" customHeight="1" x14ac:dyDescent="0.25">
      <c r="A60" s="377"/>
      <c r="B60" s="327"/>
      <c r="C60" s="328"/>
      <c r="D60" s="328"/>
      <c r="E60" s="328"/>
      <c r="F60" s="328"/>
      <c r="G60" s="328"/>
      <c r="H60" s="328"/>
      <c r="I60" s="328"/>
      <c r="J60" s="328"/>
      <c r="K60" s="328"/>
      <c r="L60" s="328"/>
      <c r="M60" s="328"/>
      <c r="N60" s="328"/>
      <c r="O60" s="328"/>
      <c r="P60" s="33"/>
    </row>
    <row r="61" spans="1:19" s="27" customFormat="1" ht="13.5" customHeight="1" x14ac:dyDescent="0.25">
      <c r="A61" s="377"/>
      <c r="B61" s="327"/>
      <c r="C61" s="328"/>
      <c r="D61" s="328"/>
      <c r="E61" s="328"/>
      <c r="F61" s="328"/>
      <c r="G61" s="328"/>
      <c r="H61" s="328"/>
      <c r="I61" s="328"/>
      <c r="J61" s="328"/>
      <c r="K61" s="328"/>
      <c r="L61" s="328"/>
      <c r="M61" s="328"/>
      <c r="N61" s="328"/>
      <c r="O61" s="328"/>
      <c r="P61" s="33"/>
    </row>
    <row r="62" spans="1:19" s="459" customFormat="1" x14ac:dyDescent="0.25"/>
    <row r="63" spans="1:19" x14ac:dyDescent="0.25">
      <c r="A63" s="27"/>
      <c r="B63" s="27"/>
      <c r="C63" s="41" t="str" cm="1">
        <f t="array" ref="C63:O63">Donnees_Brutes_Omia_2[[#Headers],[Connecteur 1]:[Connecteur 13]]</f>
        <v>Connecteur 1</v>
      </c>
      <c r="D63" s="41" t="str">
        <v>Connecteur 2</v>
      </c>
      <c r="E63" s="41" t="str">
        <v>Connecteur 3</v>
      </c>
      <c r="F63" s="41" t="str">
        <v>Connecteur 4</v>
      </c>
      <c r="G63" s="41" t="str">
        <v>Connecteur 5</v>
      </c>
      <c r="H63" s="41" t="str">
        <v>Connecteur 6</v>
      </c>
      <c r="I63" s="41" t="str">
        <v>Connecteur 7</v>
      </c>
      <c r="J63" s="41" t="str">
        <v>Connecteur 8</v>
      </c>
      <c r="K63" s="41" t="str">
        <v>Connecteur 9</v>
      </c>
      <c r="L63" s="41" t="str">
        <v>Connecteur 10</v>
      </c>
      <c r="M63" s="41" t="str">
        <v>Connecteur 11</v>
      </c>
      <c r="N63" s="41" t="str">
        <v>Connecteur 12</v>
      </c>
      <c r="O63" s="36" t="str">
        <v>Connecteur 13</v>
      </c>
      <c r="P63" s="33"/>
      <c r="Q63" s="27"/>
      <c r="R63" s="27"/>
    </row>
    <row r="64" spans="1:19" x14ac:dyDescent="0.25">
      <c r="A64" s="27"/>
      <c r="B64" s="42" t="s">
        <v>91</v>
      </c>
      <c r="C64" s="43" t="e">
        <f t="shared" ref="C64:O64" si="0">MAX(C11:C61)</f>
        <v>#N/A</v>
      </c>
      <c r="D64" s="43" t="e">
        <f t="shared" si="0"/>
        <v>#N/A</v>
      </c>
      <c r="E64" s="43" t="e">
        <f t="shared" si="0"/>
        <v>#N/A</v>
      </c>
      <c r="F64" s="43" t="e">
        <f t="shared" si="0"/>
        <v>#N/A</v>
      </c>
      <c r="G64" s="43" t="e">
        <f t="shared" si="0"/>
        <v>#N/A</v>
      </c>
      <c r="H64" s="43" t="e">
        <f t="shared" si="0"/>
        <v>#N/A</v>
      </c>
      <c r="I64" s="43" t="e">
        <f t="shared" si="0"/>
        <v>#N/A</v>
      </c>
      <c r="J64" s="43" t="e">
        <f t="shared" si="0"/>
        <v>#N/A</v>
      </c>
      <c r="K64" s="43" t="e">
        <f t="shared" si="0"/>
        <v>#N/A</v>
      </c>
      <c r="L64" s="43" t="e">
        <f t="shared" si="0"/>
        <v>#N/A</v>
      </c>
      <c r="M64" s="43" t="e">
        <f t="shared" si="0"/>
        <v>#N/A</v>
      </c>
      <c r="N64" s="43" t="e">
        <f t="shared" si="0"/>
        <v>#N/A</v>
      </c>
      <c r="O64" s="43" t="e">
        <f t="shared" si="0"/>
        <v>#N/A</v>
      </c>
      <c r="P64" s="48">
        <f>S64+Mesures_Omia!B20</f>
        <v>0</v>
      </c>
      <c r="Q64" s="33"/>
      <c r="R64" s="36" t="s">
        <v>7</v>
      </c>
      <c r="S64" s="48">
        <f>Mesures_Omia!C19</f>
        <v>0</v>
      </c>
    </row>
    <row r="65" spans="1:19" s="27" customFormat="1" x14ac:dyDescent="0.25">
      <c r="B65" s="42" t="s">
        <v>93</v>
      </c>
      <c r="C65" s="43" t="e">
        <f t="shared" ref="C65:O65" si="1">MIN(C11:C61)</f>
        <v>#N/A</v>
      </c>
      <c r="D65" s="43" t="e">
        <f t="shared" si="1"/>
        <v>#N/A</v>
      </c>
      <c r="E65" s="43" t="e">
        <f t="shared" si="1"/>
        <v>#N/A</v>
      </c>
      <c r="F65" s="43" t="e">
        <f t="shared" si="1"/>
        <v>#N/A</v>
      </c>
      <c r="G65" s="43" t="e">
        <f t="shared" si="1"/>
        <v>#N/A</v>
      </c>
      <c r="H65" s="43" t="e">
        <f t="shared" si="1"/>
        <v>#N/A</v>
      </c>
      <c r="I65" s="43" t="e">
        <f t="shared" si="1"/>
        <v>#N/A</v>
      </c>
      <c r="J65" s="43" t="e">
        <f t="shared" si="1"/>
        <v>#N/A</v>
      </c>
      <c r="K65" s="43" t="e">
        <f t="shared" si="1"/>
        <v>#N/A</v>
      </c>
      <c r="L65" s="43" t="e">
        <f t="shared" si="1"/>
        <v>#N/A</v>
      </c>
      <c r="M65" s="43" t="e">
        <f t="shared" si="1"/>
        <v>#N/A</v>
      </c>
      <c r="N65" s="43" t="e">
        <f t="shared" si="1"/>
        <v>#N/A</v>
      </c>
      <c r="O65" s="43" t="e">
        <f t="shared" si="1"/>
        <v>#N/A</v>
      </c>
      <c r="P65" s="48">
        <f>S64-Mesures_Omia!B20</f>
        <v>0</v>
      </c>
      <c r="Q65" s="33"/>
      <c r="R65" s="36" t="s">
        <v>92</v>
      </c>
      <c r="S65" s="35" t="str">
        <f>"+" &amp; Mesures_Omia!B20 &amp; "°C"</f>
        <v>+°C</v>
      </c>
    </row>
    <row r="66" spans="1:19" s="27" customFormat="1" x14ac:dyDescent="0.25">
      <c r="B66" s="42" t="s">
        <v>95</v>
      </c>
      <c r="C66" s="43" t="e">
        <f t="shared" ref="C66:O66" si="2">AVERAGE(C11:C61)</f>
        <v>#N/A</v>
      </c>
      <c r="D66" s="43" t="e">
        <f t="shared" si="2"/>
        <v>#N/A</v>
      </c>
      <c r="E66" s="43" t="e">
        <f t="shared" si="2"/>
        <v>#N/A</v>
      </c>
      <c r="F66" s="43" t="e">
        <f t="shared" si="2"/>
        <v>#N/A</v>
      </c>
      <c r="G66" s="43" t="e">
        <f t="shared" si="2"/>
        <v>#N/A</v>
      </c>
      <c r="H66" s="43" t="e">
        <f t="shared" si="2"/>
        <v>#N/A</v>
      </c>
      <c r="I66" s="43" t="e">
        <f t="shared" si="2"/>
        <v>#N/A</v>
      </c>
      <c r="J66" s="43" t="e">
        <f t="shared" si="2"/>
        <v>#N/A</v>
      </c>
      <c r="K66" s="43" t="e">
        <f t="shared" si="2"/>
        <v>#N/A</v>
      </c>
      <c r="L66" s="43" t="e">
        <f t="shared" si="2"/>
        <v>#N/A</v>
      </c>
      <c r="M66" s="43" t="e">
        <f t="shared" si="2"/>
        <v>#N/A</v>
      </c>
      <c r="N66" s="43" t="e">
        <f t="shared" si="2"/>
        <v>#N/A</v>
      </c>
      <c r="O66" s="43" t="e">
        <f t="shared" si="2"/>
        <v>#N/A</v>
      </c>
      <c r="P66" s="44"/>
      <c r="Q66" s="33"/>
      <c r="R66" s="36" t="s">
        <v>94</v>
      </c>
      <c r="S66" s="35" t="str">
        <f>"-" &amp; Mesures_Omia!B20 &amp; "°C"</f>
        <v>-°C</v>
      </c>
    </row>
    <row r="67" spans="1:19" s="27" customFormat="1" x14ac:dyDescent="0.25">
      <c r="B67" s="42" t="s">
        <v>96</v>
      </c>
      <c r="C67" s="45" t="e">
        <f>C64-C65</f>
        <v>#N/A</v>
      </c>
      <c r="D67" s="45" t="e">
        <f t="shared" ref="D67:O67" si="3">D64-D65</f>
        <v>#N/A</v>
      </c>
      <c r="E67" s="45" t="e">
        <f t="shared" si="3"/>
        <v>#N/A</v>
      </c>
      <c r="F67" s="45" t="e">
        <f t="shared" si="3"/>
        <v>#N/A</v>
      </c>
      <c r="G67" s="45" t="e">
        <f t="shared" si="3"/>
        <v>#N/A</v>
      </c>
      <c r="H67" s="45" t="e">
        <f t="shared" si="3"/>
        <v>#N/A</v>
      </c>
      <c r="I67" s="45" t="e">
        <f t="shared" si="3"/>
        <v>#N/A</v>
      </c>
      <c r="J67" s="45" t="e">
        <f t="shared" si="3"/>
        <v>#N/A</v>
      </c>
      <c r="K67" s="45" t="e">
        <f t="shared" si="3"/>
        <v>#N/A</v>
      </c>
      <c r="L67" s="45" t="e">
        <f t="shared" si="3"/>
        <v>#N/A</v>
      </c>
      <c r="M67" s="45" t="e">
        <f t="shared" si="3"/>
        <v>#N/A</v>
      </c>
      <c r="N67" s="45" t="e">
        <f t="shared" si="3"/>
        <v>#N/A</v>
      </c>
      <c r="O67" s="45" t="e">
        <f t="shared" si="3"/>
        <v>#N/A</v>
      </c>
      <c r="P67" s="33"/>
    </row>
    <row r="68" spans="1:19" s="27" customFormat="1" x14ac:dyDescent="0.25">
      <c r="B68" s="42" t="s">
        <v>97</v>
      </c>
      <c r="C68" s="493" t="e">
        <f>ABS(MAX(C64:N64)-MIN(C65:N65))</f>
        <v>#N/A</v>
      </c>
      <c r="D68" s="494"/>
      <c r="E68" s="494"/>
      <c r="F68" s="494"/>
      <c r="G68" s="494"/>
      <c r="H68" s="494"/>
      <c r="I68" s="494"/>
      <c r="J68" s="494"/>
      <c r="K68" s="494"/>
      <c r="L68" s="494"/>
      <c r="M68" s="494"/>
      <c r="N68" s="494"/>
      <c r="O68" s="495"/>
      <c r="P68" s="33"/>
    </row>
    <row r="69" spans="1:19" s="27" customFormat="1" x14ac:dyDescent="0.25">
      <c r="B69" s="42" t="s">
        <v>98</v>
      </c>
      <c r="C69" s="493" t="e">
        <f>AVERAGE(C66:N66)</f>
        <v>#N/A</v>
      </c>
      <c r="D69" s="494"/>
      <c r="E69" s="494"/>
      <c r="F69" s="494"/>
      <c r="G69" s="494"/>
      <c r="H69" s="494"/>
      <c r="I69" s="494"/>
      <c r="J69" s="494"/>
      <c r="K69" s="494"/>
      <c r="L69" s="494"/>
      <c r="M69" s="494"/>
      <c r="N69" s="494"/>
      <c r="O69" s="495"/>
      <c r="P69" s="33"/>
    </row>
    <row r="70" spans="1:19" s="27" customFormat="1" x14ac:dyDescent="0.25">
      <c r="B70" s="36" t="s">
        <v>99</v>
      </c>
      <c r="C70" s="46" t="e">
        <f ca="1">STDEV(OFFSET(INDEX(Donnees_Brutes_Omia_2[Connecteur 1],1),COUNT(Donnees_Brutes_Omia_2[Connecteur 1])-30,0,30))+C5+C6</f>
        <v>#REF!</v>
      </c>
      <c r="D70" s="46" t="e">
        <f ca="1">STDEV(OFFSET(INDEX(Donnees_Brutes_Omia_2[Connecteur 2],1),COUNT(Donnees_Brutes_Omia_2[Connecteur 2])-30,0,30))+D5+D6</f>
        <v>#REF!</v>
      </c>
      <c r="E70" s="46" t="e">
        <f ca="1">STDEV(OFFSET(INDEX(Donnees_Brutes_Omia_2[Connecteur 3],1),COUNT(Donnees_Brutes_Omia_2[Connecteur 3])-30,0,30))+E5+E6</f>
        <v>#REF!</v>
      </c>
      <c r="F70" s="46" t="e">
        <f ca="1">STDEV(OFFSET(INDEX(Donnees_Brutes_Omia_2[Connecteur 4],1),COUNT(Donnees_Brutes_Omia_2[Connecteur 4])-30,0,30))+F5+F6</f>
        <v>#REF!</v>
      </c>
      <c r="G70" s="46" t="e">
        <f ca="1">STDEV(OFFSET(INDEX(Donnees_Brutes_Omia_2[Connecteur 5],1),COUNT(Donnees_Brutes_Omia_2[Connecteur 5])-30,0,30))+G5+G6</f>
        <v>#REF!</v>
      </c>
      <c r="H70" s="46" t="e">
        <f ca="1">STDEV(OFFSET(INDEX(Donnees_Brutes_Omia_2[Connecteur 6],1),COUNT(Donnees_Brutes_Omia_2[Connecteur 6])-30,0,30))+H5+H6</f>
        <v>#REF!</v>
      </c>
      <c r="I70" s="46" t="e">
        <f ca="1">STDEV(OFFSET(INDEX(Donnees_Brutes_Omia_2[Connecteur 7],1),COUNT(Donnees_Brutes_Omia_2[Connecteur 7])-30,0,30))+I5+I6</f>
        <v>#REF!</v>
      </c>
      <c r="J70" s="46" t="e">
        <f ca="1">STDEV(OFFSET(INDEX(Donnees_Brutes_Omia_2[Connecteur 8],1),COUNT(Donnees_Brutes_Omia_2[Connecteur 8])-30,0,30))+J5+J6</f>
        <v>#REF!</v>
      </c>
      <c r="K70" s="46" t="e">
        <f ca="1">STDEV(OFFSET(INDEX(Donnees_Brutes_Omia_2[Connecteur 9],1),COUNT(Donnees_Brutes_Omia_2[Connecteur 9])-30,0,30))+K5+K6</f>
        <v>#REF!</v>
      </c>
      <c r="L70" s="46" t="e">
        <f ca="1">STDEV(OFFSET(INDEX(Donnees_Brutes_Omia_2[Connecteur 10],1),COUNT(Donnees_Brutes_Omia_2[Connecteur 10])-30,0,30))+L5+L6</f>
        <v>#REF!</v>
      </c>
      <c r="M70" s="46" t="e">
        <f ca="1">STDEV(OFFSET(INDEX(Donnees_Brutes_Omia_2[Connecteur 11],1),COUNT(Donnees_Brutes_Omia_2[Connecteur 11])-30,0,30))+M5+M6</f>
        <v>#REF!</v>
      </c>
      <c r="N70" s="46" t="e">
        <f ca="1">STDEV(OFFSET(INDEX(Donnees_Brutes_Omia_2[Connecteur 12],1),COUNT(Donnees_Brutes_Omia_2[Connecteur 12])-30,0,30))+N5+N6</f>
        <v>#REF!</v>
      </c>
      <c r="O70" s="46" t="e">
        <f ca="1">STDEV(OFFSET(INDEX(Donnees_Brutes_Omia_2[Connecteur 13],1),COUNT(Donnees_Brutes_Omia_2[Connecteur 13])-30,0,30))+O5+O6</f>
        <v>#REF!</v>
      </c>
      <c r="P70" s="33"/>
    </row>
    <row r="71" spans="1:19" s="27" customFormat="1" x14ac:dyDescent="0.25">
      <c r="A71"/>
      <c r="B71"/>
      <c r="C71"/>
      <c r="D71"/>
      <c r="E71"/>
      <c r="F71"/>
      <c r="G71"/>
      <c r="H71"/>
      <c r="I71"/>
      <c r="J71"/>
      <c r="K71"/>
      <c r="L71"/>
      <c r="M71"/>
      <c r="N71"/>
      <c r="O71"/>
      <c r="P71"/>
      <c r="Q71"/>
      <c r="R71"/>
    </row>
    <row r="72" spans="1:19" s="27" customFormat="1" x14ac:dyDescent="0.25"/>
  </sheetData>
  <sheetProtection algorithmName="SHA-512" hashValue="NvzoyaImpB0il6YE7IyEj68xWHCx9RmA3bu8nfYwDu6pJSFjYACnic6jtwxrxEOoC+2j8fRjERygwGrm9yD/jw==" saltValue="WYgkdHbVskxvkKJwhCeswQ==" spinCount="100000" sheet="1" objects="1" scenarios="1"/>
  <dataConsolidate/>
  <mergeCells count="7">
    <mergeCell ref="C69:O69"/>
    <mergeCell ref="A1:S3"/>
    <mergeCell ref="A9:N9"/>
    <mergeCell ref="A62:XFD62"/>
    <mergeCell ref="C68:O68"/>
    <mergeCell ref="A31:A61"/>
    <mergeCell ref="A11:A30"/>
  </mergeCells>
  <conditionalFormatting sqref="C64:O64">
    <cfRule type="cellIs" dxfId="34" priority="2" operator="greaterThan">
      <formula>$P$64</formula>
    </cfRule>
    <cfRule type="cellIs" dxfId="33" priority="3" operator="greaterThan">
      <formula>$P$64</formula>
    </cfRule>
  </conditionalFormatting>
  <conditionalFormatting sqref="C65:O65">
    <cfRule type="cellIs" dxfId="32" priority="1" operator="lessThan">
      <formula>$P$65</formula>
    </cfRule>
    <cfRule type="cellIs" dxfId="31" priority="4" operator="lessThan">
      <formula>$P$65</formula>
    </cfRule>
  </conditionalFormatting>
  <pageMargins left="0.7" right="0.7" top="0.75" bottom="0.75" header="0.3" footer="0.3"/>
  <pageSetup paperSize="9"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66"/>
  <sheetViews>
    <sheetView topLeftCell="A25" workbookViewId="0">
      <selection activeCell="B44" sqref="B44"/>
    </sheetView>
  </sheetViews>
  <sheetFormatPr baseColWidth="10" defaultRowHeight="15" x14ac:dyDescent="0.25"/>
  <cols>
    <col min="1" max="1" width="11.140625" customWidth="1"/>
    <col min="2" max="2" width="15" bestFit="1" customWidth="1"/>
    <col min="3" max="11" width="12.7109375" bestFit="1" customWidth="1"/>
    <col min="12" max="15" width="13.7109375" bestFit="1" customWidth="1"/>
    <col min="18" max="18" width="15.28515625" bestFit="1" customWidth="1"/>
  </cols>
  <sheetData>
    <row r="1" spans="1:19" s="27" customFormat="1" x14ac:dyDescent="0.25">
      <c r="A1" s="458" t="str">
        <f>Mesures_Omia!D19 &amp; "°C"</f>
        <v>°C</v>
      </c>
      <c r="B1" s="458"/>
      <c r="C1" s="458"/>
      <c r="D1" s="458"/>
      <c r="E1" s="458"/>
      <c r="F1" s="458"/>
      <c r="G1" s="458"/>
      <c r="H1" s="458"/>
      <c r="I1" s="458"/>
      <c r="J1" s="458"/>
      <c r="K1" s="458"/>
      <c r="L1" s="458"/>
      <c r="M1" s="458"/>
      <c r="N1" s="458"/>
      <c r="O1" s="458"/>
      <c r="P1" s="458"/>
      <c r="Q1" s="458"/>
      <c r="R1" s="458"/>
      <c r="S1" s="458"/>
    </row>
    <row r="2" spans="1:19" s="27" customFormat="1" x14ac:dyDescent="0.25">
      <c r="A2" s="458"/>
      <c r="B2" s="458"/>
      <c r="C2" s="458"/>
      <c r="D2" s="458"/>
      <c r="E2" s="458"/>
      <c r="F2" s="458"/>
      <c r="G2" s="458"/>
      <c r="H2" s="458"/>
      <c r="I2" s="458"/>
      <c r="J2" s="458"/>
      <c r="K2" s="458"/>
      <c r="L2" s="458"/>
      <c r="M2" s="458"/>
      <c r="N2" s="458"/>
      <c r="O2" s="458"/>
      <c r="P2" s="458"/>
      <c r="Q2" s="458"/>
      <c r="R2" s="458"/>
      <c r="S2" s="458"/>
    </row>
    <row r="3" spans="1:19" s="27" customFormat="1" x14ac:dyDescent="0.25">
      <c r="A3" s="458"/>
      <c r="B3" s="458"/>
      <c r="C3" s="458"/>
      <c r="D3" s="458"/>
      <c r="E3" s="458"/>
      <c r="F3" s="458"/>
      <c r="G3" s="458"/>
      <c r="H3" s="458"/>
      <c r="I3" s="458"/>
      <c r="J3" s="458"/>
      <c r="K3" s="458"/>
      <c r="L3" s="458"/>
      <c r="M3" s="458"/>
      <c r="N3" s="458"/>
      <c r="O3" s="458"/>
      <c r="P3" s="458"/>
      <c r="Q3" s="458"/>
      <c r="R3" s="458"/>
      <c r="S3" s="458"/>
    </row>
    <row r="4" spans="1:19" s="27" customFormat="1" x14ac:dyDescent="0.25">
      <c r="P4" s="33"/>
    </row>
    <row r="5" spans="1:19" s="27" customFormat="1" x14ac:dyDescent="0.25">
      <c r="A5" s="146"/>
      <c r="B5" s="34" t="s">
        <v>23</v>
      </c>
      <c r="C5" s="35" t="e">
        <f>_xlfn.XLOOKUP(INT(SUBSTITUTE(C58,"Connecteur ","")),Mesures_Omia!C23:C35,Mesures_Omia!I23:I35)</f>
        <v>#N/A</v>
      </c>
      <c r="D5" s="35" t="e">
        <f>_xlfn.XLOOKUP(INT(SUBSTITUTE(D58,"Connecteur ","")),Mesures_Omia!C23:C35,Mesures_Omia!I23:I35)</f>
        <v>#N/A</v>
      </c>
      <c r="E5" s="35" t="e">
        <f>_xlfn.XLOOKUP(INT(SUBSTITUTE(E58,"Connecteur ","")),Mesures_Omia!C23:C35,Mesures_Omia!I23:I35)</f>
        <v>#N/A</v>
      </c>
      <c r="F5" s="35" t="e">
        <f>_xlfn.XLOOKUP(INT(SUBSTITUTE(F58,"Connecteur ","")),Mesures_Omia!C23:C35,Mesures_Omia!I23:I35)</f>
        <v>#N/A</v>
      </c>
      <c r="G5" s="35" t="e">
        <f>_xlfn.XLOOKUP(INT(SUBSTITUTE(G58,"Connecteur ","")),Mesures_Omia!C23:C35,Mesures_Omia!I23:I35)</f>
        <v>#N/A</v>
      </c>
      <c r="H5" s="35" t="e">
        <f>_xlfn.XLOOKUP(INT(SUBSTITUTE(H58,"Connecteur ","")),Mesures_Omia!C23:C35,Mesures_Omia!I23:I35)</f>
        <v>#N/A</v>
      </c>
      <c r="I5" s="35" t="e">
        <f>_xlfn.XLOOKUP(INT(SUBSTITUTE(I58,"Connecteur ","")),Mesures_Omia!C23:C35,Mesures_Omia!I23:I35)</f>
        <v>#N/A</v>
      </c>
      <c r="J5" s="35" t="e">
        <f>_xlfn.XLOOKUP(INT(SUBSTITUTE(J58,"Connecteur ","")),Mesures_Omia!C23:C35,Mesures_Omia!I23:I35)</f>
        <v>#N/A</v>
      </c>
      <c r="K5" s="35" t="e">
        <f>_xlfn.XLOOKUP(INT(SUBSTITUTE(K58,"Connecteur ","")),Mesures_Omia!C23:C35,Mesures_Omia!I23:I35)</f>
        <v>#N/A</v>
      </c>
      <c r="L5" s="35" t="e">
        <f>_xlfn.XLOOKUP(INT(SUBSTITUTE(L58,"Connecteur ","")),Mesures_Omia!C23:C35,Mesures_Omia!I23:I35)</f>
        <v>#N/A</v>
      </c>
      <c r="M5" s="35" t="e">
        <f>_xlfn.XLOOKUP(INT(SUBSTITUTE(M58,"Connecteur ","")),Mesures_Omia!C23:C35,Mesures_Omia!I23:I35)</f>
        <v>#N/A</v>
      </c>
      <c r="N5" s="35" t="e">
        <f>_xlfn.XLOOKUP(INT(SUBSTITUTE(N58,"Connecteur ","")),Mesures_Omia!C23:C35,Mesures_Omia!I23:I35)</f>
        <v>#N/A</v>
      </c>
      <c r="O5" s="35" t="e">
        <f>_xlfn.XLOOKUP(INT(SUBSTITUTE(O58,"Connecteur ","")),Mesures_Omia!C23:C35,Mesures_Omia!I23:I35)</f>
        <v>#N/A</v>
      </c>
      <c r="P5" s="33"/>
    </row>
    <row r="6" spans="1:19" s="27" customFormat="1" x14ac:dyDescent="0.25">
      <c r="A6" s="146"/>
      <c r="B6" s="34" t="s">
        <v>87</v>
      </c>
      <c r="C6" s="35" t="e">
        <f>_xlfn.XLOOKUP(INT(SUBSTITUTE(C58,"Connecteur ","")),Mesures_Omia!C23:C35,Mesures_Omia!F23:F35)</f>
        <v>#N/A</v>
      </c>
      <c r="D6" s="35" t="e">
        <f>_xlfn.XLOOKUP(INT(SUBSTITUTE(D58,"Connecteur ","")),Mesures_Omia!C23:C35,Mesures_Omia!F23:F35)</f>
        <v>#N/A</v>
      </c>
      <c r="E6" s="35" t="e">
        <f>_xlfn.XLOOKUP(INT(SUBSTITUTE(E58,"Connecteur ","")),Mesures_Omia!C23:C35,Mesures_Omia!F23:F35)</f>
        <v>#N/A</v>
      </c>
      <c r="F6" s="35" t="e">
        <f>_xlfn.XLOOKUP(INT(SUBSTITUTE(F58,"Connecteur ","")),Mesures_Omia!C23:C35,Mesures_Omia!F23:F35)</f>
        <v>#N/A</v>
      </c>
      <c r="G6" s="35" t="e">
        <f>_xlfn.XLOOKUP(INT(SUBSTITUTE(G58,"Connecteur ","")),Mesures_Omia!C23:C35,Mesures_Omia!F23:F35)</f>
        <v>#N/A</v>
      </c>
      <c r="H6" s="35" t="e">
        <f>_xlfn.XLOOKUP(INT(SUBSTITUTE(H58,"Connecteur ","")),Mesures_Omia!C23:C35,Mesures_Omia!F23:F35)</f>
        <v>#N/A</v>
      </c>
      <c r="I6" s="35" t="e">
        <f>_xlfn.XLOOKUP(INT(SUBSTITUTE(I58,"Connecteur ","")),Mesures_Omia!C23:C35,Mesures_Omia!F23:F35)</f>
        <v>#N/A</v>
      </c>
      <c r="J6" s="35" t="e">
        <f>_xlfn.XLOOKUP(INT(SUBSTITUTE(J58,"Connecteur ","")),Mesures_Omia!C23:C35,Mesures_Omia!F23:F35)</f>
        <v>#N/A</v>
      </c>
      <c r="K6" s="35" t="e">
        <f>_xlfn.XLOOKUP(INT(SUBSTITUTE(K58,"Connecteur ","")),Mesures_Omia!C23:C35,Mesures_Omia!F23:F35)</f>
        <v>#N/A</v>
      </c>
      <c r="L6" s="35" t="e">
        <f>_xlfn.XLOOKUP(INT(SUBSTITUTE(L58,"Connecteur ","")),Mesures_Omia!C23:C35,Mesures_Omia!F23:F35)</f>
        <v>#N/A</v>
      </c>
      <c r="M6" s="35" t="e">
        <f>_xlfn.XLOOKUP(INT(SUBSTITUTE(M58,"Connecteur ","")),Mesures_Omia!C23:C35,Mesures_Omia!F23:F35)</f>
        <v>#N/A</v>
      </c>
      <c r="N6" s="35" t="e">
        <f>_xlfn.XLOOKUP(INT(SUBSTITUTE(N58,"Connecteur ","")),Mesures_Omia!C23:C35,Mesures_Omia!F23:F35)</f>
        <v>#N/A</v>
      </c>
      <c r="O6" s="35" t="e">
        <f>_xlfn.XLOOKUP(INT(SUBSTITUTE(O58,"Connecteur ","")),Mesures_Omia!C23:C35,Mesures_Omia!F23:F35)</f>
        <v>#N/A</v>
      </c>
      <c r="P6" s="33"/>
    </row>
    <row r="7" spans="1:19" s="27" customFormat="1" x14ac:dyDescent="0.25">
      <c r="P7" s="33"/>
    </row>
    <row r="8" spans="1:19" s="27" customFormat="1" x14ac:dyDescent="0.25">
      <c r="P8" s="33"/>
    </row>
    <row r="9" spans="1:19" s="27" customFormat="1" x14ac:dyDescent="0.25">
      <c r="A9" s="342" t="s">
        <v>88</v>
      </c>
      <c r="B9" s="342"/>
      <c r="C9" s="342"/>
      <c r="D9" s="342"/>
      <c r="E9" s="342"/>
      <c r="F9" s="342"/>
      <c r="G9" s="342"/>
      <c r="H9" s="342"/>
      <c r="I9" s="342"/>
      <c r="J9" s="342"/>
      <c r="K9" s="342"/>
      <c r="L9" s="342"/>
      <c r="M9" s="342"/>
      <c r="N9" s="342"/>
      <c r="P9" s="33"/>
    </row>
    <row r="10" spans="1:19" s="27" customFormat="1" x14ac:dyDescent="0.25">
      <c r="A10" s="33"/>
      <c r="B10" s="34" t="str">
        <f>Donnees_Brutes_Omia_3[[#Headers],[Date/Heure]]</f>
        <v>Date/Heure</v>
      </c>
      <c r="C10" s="36" t="str" cm="1">
        <f t="array" ref="C10:O10">Donnees_Brutes_Omia_3[[#Headers],[Connecteur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496" t="s">
        <v>292</v>
      </c>
      <c r="B11" s="145" cm="1">
        <f t="array" ref="B11">Donnees_Brutes_Omia_3[Date/Heure]</f>
        <v>0</v>
      </c>
      <c r="C11" s="130" t="e" cm="1">
        <f t="array" ref="C11:O11">Donnees_Brutes_Omia_3[[Connecteur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ht="13.5" customHeight="1" x14ac:dyDescent="0.25">
      <c r="A12" s="497"/>
      <c r="B12" s="325"/>
      <c r="C12" s="326"/>
      <c r="D12" s="326"/>
      <c r="E12" s="326"/>
      <c r="F12" s="326"/>
      <c r="G12" s="326"/>
      <c r="H12" s="326"/>
      <c r="I12" s="326"/>
      <c r="J12" s="326"/>
      <c r="K12" s="326"/>
      <c r="L12" s="326"/>
      <c r="M12" s="326"/>
      <c r="N12" s="326"/>
      <c r="O12" s="326"/>
      <c r="P12" s="33"/>
    </row>
    <row r="13" spans="1:19" s="27" customFormat="1" ht="13.5" customHeight="1" x14ac:dyDescent="0.25">
      <c r="A13" s="497"/>
      <c r="B13" s="325"/>
      <c r="C13" s="326"/>
      <c r="D13" s="326"/>
      <c r="E13" s="326"/>
      <c r="F13" s="326"/>
      <c r="G13" s="326"/>
      <c r="H13" s="326"/>
      <c r="I13" s="326"/>
      <c r="J13" s="326"/>
      <c r="K13" s="326"/>
      <c r="L13" s="326"/>
      <c r="M13" s="326"/>
      <c r="N13" s="326"/>
      <c r="O13" s="326"/>
      <c r="P13" s="33"/>
    </row>
    <row r="14" spans="1:19" s="27" customFormat="1" ht="13.5" customHeight="1" x14ac:dyDescent="0.25">
      <c r="A14" s="497"/>
      <c r="B14" s="325"/>
      <c r="C14" s="326"/>
      <c r="D14" s="326"/>
      <c r="E14" s="326"/>
      <c r="F14" s="326"/>
      <c r="G14" s="326"/>
      <c r="H14" s="326"/>
      <c r="I14" s="326"/>
      <c r="J14" s="326"/>
      <c r="K14" s="326"/>
      <c r="L14" s="326"/>
      <c r="M14" s="326"/>
      <c r="N14" s="326"/>
      <c r="O14" s="326"/>
      <c r="P14" s="33"/>
    </row>
    <row r="15" spans="1:19" s="27" customFormat="1" ht="13.5" customHeight="1" x14ac:dyDescent="0.25">
      <c r="A15" s="497"/>
      <c r="B15" s="325"/>
      <c r="C15" s="326"/>
      <c r="D15" s="326"/>
      <c r="E15" s="326"/>
      <c r="F15" s="326"/>
      <c r="G15" s="326"/>
      <c r="H15" s="326"/>
      <c r="I15" s="326"/>
      <c r="J15" s="326"/>
      <c r="K15" s="326"/>
      <c r="L15" s="326"/>
      <c r="M15" s="326"/>
      <c r="N15" s="326"/>
      <c r="O15" s="326"/>
      <c r="P15" s="33"/>
    </row>
    <row r="16" spans="1:19" s="27" customFormat="1" ht="13.5" customHeight="1" x14ac:dyDescent="0.25">
      <c r="A16" s="497"/>
      <c r="B16" s="325"/>
      <c r="C16" s="326"/>
      <c r="D16" s="326"/>
      <c r="E16" s="326"/>
      <c r="F16" s="326"/>
      <c r="G16" s="326"/>
      <c r="H16" s="326"/>
      <c r="I16" s="326"/>
      <c r="J16" s="326"/>
      <c r="K16" s="326"/>
      <c r="L16" s="326"/>
      <c r="M16" s="326"/>
      <c r="N16" s="326"/>
      <c r="O16" s="326"/>
      <c r="P16" s="33"/>
    </row>
    <row r="17" spans="1:16" s="27" customFormat="1" ht="13.5" customHeight="1" x14ac:dyDescent="0.25">
      <c r="A17" s="497"/>
      <c r="B17" s="325"/>
      <c r="C17" s="326"/>
      <c r="D17" s="326"/>
      <c r="E17" s="326"/>
      <c r="F17" s="326"/>
      <c r="G17" s="326"/>
      <c r="H17" s="326"/>
      <c r="I17" s="326"/>
      <c r="J17" s="326"/>
      <c r="K17" s="326"/>
      <c r="L17" s="326"/>
      <c r="M17" s="326"/>
      <c r="N17" s="326"/>
      <c r="O17" s="326"/>
      <c r="P17" s="33"/>
    </row>
    <row r="18" spans="1:16" s="27" customFormat="1" ht="13.5" customHeight="1" x14ac:dyDescent="0.25">
      <c r="A18" s="497"/>
      <c r="B18" s="325"/>
      <c r="C18" s="326"/>
      <c r="D18" s="326"/>
      <c r="E18" s="326"/>
      <c r="F18" s="326"/>
      <c r="G18" s="326"/>
      <c r="H18" s="326"/>
      <c r="I18" s="326"/>
      <c r="J18" s="326"/>
      <c r="K18" s="326"/>
      <c r="L18" s="326"/>
      <c r="M18" s="326"/>
      <c r="N18" s="326"/>
      <c r="O18" s="326"/>
      <c r="P18" s="33"/>
    </row>
    <row r="19" spans="1:16" s="27" customFormat="1" ht="13.5" customHeight="1" x14ac:dyDescent="0.25">
      <c r="A19" s="497"/>
      <c r="B19" s="325"/>
      <c r="C19" s="326"/>
      <c r="D19" s="326"/>
      <c r="E19" s="326"/>
      <c r="F19" s="326"/>
      <c r="G19" s="326"/>
      <c r="H19" s="326"/>
      <c r="I19" s="326"/>
      <c r="J19" s="326"/>
      <c r="K19" s="326"/>
      <c r="L19" s="326"/>
      <c r="M19" s="326"/>
      <c r="N19" s="326"/>
      <c r="O19" s="326"/>
      <c r="P19" s="33"/>
    </row>
    <row r="20" spans="1:16" s="27" customFormat="1" ht="13.5" customHeight="1" x14ac:dyDescent="0.25">
      <c r="A20" s="497"/>
      <c r="B20" s="325"/>
      <c r="C20" s="326"/>
      <c r="D20" s="326"/>
      <c r="E20" s="326"/>
      <c r="F20" s="326"/>
      <c r="G20" s="326"/>
      <c r="H20" s="326"/>
      <c r="I20" s="326"/>
      <c r="J20" s="326"/>
      <c r="K20" s="326"/>
      <c r="L20" s="326"/>
      <c r="M20" s="326"/>
      <c r="N20" s="326"/>
      <c r="O20" s="326"/>
      <c r="P20" s="33"/>
    </row>
    <row r="21" spans="1:16" s="27" customFormat="1" ht="13.5" customHeight="1" x14ac:dyDescent="0.25">
      <c r="A21" s="497"/>
      <c r="B21" s="325"/>
      <c r="C21" s="326"/>
      <c r="D21" s="326"/>
      <c r="E21" s="326"/>
      <c r="F21" s="326"/>
      <c r="G21" s="326"/>
      <c r="H21" s="326"/>
      <c r="I21" s="326"/>
      <c r="J21" s="326"/>
      <c r="K21" s="326"/>
      <c r="L21" s="326"/>
      <c r="M21" s="326"/>
      <c r="N21" s="326"/>
      <c r="O21" s="326"/>
      <c r="P21" s="33"/>
    </row>
    <row r="22" spans="1:16" s="27" customFormat="1" ht="13.5" customHeight="1" x14ac:dyDescent="0.25">
      <c r="A22" s="497"/>
      <c r="B22" s="325"/>
      <c r="C22" s="326"/>
      <c r="D22" s="326"/>
      <c r="E22" s="326"/>
      <c r="F22" s="326"/>
      <c r="G22" s="326"/>
      <c r="H22" s="326"/>
      <c r="I22" s="326"/>
      <c r="J22" s="326"/>
      <c r="K22" s="326"/>
      <c r="L22" s="326"/>
      <c r="M22" s="326"/>
      <c r="N22" s="326"/>
      <c r="O22" s="326"/>
      <c r="P22" s="33"/>
    </row>
    <row r="23" spans="1:16" s="27" customFormat="1" ht="13.5" customHeight="1" x14ac:dyDescent="0.25">
      <c r="A23" s="497"/>
      <c r="B23" s="325"/>
      <c r="C23" s="326"/>
      <c r="D23" s="326"/>
      <c r="E23" s="326"/>
      <c r="F23" s="326"/>
      <c r="G23" s="326"/>
      <c r="H23" s="326"/>
      <c r="I23" s="326"/>
      <c r="J23" s="326"/>
      <c r="K23" s="326"/>
      <c r="L23" s="326"/>
      <c r="M23" s="326"/>
      <c r="N23" s="326"/>
      <c r="O23" s="326"/>
      <c r="P23" s="33"/>
    </row>
    <row r="24" spans="1:16" s="27" customFormat="1" ht="13.5" customHeight="1" x14ac:dyDescent="0.25">
      <c r="A24" s="497"/>
      <c r="B24" s="325"/>
      <c r="C24" s="326"/>
      <c r="D24" s="326"/>
      <c r="E24" s="326"/>
      <c r="F24" s="326"/>
      <c r="G24" s="326"/>
      <c r="H24" s="326"/>
      <c r="I24" s="326"/>
      <c r="J24" s="326"/>
      <c r="K24" s="326"/>
      <c r="L24" s="326"/>
      <c r="M24" s="326"/>
      <c r="N24" s="326"/>
      <c r="O24" s="326"/>
      <c r="P24" s="33"/>
    </row>
    <row r="25" spans="1:16" s="27" customFormat="1" ht="13.5" customHeight="1" x14ac:dyDescent="0.25">
      <c r="A25" s="497"/>
      <c r="B25" s="325"/>
      <c r="C25" s="326"/>
      <c r="D25" s="326"/>
      <c r="E25" s="326"/>
      <c r="F25" s="326"/>
      <c r="G25" s="326"/>
      <c r="H25" s="326"/>
      <c r="I25" s="326"/>
      <c r="J25" s="326"/>
      <c r="K25" s="326"/>
      <c r="L25" s="326"/>
      <c r="M25" s="326"/>
      <c r="N25" s="326"/>
      <c r="O25" s="326"/>
      <c r="P25" s="33"/>
    </row>
    <row r="26" spans="1:16" s="27" customFormat="1" ht="13.5" customHeight="1" x14ac:dyDescent="0.25">
      <c r="A26" s="377" t="s">
        <v>89</v>
      </c>
      <c r="B26" s="327"/>
      <c r="C26" s="328"/>
      <c r="D26" s="328"/>
      <c r="E26" s="328"/>
      <c r="F26" s="328"/>
      <c r="G26" s="328"/>
      <c r="H26" s="328"/>
      <c r="I26" s="328"/>
      <c r="J26" s="328"/>
      <c r="K26" s="328"/>
      <c r="L26" s="328"/>
      <c r="M26" s="328"/>
      <c r="N26" s="328"/>
      <c r="O26" s="328"/>
      <c r="P26" s="33"/>
    </row>
    <row r="27" spans="1:16" s="27" customFormat="1" ht="13.5" customHeight="1" x14ac:dyDescent="0.25">
      <c r="A27" s="377"/>
      <c r="B27" s="327"/>
      <c r="C27" s="328"/>
      <c r="D27" s="328"/>
      <c r="E27" s="328"/>
      <c r="F27" s="328"/>
      <c r="G27" s="328"/>
      <c r="H27" s="328"/>
      <c r="I27" s="328"/>
      <c r="J27" s="328"/>
      <c r="K27" s="328"/>
      <c r="L27" s="328"/>
      <c r="M27" s="328"/>
      <c r="N27" s="328"/>
      <c r="O27" s="328"/>
      <c r="P27" s="33"/>
    </row>
    <row r="28" spans="1:16" s="27" customFormat="1" ht="13.5" customHeight="1" x14ac:dyDescent="0.25">
      <c r="A28" s="377"/>
      <c r="B28" s="327"/>
      <c r="C28" s="328"/>
      <c r="D28" s="328"/>
      <c r="E28" s="328"/>
      <c r="F28" s="328"/>
      <c r="G28" s="328"/>
      <c r="H28" s="328"/>
      <c r="I28" s="328"/>
      <c r="J28" s="328"/>
      <c r="K28" s="328"/>
      <c r="L28" s="328"/>
      <c r="M28" s="328"/>
      <c r="N28" s="328"/>
      <c r="O28" s="328"/>
      <c r="P28" s="33"/>
    </row>
    <row r="29" spans="1:16" s="27" customFormat="1" ht="13.5" customHeight="1" x14ac:dyDescent="0.25">
      <c r="A29" s="377"/>
      <c r="B29" s="327"/>
      <c r="C29" s="328"/>
      <c r="D29" s="328"/>
      <c r="E29" s="328"/>
      <c r="F29" s="328"/>
      <c r="G29" s="328"/>
      <c r="H29" s="328"/>
      <c r="I29" s="328"/>
      <c r="J29" s="328"/>
      <c r="K29" s="328"/>
      <c r="L29" s="328"/>
      <c r="M29" s="328"/>
      <c r="N29" s="328"/>
      <c r="O29" s="328"/>
      <c r="P29" s="33"/>
    </row>
    <row r="30" spans="1:16" s="27" customFormat="1" ht="13.5" customHeight="1" x14ac:dyDescent="0.25">
      <c r="A30" s="377"/>
      <c r="B30" s="327"/>
      <c r="C30" s="328"/>
      <c r="D30" s="328"/>
      <c r="E30" s="328"/>
      <c r="F30" s="328"/>
      <c r="G30" s="328"/>
      <c r="H30" s="328"/>
      <c r="I30" s="328"/>
      <c r="J30" s="328"/>
      <c r="K30" s="328"/>
      <c r="L30" s="328"/>
      <c r="M30" s="328"/>
      <c r="N30" s="328"/>
      <c r="O30" s="328"/>
      <c r="P30" s="33"/>
    </row>
    <row r="31" spans="1:16" s="27" customFormat="1" ht="13.5" customHeight="1" x14ac:dyDescent="0.25">
      <c r="A31" s="377"/>
      <c r="B31" s="327"/>
      <c r="C31" s="328"/>
      <c r="D31" s="328"/>
      <c r="E31" s="328"/>
      <c r="F31" s="328"/>
      <c r="G31" s="328"/>
      <c r="H31" s="328"/>
      <c r="I31" s="328"/>
      <c r="J31" s="328"/>
      <c r="K31" s="328"/>
      <c r="L31" s="328"/>
      <c r="M31" s="328"/>
      <c r="N31" s="328"/>
      <c r="O31" s="328"/>
      <c r="P31" s="33"/>
    </row>
    <row r="32" spans="1:16" s="27" customFormat="1" ht="13.5" customHeight="1" x14ac:dyDescent="0.25">
      <c r="A32" s="377"/>
      <c r="B32" s="327"/>
      <c r="C32" s="328"/>
      <c r="D32" s="328"/>
      <c r="E32" s="328"/>
      <c r="F32" s="328"/>
      <c r="G32" s="328"/>
      <c r="H32" s="328"/>
      <c r="I32" s="328"/>
      <c r="J32" s="328"/>
      <c r="K32" s="328"/>
      <c r="L32" s="328"/>
      <c r="M32" s="328"/>
      <c r="N32" s="328"/>
      <c r="O32" s="328"/>
      <c r="P32" s="33"/>
    </row>
    <row r="33" spans="1:16" s="27" customFormat="1" ht="13.5" customHeight="1" x14ac:dyDescent="0.25">
      <c r="A33" s="377"/>
      <c r="B33" s="327"/>
      <c r="C33" s="328"/>
      <c r="D33" s="328"/>
      <c r="E33" s="328"/>
      <c r="F33" s="328"/>
      <c r="G33" s="328"/>
      <c r="H33" s="328"/>
      <c r="I33" s="328"/>
      <c r="J33" s="328"/>
      <c r="K33" s="328"/>
      <c r="L33" s="328"/>
      <c r="M33" s="328"/>
      <c r="N33" s="328"/>
      <c r="O33" s="328"/>
      <c r="P33" s="33"/>
    </row>
    <row r="34" spans="1:16" s="27" customFormat="1" ht="13.5" customHeight="1" x14ac:dyDescent="0.25">
      <c r="A34" s="377"/>
      <c r="B34" s="327"/>
      <c r="C34" s="328"/>
      <c r="D34" s="328"/>
      <c r="E34" s="328"/>
      <c r="F34" s="328"/>
      <c r="G34" s="328"/>
      <c r="H34" s="328"/>
      <c r="I34" s="328"/>
      <c r="J34" s="328"/>
      <c r="K34" s="328"/>
      <c r="L34" s="328"/>
      <c r="M34" s="328"/>
      <c r="N34" s="328"/>
      <c r="O34" s="328"/>
      <c r="P34" s="33"/>
    </row>
    <row r="35" spans="1:16" s="27" customFormat="1" ht="13.5" customHeight="1" x14ac:dyDescent="0.25">
      <c r="A35" s="377"/>
      <c r="B35" s="327"/>
      <c r="C35" s="328"/>
      <c r="D35" s="328"/>
      <c r="E35" s="328"/>
      <c r="F35" s="328"/>
      <c r="G35" s="328"/>
      <c r="H35" s="328"/>
      <c r="I35" s="328"/>
      <c r="J35" s="328"/>
      <c r="K35" s="328"/>
      <c r="L35" s="328"/>
      <c r="M35" s="328"/>
      <c r="N35" s="328"/>
      <c r="O35" s="328"/>
      <c r="P35" s="33"/>
    </row>
    <row r="36" spans="1:16" s="27" customFormat="1" ht="13.5" customHeight="1" x14ac:dyDescent="0.25">
      <c r="A36" s="377"/>
      <c r="B36" s="327"/>
      <c r="C36" s="328"/>
      <c r="D36" s="328"/>
      <c r="E36" s="328"/>
      <c r="F36" s="328"/>
      <c r="G36" s="328"/>
      <c r="H36" s="328"/>
      <c r="I36" s="328"/>
      <c r="J36" s="328"/>
      <c r="K36" s="328"/>
      <c r="L36" s="328"/>
      <c r="M36" s="328"/>
      <c r="N36" s="328"/>
      <c r="O36" s="328"/>
      <c r="P36" s="33"/>
    </row>
    <row r="37" spans="1:16" s="27" customFormat="1" ht="13.5" customHeight="1" x14ac:dyDescent="0.25">
      <c r="A37" s="377"/>
      <c r="B37" s="327"/>
      <c r="C37" s="328"/>
      <c r="D37" s="328"/>
      <c r="E37" s="328"/>
      <c r="F37" s="328"/>
      <c r="G37" s="328"/>
      <c r="H37" s="328"/>
      <c r="I37" s="328"/>
      <c r="J37" s="328"/>
      <c r="K37" s="328"/>
      <c r="L37" s="328"/>
      <c r="M37" s="328"/>
      <c r="N37" s="328"/>
      <c r="O37" s="328"/>
      <c r="P37" s="33"/>
    </row>
    <row r="38" spans="1:16" s="27" customFormat="1" ht="13.5" customHeight="1" x14ac:dyDescent="0.25">
      <c r="A38" s="377"/>
      <c r="B38" s="327"/>
      <c r="C38" s="328"/>
      <c r="D38" s="328"/>
      <c r="E38" s="328"/>
      <c r="F38" s="328"/>
      <c r="G38" s="328"/>
      <c r="H38" s="328"/>
      <c r="I38" s="328"/>
      <c r="J38" s="328"/>
      <c r="K38" s="328"/>
      <c r="L38" s="328"/>
      <c r="M38" s="328"/>
      <c r="N38" s="328"/>
      <c r="O38" s="328"/>
      <c r="P38" s="33"/>
    </row>
    <row r="39" spans="1:16" s="27" customFormat="1" ht="13.5" customHeight="1" x14ac:dyDescent="0.25">
      <c r="A39" s="377"/>
      <c r="B39" s="327"/>
      <c r="C39" s="328"/>
      <c r="D39" s="328"/>
      <c r="E39" s="328"/>
      <c r="F39" s="328"/>
      <c r="G39" s="328"/>
      <c r="H39" s="328"/>
      <c r="I39" s="328"/>
      <c r="J39" s="328"/>
      <c r="K39" s="328"/>
      <c r="L39" s="328"/>
      <c r="M39" s="328"/>
      <c r="N39" s="328"/>
      <c r="O39" s="328"/>
      <c r="P39" s="33"/>
    </row>
    <row r="40" spans="1:16" s="27" customFormat="1" ht="13.5" customHeight="1" x14ac:dyDescent="0.25">
      <c r="A40" s="377"/>
      <c r="B40" s="327"/>
      <c r="C40" s="328"/>
      <c r="D40" s="328"/>
      <c r="E40" s="328"/>
      <c r="F40" s="328"/>
      <c r="G40" s="328"/>
      <c r="H40" s="328"/>
      <c r="I40" s="328"/>
      <c r="J40" s="328"/>
      <c r="K40" s="328"/>
      <c r="L40" s="328"/>
      <c r="M40" s="328"/>
      <c r="N40" s="328"/>
      <c r="O40" s="328"/>
      <c r="P40" s="33"/>
    </row>
    <row r="41" spans="1:16" s="27" customFormat="1" ht="13.5" customHeight="1" x14ac:dyDescent="0.25">
      <c r="A41" s="377"/>
      <c r="B41" s="327"/>
      <c r="C41" s="328"/>
      <c r="D41" s="328"/>
      <c r="E41" s="328"/>
      <c r="F41" s="328"/>
      <c r="G41" s="328"/>
      <c r="H41" s="328"/>
      <c r="I41" s="328"/>
      <c r="J41" s="328"/>
      <c r="K41" s="328"/>
      <c r="L41" s="328"/>
      <c r="M41" s="328"/>
      <c r="N41" s="328"/>
      <c r="O41" s="328"/>
      <c r="P41" s="33"/>
    </row>
    <row r="42" spans="1:16" s="27" customFormat="1" ht="13.5" customHeight="1" x14ac:dyDescent="0.25">
      <c r="A42" s="377"/>
      <c r="B42" s="327"/>
      <c r="C42" s="328"/>
      <c r="D42" s="328"/>
      <c r="E42" s="328"/>
      <c r="F42" s="328"/>
      <c r="G42" s="328"/>
      <c r="H42" s="328"/>
      <c r="I42" s="328"/>
      <c r="J42" s="328"/>
      <c r="K42" s="328"/>
      <c r="L42" s="328"/>
      <c r="M42" s="328"/>
      <c r="N42" s="328"/>
      <c r="O42" s="328"/>
      <c r="P42" s="33"/>
    </row>
    <row r="43" spans="1:16" s="27" customFormat="1" ht="13.5" customHeight="1" x14ac:dyDescent="0.25">
      <c r="A43" s="377"/>
      <c r="B43" s="327"/>
      <c r="C43" s="328"/>
      <c r="D43" s="328"/>
      <c r="E43" s="328"/>
      <c r="F43" s="328"/>
      <c r="G43" s="328"/>
      <c r="H43" s="328"/>
      <c r="I43" s="328"/>
      <c r="J43" s="328"/>
      <c r="K43" s="328"/>
      <c r="L43" s="328"/>
      <c r="M43" s="328"/>
      <c r="N43" s="328"/>
      <c r="O43" s="328"/>
      <c r="P43" s="33"/>
    </row>
    <row r="44" spans="1:16" s="27" customFormat="1" ht="13.5" customHeight="1" x14ac:dyDescent="0.25">
      <c r="A44" s="377"/>
      <c r="B44" s="327"/>
      <c r="C44" s="328"/>
      <c r="D44" s="328"/>
      <c r="E44" s="328"/>
      <c r="F44" s="328"/>
      <c r="G44" s="328"/>
      <c r="H44" s="328"/>
      <c r="I44" s="328"/>
      <c r="J44" s="328"/>
      <c r="K44" s="328"/>
      <c r="L44" s="328"/>
      <c r="M44" s="328"/>
      <c r="N44" s="328"/>
      <c r="O44" s="328"/>
      <c r="P44" s="33"/>
    </row>
    <row r="45" spans="1:16" s="27" customFormat="1" ht="13.5" customHeight="1" x14ac:dyDescent="0.25">
      <c r="A45" s="377"/>
      <c r="B45" s="327"/>
      <c r="C45" s="328"/>
      <c r="D45" s="328"/>
      <c r="E45" s="328"/>
      <c r="F45" s="328"/>
      <c r="G45" s="328"/>
      <c r="H45" s="328"/>
      <c r="I45" s="328"/>
      <c r="J45" s="328"/>
      <c r="K45" s="328"/>
      <c r="L45" s="328"/>
      <c r="M45" s="328"/>
      <c r="N45" s="328"/>
      <c r="O45" s="328"/>
      <c r="P45" s="33"/>
    </row>
    <row r="46" spans="1:16" s="27" customFormat="1" ht="13.5" customHeight="1" x14ac:dyDescent="0.25">
      <c r="A46" s="377"/>
      <c r="B46" s="327"/>
      <c r="C46" s="328"/>
      <c r="D46" s="328"/>
      <c r="E46" s="328"/>
      <c r="F46" s="328"/>
      <c r="G46" s="328"/>
      <c r="H46" s="328"/>
      <c r="I46" s="328"/>
      <c r="J46" s="328"/>
      <c r="K46" s="328"/>
      <c r="L46" s="328"/>
      <c r="M46" s="328"/>
      <c r="N46" s="328"/>
      <c r="O46" s="328"/>
      <c r="P46" s="33"/>
    </row>
    <row r="47" spans="1:16" s="27" customFormat="1" ht="13.5" customHeight="1" x14ac:dyDescent="0.25">
      <c r="A47" s="377"/>
      <c r="B47" s="327"/>
      <c r="C47" s="328"/>
      <c r="D47" s="328"/>
      <c r="E47" s="328"/>
      <c r="F47" s="328"/>
      <c r="G47" s="328"/>
      <c r="H47" s="328"/>
      <c r="I47" s="328"/>
      <c r="J47" s="328"/>
      <c r="K47" s="328"/>
      <c r="L47" s="328"/>
      <c r="M47" s="328"/>
      <c r="N47" s="328"/>
      <c r="O47" s="328"/>
      <c r="P47" s="33"/>
    </row>
    <row r="48" spans="1:16" s="27" customFormat="1" ht="13.5" customHeight="1" x14ac:dyDescent="0.25">
      <c r="A48" s="377"/>
      <c r="B48" s="327"/>
      <c r="C48" s="328"/>
      <c r="D48" s="328"/>
      <c r="E48" s="328"/>
      <c r="F48" s="328"/>
      <c r="G48" s="328"/>
      <c r="H48" s="328"/>
      <c r="I48" s="328"/>
      <c r="J48" s="328"/>
      <c r="K48" s="328"/>
      <c r="L48" s="328"/>
      <c r="M48" s="328"/>
      <c r="N48" s="328"/>
      <c r="O48" s="328"/>
      <c r="P48" s="33"/>
    </row>
    <row r="49" spans="1:19" s="27" customFormat="1" ht="13.5" customHeight="1" x14ac:dyDescent="0.25">
      <c r="A49" s="377"/>
      <c r="B49" s="327"/>
      <c r="C49" s="328"/>
      <c r="D49" s="328"/>
      <c r="E49" s="328"/>
      <c r="F49" s="328"/>
      <c r="G49" s="328"/>
      <c r="H49" s="328"/>
      <c r="I49" s="328"/>
      <c r="J49" s="328"/>
      <c r="K49" s="328"/>
      <c r="L49" s="328"/>
      <c r="M49" s="328"/>
      <c r="N49" s="328"/>
      <c r="O49" s="328"/>
      <c r="P49" s="33"/>
    </row>
    <row r="50" spans="1:19" s="27" customFormat="1" ht="13.5" customHeight="1" x14ac:dyDescent="0.25">
      <c r="A50" s="377"/>
      <c r="B50" s="327"/>
      <c r="C50" s="328"/>
      <c r="D50" s="328"/>
      <c r="E50" s="328"/>
      <c r="F50" s="328"/>
      <c r="G50" s="328"/>
      <c r="H50" s="328"/>
      <c r="I50" s="328"/>
      <c r="J50" s="328"/>
      <c r="K50" s="328"/>
      <c r="L50" s="328"/>
      <c r="M50" s="328"/>
      <c r="N50" s="328"/>
      <c r="O50" s="328"/>
      <c r="P50" s="33"/>
    </row>
    <row r="51" spans="1:19" s="27" customFormat="1" ht="13.5" customHeight="1" x14ac:dyDescent="0.25">
      <c r="A51" s="377"/>
      <c r="B51" s="327"/>
      <c r="C51" s="328"/>
      <c r="D51" s="328"/>
      <c r="E51" s="328"/>
      <c r="F51" s="328"/>
      <c r="G51" s="328"/>
      <c r="H51" s="328"/>
      <c r="I51" s="328"/>
      <c r="J51" s="328"/>
      <c r="K51" s="328"/>
      <c r="L51" s="328"/>
      <c r="M51" s="328"/>
      <c r="N51" s="328"/>
      <c r="O51" s="328"/>
      <c r="P51" s="33"/>
    </row>
    <row r="52" spans="1:19" s="27" customFormat="1" ht="13.5" customHeight="1" x14ac:dyDescent="0.25">
      <c r="A52" s="377"/>
      <c r="B52" s="327"/>
      <c r="C52" s="328"/>
      <c r="D52" s="328"/>
      <c r="E52" s="328"/>
      <c r="F52" s="328"/>
      <c r="G52" s="328"/>
      <c r="H52" s="328"/>
      <c r="I52" s="328"/>
      <c r="J52" s="328"/>
      <c r="K52" s="328"/>
      <c r="L52" s="328"/>
      <c r="M52" s="328"/>
      <c r="N52" s="328"/>
      <c r="O52" s="328"/>
      <c r="P52" s="33"/>
    </row>
    <row r="53" spans="1:19" s="27" customFormat="1" ht="13.5" customHeight="1" x14ac:dyDescent="0.25">
      <c r="A53" s="377"/>
      <c r="B53" s="327"/>
      <c r="C53" s="328"/>
      <c r="D53" s="328"/>
      <c r="E53" s="328"/>
      <c r="F53" s="328"/>
      <c r="G53" s="328"/>
      <c r="H53" s="328"/>
      <c r="I53" s="328"/>
      <c r="J53" s="328"/>
      <c r="K53" s="328"/>
      <c r="L53" s="328"/>
      <c r="M53" s="328"/>
      <c r="N53" s="328"/>
      <c r="O53" s="328"/>
      <c r="P53" s="33"/>
    </row>
    <row r="54" spans="1:19" s="27" customFormat="1" ht="13.5" customHeight="1" x14ac:dyDescent="0.25">
      <c r="A54" s="377"/>
      <c r="B54" s="327"/>
      <c r="C54" s="328"/>
      <c r="D54" s="328"/>
      <c r="E54" s="328"/>
      <c r="F54" s="328"/>
      <c r="G54" s="328"/>
      <c r="H54" s="328"/>
      <c r="I54" s="328"/>
      <c r="J54" s="328"/>
      <c r="K54" s="328"/>
      <c r="L54" s="328"/>
      <c r="M54" s="328"/>
      <c r="N54" s="328"/>
      <c r="O54" s="328"/>
      <c r="P54" s="33"/>
    </row>
    <row r="55" spans="1:19" s="27" customFormat="1" ht="13.5" customHeight="1" x14ac:dyDescent="0.25">
      <c r="A55" s="377"/>
      <c r="B55" s="327"/>
      <c r="C55" s="328"/>
      <c r="D55" s="328"/>
      <c r="E55" s="328"/>
      <c r="F55" s="328"/>
      <c r="G55" s="328"/>
      <c r="H55" s="328"/>
      <c r="I55" s="328"/>
      <c r="J55" s="328"/>
      <c r="K55" s="328"/>
      <c r="L55" s="328"/>
      <c r="M55" s="328"/>
      <c r="N55" s="328"/>
      <c r="O55" s="328"/>
      <c r="P55" s="33"/>
    </row>
    <row r="56" spans="1:19" s="27" customFormat="1" ht="13.5" customHeight="1" x14ac:dyDescent="0.25">
      <c r="A56" s="377"/>
      <c r="B56" s="327"/>
      <c r="C56" s="328"/>
      <c r="D56" s="328"/>
      <c r="E56" s="328"/>
      <c r="F56" s="328"/>
      <c r="G56" s="328"/>
      <c r="H56" s="328"/>
      <c r="I56" s="328"/>
      <c r="J56" s="328"/>
      <c r="K56" s="328"/>
      <c r="L56" s="328"/>
      <c r="M56" s="328"/>
      <c r="N56" s="328"/>
      <c r="O56" s="328"/>
      <c r="P56" s="33"/>
    </row>
    <row r="57" spans="1:19" s="459" customFormat="1" x14ac:dyDescent="0.25"/>
    <row r="58" spans="1:19" s="27" customFormat="1" x14ac:dyDescent="0.25">
      <c r="C58" s="41" t="str" cm="1">
        <f t="array" ref="C58:O58">Donnees_Brutes_Omia_3[[#Headers],[Connecteur 1]:[Connecteur 13]]</f>
        <v>Connecteur 1</v>
      </c>
      <c r="D58" s="41" t="str">
        <v>Connecteur 2</v>
      </c>
      <c r="E58" s="41" t="str">
        <v>Connecteur 3</v>
      </c>
      <c r="F58" s="41" t="str">
        <v>Connecteur 4</v>
      </c>
      <c r="G58" s="41" t="str">
        <v>Connecteur 5</v>
      </c>
      <c r="H58" s="41" t="str">
        <v>Connecteur 6</v>
      </c>
      <c r="I58" s="41" t="str">
        <v>Connecteur 7</v>
      </c>
      <c r="J58" s="41" t="str">
        <v>Connecteur 8</v>
      </c>
      <c r="K58" s="41" t="str">
        <v>Connecteur 9</v>
      </c>
      <c r="L58" s="41" t="str">
        <v>Connecteur 10</v>
      </c>
      <c r="M58" s="41" t="str">
        <v>Connecteur 11</v>
      </c>
      <c r="N58" s="41" t="str">
        <v>Connecteur 12</v>
      </c>
      <c r="O58" s="36" t="str">
        <v>Connecteur 13</v>
      </c>
      <c r="P58" s="33"/>
    </row>
    <row r="59" spans="1:19" s="27" customFormat="1" x14ac:dyDescent="0.25">
      <c r="B59" s="42" t="s">
        <v>91</v>
      </c>
      <c r="C59" s="43" t="e">
        <f t="shared" ref="C59:O59" si="0">MAX(C11:C11)</f>
        <v>#N/A</v>
      </c>
      <c r="D59" s="43" t="e">
        <f t="shared" si="0"/>
        <v>#N/A</v>
      </c>
      <c r="E59" s="43" t="e">
        <f t="shared" si="0"/>
        <v>#N/A</v>
      </c>
      <c r="F59" s="43" t="e">
        <f t="shared" si="0"/>
        <v>#N/A</v>
      </c>
      <c r="G59" s="43" t="e">
        <f t="shared" si="0"/>
        <v>#N/A</v>
      </c>
      <c r="H59" s="43" t="e">
        <f t="shared" si="0"/>
        <v>#N/A</v>
      </c>
      <c r="I59" s="43" t="e">
        <f t="shared" si="0"/>
        <v>#N/A</v>
      </c>
      <c r="J59" s="43" t="e">
        <f t="shared" si="0"/>
        <v>#N/A</v>
      </c>
      <c r="K59" s="43" t="e">
        <f t="shared" si="0"/>
        <v>#N/A</v>
      </c>
      <c r="L59" s="43" t="e">
        <f t="shared" si="0"/>
        <v>#N/A</v>
      </c>
      <c r="M59" s="43" t="e">
        <f t="shared" si="0"/>
        <v>#N/A</v>
      </c>
      <c r="N59" s="43" t="e">
        <f t="shared" si="0"/>
        <v>#N/A</v>
      </c>
      <c r="O59" s="43" t="e">
        <f t="shared" si="0"/>
        <v>#N/A</v>
      </c>
      <c r="P59" s="48">
        <f>S59+Mesures_Omia!B20</f>
        <v>0</v>
      </c>
      <c r="Q59" s="33"/>
      <c r="R59" s="36" t="s">
        <v>7</v>
      </c>
      <c r="S59" s="48">
        <f>Mesures_Omia!D19</f>
        <v>0</v>
      </c>
    </row>
    <row r="60" spans="1:19" s="27" customFormat="1" x14ac:dyDescent="0.25">
      <c r="B60" s="42" t="s">
        <v>93</v>
      </c>
      <c r="C60" s="43" t="e">
        <f t="shared" ref="C60:O60" si="1">MIN(C11:C11)</f>
        <v>#N/A</v>
      </c>
      <c r="D60" s="43" t="e">
        <f t="shared" si="1"/>
        <v>#N/A</v>
      </c>
      <c r="E60" s="43" t="e">
        <f t="shared" si="1"/>
        <v>#N/A</v>
      </c>
      <c r="F60" s="43" t="e">
        <f t="shared" si="1"/>
        <v>#N/A</v>
      </c>
      <c r="G60" s="43" t="e">
        <f t="shared" si="1"/>
        <v>#N/A</v>
      </c>
      <c r="H60" s="43" t="e">
        <f t="shared" si="1"/>
        <v>#N/A</v>
      </c>
      <c r="I60" s="43" t="e">
        <f t="shared" si="1"/>
        <v>#N/A</v>
      </c>
      <c r="J60" s="43" t="e">
        <f t="shared" si="1"/>
        <v>#N/A</v>
      </c>
      <c r="K60" s="43" t="e">
        <f t="shared" si="1"/>
        <v>#N/A</v>
      </c>
      <c r="L60" s="43" t="e">
        <f t="shared" si="1"/>
        <v>#N/A</v>
      </c>
      <c r="M60" s="43" t="e">
        <f t="shared" si="1"/>
        <v>#N/A</v>
      </c>
      <c r="N60" s="43" t="e">
        <f t="shared" si="1"/>
        <v>#N/A</v>
      </c>
      <c r="O60" s="43" t="e">
        <f t="shared" si="1"/>
        <v>#N/A</v>
      </c>
      <c r="P60" s="48">
        <f>S59-Mesures_Omia!B20</f>
        <v>0</v>
      </c>
      <c r="Q60" s="33"/>
      <c r="R60" s="36" t="s">
        <v>92</v>
      </c>
      <c r="S60" s="35" t="str">
        <f>"+" &amp; Mesures_Omia!B20 &amp; "°C"</f>
        <v>+°C</v>
      </c>
    </row>
    <row r="61" spans="1:19" s="27" customFormat="1" x14ac:dyDescent="0.25">
      <c r="B61" s="42" t="s">
        <v>95</v>
      </c>
      <c r="C61" s="43" t="e">
        <f t="shared" ref="C61:O61" si="2">AVERAGE(C11:C11)</f>
        <v>#N/A</v>
      </c>
      <c r="D61" s="43" t="e">
        <f t="shared" si="2"/>
        <v>#N/A</v>
      </c>
      <c r="E61" s="43" t="e">
        <f t="shared" si="2"/>
        <v>#N/A</v>
      </c>
      <c r="F61" s="43" t="e">
        <f t="shared" si="2"/>
        <v>#N/A</v>
      </c>
      <c r="G61" s="43" t="e">
        <f t="shared" si="2"/>
        <v>#N/A</v>
      </c>
      <c r="H61" s="43" t="e">
        <f t="shared" si="2"/>
        <v>#N/A</v>
      </c>
      <c r="I61" s="43" t="e">
        <f t="shared" si="2"/>
        <v>#N/A</v>
      </c>
      <c r="J61" s="43" t="e">
        <f t="shared" si="2"/>
        <v>#N/A</v>
      </c>
      <c r="K61" s="43" t="e">
        <f t="shared" si="2"/>
        <v>#N/A</v>
      </c>
      <c r="L61" s="43" t="e">
        <f t="shared" si="2"/>
        <v>#N/A</v>
      </c>
      <c r="M61" s="43" t="e">
        <f t="shared" si="2"/>
        <v>#N/A</v>
      </c>
      <c r="N61" s="43" t="e">
        <f t="shared" si="2"/>
        <v>#N/A</v>
      </c>
      <c r="O61" s="43" t="e">
        <f t="shared" si="2"/>
        <v>#N/A</v>
      </c>
      <c r="P61" s="33"/>
      <c r="Q61" s="33"/>
      <c r="R61" s="36" t="s">
        <v>94</v>
      </c>
      <c r="S61" s="35" t="str">
        <f>"-" &amp; Mesures_Omia!B20 &amp; "°C"</f>
        <v>-°C</v>
      </c>
    </row>
    <row r="62" spans="1:19" s="27" customFormat="1" x14ac:dyDescent="0.25">
      <c r="B62" s="42" t="s">
        <v>96</v>
      </c>
      <c r="C62" s="45" t="e">
        <f>C59-C60</f>
        <v>#N/A</v>
      </c>
      <c r="D62" s="45" t="e">
        <f>D59-D60</f>
        <v>#N/A</v>
      </c>
      <c r="E62" s="45" t="e">
        <f t="shared" ref="E62:O62" si="3">E59-E60</f>
        <v>#N/A</v>
      </c>
      <c r="F62" s="45" t="e">
        <f t="shared" si="3"/>
        <v>#N/A</v>
      </c>
      <c r="G62" s="45" t="e">
        <f t="shared" si="3"/>
        <v>#N/A</v>
      </c>
      <c r="H62" s="45" t="e">
        <f t="shared" si="3"/>
        <v>#N/A</v>
      </c>
      <c r="I62" s="45" t="e">
        <f t="shared" si="3"/>
        <v>#N/A</v>
      </c>
      <c r="J62" s="45" t="e">
        <f t="shared" si="3"/>
        <v>#N/A</v>
      </c>
      <c r="K62" s="45" t="e">
        <f t="shared" si="3"/>
        <v>#N/A</v>
      </c>
      <c r="L62" s="45" t="e">
        <f t="shared" si="3"/>
        <v>#N/A</v>
      </c>
      <c r="M62" s="45" t="e">
        <f t="shared" si="3"/>
        <v>#N/A</v>
      </c>
      <c r="N62" s="45" t="e">
        <f t="shared" si="3"/>
        <v>#N/A</v>
      </c>
      <c r="O62" s="45" t="e">
        <f t="shared" si="3"/>
        <v>#N/A</v>
      </c>
      <c r="P62" s="33"/>
    </row>
    <row r="63" spans="1:19" s="27" customFormat="1" x14ac:dyDescent="0.25">
      <c r="B63" s="42" t="s">
        <v>97</v>
      </c>
      <c r="C63" s="376" t="e">
        <f>ABS(MAX(C59:N59)-MIN(C60:N60))</f>
        <v>#N/A</v>
      </c>
      <c r="D63" s="376"/>
      <c r="E63" s="376"/>
      <c r="F63" s="376"/>
      <c r="G63" s="376"/>
      <c r="H63" s="376"/>
      <c r="I63" s="376"/>
      <c r="J63" s="376"/>
      <c r="K63" s="376"/>
      <c r="L63" s="376"/>
      <c r="M63" s="376"/>
      <c r="N63" s="376"/>
      <c r="O63" s="376"/>
      <c r="P63" s="376"/>
    </row>
    <row r="64" spans="1:19" s="27" customFormat="1" x14ac:dyDescent="0.25">
      <c r="B64" s="42" t="s">
        <v>98</v>
      </c>
      <c r="C64" s="376" t="e">
        <f>AVERAGE(C61:N61)</f>
        <v>#N/A</v>
      </c>
      <c r="D64" s="376"/>
      <c r="E64" s="376"/>
      <c r="F64" s="376"/>
      <c r="G64" s="376"/>
      <c r="H64" s="376"/>
      <c r="I64" s="376"/>
      <c r="J64" s="376"/>
      <c r="K64" s="376"/>
      <c r="L64" s="376"/>
      <c r="M64" s="376"/>
      <c r="N64" s="376"/>
      <c r="O64" s="376"/>
      <c r="P64" s="376"/>
    </row>
    <row r="65" spans="1:16" s="27" customFormat="1" x14ac:dyDescent="0.25">
      <c r="B65" s="36" t="s">
        <v>99</v>
      </c>
      <c r="C65" s="46" t="e">
        <f ca="1">STDEV(OFFSET(INDEX(Donnees_Brutes_Omia_3[Connecteur 1],1),COUNT(Donnees_Brutes_Omia_3[Connecteur 1])-30,0,30))+C5+C6</f>
        <v>#REF!</v>
      </c>
      <c r="D65" s="46" t="e">
        <f ca="1">STDEV(OFFSET(INDEX(Donnees_Brutes_Omia_3[Connecteur 2],1),COUNT(Donnees_Brutes_Omia_3[Connecteur 2])-30,0,30))+D5+D6</f>
        <v>#REF!</v>
      </c>
      <c r="E65" s="46" t="e">
        <f ca="1">STDEV(OFFSET(INDEX(Donnees_Brutes_Omia_3[Connecteur 3],1),COUNT(Donnees_Brutes_Omia_3[Connecteur 3])-30,0,30))+E5+E6</f>
        <v>#REF!</v>
      </c>
      <c r="F65" s="46" t="e">
        <f ca="1">STDEV(OFFSET(INDEX(Donnees_Brutes_Omia_3[Connecteur 4],1),COUNT(Donnees_Brutes_Omia_3[Connecteur 4])-30,0,30))+F5+F6</f>
        <v>#REF!</v>
      </c>
      <c r="G65" s="46" t="e">
        <f ca="1">STDEV(OFFSET(INDEX(Donnees_Brutes_Omia_3[Connecteur 5],1),COUNT(Donnees_Brutes_Omia_3[Connecteur 5])-30,0,30))+G5+G6</f>
        <v>#REF!</v>
      </c>
      <c r="H65" s="46" t="e">
        <f ca="1">STDEV(OFFSET(INDEX(Donnees_Brutes_Omia_3[Connecteur 6],1),COUNT(Donnees_Brutes_Omia_3[Connecteur 6])-30,0,30))+H5+H6</f>
        <v>#REF!</v>
      </c>
      <c r="I65" s="46" t="e">
        <f ca="1">STDEV(OFFSET(INDEX(Donnees_Brutes_Omia_3[Connecteur 7],1),COUNT(Donnees_Brutes_Omia_3[Connecteur 7])-30,0,30))+I5+I6</f>
        <v>#REF!</v>
      </c>
      <c r="J65" s="46" t="e">
        <f ca="1">STDEV(OFFSET(INDEX(Donnees_Brutes_Omia_3[Connecteur 8],1),COUNT(Donnees_Brutes_Omia_3[Connecteur 8])-30,0,30))+J5+J6</f>
        <v>#REF!</v>
      </c>
      <c r="K65" s="46" t="e">
        <f ca="1">STDEV(OFFSET(INDEX(Donnees_Brutes_Omia_3[Connecteur 9],1),COUNT(Donnees_Brutes_Omia_3[Connecteur 9])-30,0,30))+K5+K6</f>
        <v>#REF!</v>
      </c>
      <c r="L65" s="46" t="e">
        <f ca="1">STDEV(OFFSET(INDEX(Donnees_Brutes_Omia_3[Connecteur 10],1),COUNT(Donnees_Brutes_Omia_3[Connecteur 10])-30,0,30))+L5+L6</f>
        <v>#REF!</v>
      </c>
      <c r="M65" s="46" t="e">
        <f ca="1">STDEV(OFFSET(INDEX(Donnees_Brutes_Omia_3[Connecteur 11],1),COUNT(Donnees_Brutes_Omia_3[Connecteur 11])-30,0,30))+M5+M6</f>
        <v>#REF!</v>
      </c>
      <c r="N65" s="46" t="e">
        <f ca="1">STDEV(OFFSET(INDEX(Donnees_Brutes_Omia_3[Connecteur 12],1),COUNT(Donnees_Brutes_Omia_3[Connecteur 12])-30,0,30))+N5+N6</f>
        <v>#REF!</v>
      </c>
      <c r="O65" s="46" t="e">
        <f ca="1">STDEV(OFFSET(INDEX(Donnees_Brutes_Omia_3[Connecteur 13],1),COUNT(Donnees_Brutes_Omia_3[Connecteur 13])-30,0,30))+O5+O6</f>
        <v>#REF!</v>
      </c>
      <c r="P65" s="33"/>
    </row>
    <row r="66" spans="1:16" s="27" customFormat="1" x14ac:dyDescent="0.25">
      <c r="A66"/>
      <c r="B66"/>
      <c r="C66"/>
      <c r="D66"/>
      <c r="E66"/>
      <c r="F66"/>
      <c r="G66"/>
      <c r="H66"/>
      <c r="I66"/>
      <c r="J66"/>
      <c r="K66"/>
      <c r="L66"/>
      <c r="M66"/>
      <c r="N66"/>
      <c r="O66"/>
      <c r="P66"/>
    </row>
  </sheetData>
  <sheetProtection algorithmName="SHA-512" hashValue="ReKFQsKnck7dNVSecYl5CeSQ7O3CjmgXx0pi1zJBUJF3OGjFe2ZbcDKKPtY0RiCTORrYIO7BJatBJL9ju2cUcA==" saltValue="+KeSZADlLlb6aLaihsoxhg==" spinCount="100000" sheet="1" objects="1" scenarios="1"/>
  <mergeCells count="7">
    <mergeCell ref="C64:P64"/>
    <mergeCell ref="A1:S3"/>
    <mergeCell ref="A9:N9"/>
    <mergeCell ref="A57:XFD57"/>
    <mergeCell ref="C63:P63"/>
    <mergeCell ref="A11:A25"/>
    <mergeCell ref="A26:A56"/>
  </mergeCells>
  <conditionalFormatting sqref="C59:O59">
    <cfRule type="cellIs" dxfId="30" priority="1" operator="greaterThan">
      <formula>$P$59</formula>
    </cfRule>
  </conditionalFormatting>
  <conditionalFormatting sqref="C60:O60">
    <cfRule type="cellIs" dxfId="29" priority="2" operator="lessThan">
      <formula>$P$60</formula>
    </cfRule>
  </conditionalFormatting>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297" zoomScale="60" zoomScaleNormal="100" zoomScalePageLayoutView="60" workbookViewId="0">
      <selection activeCell="C196" sqref="C196:H196"/>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2" t="s">
        <v>250</v>
      </c>
      <c r="C4" s="503"/>
      <c r="D4" s="503"/>
      <c r="E4" s="503"/>
      <c r="F4" s="503"/>
    </row>
    <row r="5" spans="2:9" ht="26.25" x14ac:dyDescent="0.25">
      <c r="B5" s="503"/>
      <c r="C5" s="503"/>
      <c r="D5" s="503"/>
      <c r="E5" s="503"/>
      <c r="F5" s="503"/>
      <c r="G5" s="88"/>
      <c r="H5" s="88"/>
      <c r="I5" s="89"/>
    </row>
    <row r="6" spans="2:9" ht="58.5" customHeight="1" x14ac:dyDescent="0.25">
      <c r="B6" s="503"/>
      <c r="C6" s="503"/>
      <c r="D6" s="503"/>
      <c r="E6" s="503"/>
      <c r="F6" s="503"/>
    </row>
    <row r="10" spans="2:9" ht="21" x14ac:dyDescent="0.25">
      <c r="C10" s="383" t="s">
        <v>138</v>
      </c>
      <c r="D10" s="383"/>
      <c r="E10" s="476">
        <f>Mesures_Omia!D5</f>
        <v>0</v>
      </c>
      <c r="F10" s="476"/>
    </row>
    <row r="11" spans="2:9" ht="21" x14ac:dyDescent="0.25">
      <c r="C11" s="90"/>
      <c r="D11" s="90"/>
      <c r="E11" s="91"/>
      <c r="F11" s="91"/>
    </row>
    <row r="12" spans="2:9" x14ac:dyDescent="0.25">
      <c r="C12" s="92" t="s">
        <v>1</v>
      </c>
      <c r="D12" s="147">
        <f>Mesures_Omia!C7</f>
        <v>0</v>
      </c>
      <c r="F12" s="92" t="s">
        <v>18</v>
      </c>
      <c r="G12" s="147">
        <f>Mesures_Omia!G7</f>
        <v>0</v>
      </c>
    </row>
    <row r="13" spans="2:9" ht="15.75" x14ac:dyDescent="0.25">
      <c r="C13" s="94" t="s">
        <v>2</v>
      </c>
      <c r="D13" s="148">
        <f>Mesures_Omia!C8</f>
        <v>0</v>
      </c>
      <c r="F13" s="96" t="s">
        <v>19</v>
      </c>
      <c r="G13" s="148">
        <f>Mesures_Omia!G8</f>
        <v>0</v>
      </c>
    </row>
    <row r="14" spans="2:9" ht="15.75" x14ac:dyDescent="0.25">
      <c r="C14" s="97"/>
      <c r="D14" s="98"/>
      <c r="G14" s="99"/>
    </row>
    <row r="15" spans="2:9" ht="15.75" x14ac:dyDescent="0.25">
      <c r="C15" s="100" t="s">
        <v>139</v>
      </c>
      <c r="D15" s="101">
        <f>Mesures_Omia!C14</f>
        <v>0</v>
      </c>
      <c r="F15" s="92" t="s">
        <v>140</v>
      </c>
      <c r="G15" s="9">
        <f>Mesures_Omia!C15</f>
        <v>0</v>
      </c>
    </row>
    <row r="16" spans="2:9" ht="15.75" x14ac:dyDescent="0.25">
      <c r="C16" s="100" t="s">
        <v>141</v>
      </c>
      <c r="D16" s="103">
        <f>Mesures_Omia!G11</f>
        <v>15</v>
      </c>
      <c r="F16" s="92" t="s">
        <v>142</v>
      </c>
      <c r="G16" s="9">
        <f>Mesures_Omia!G12</f>
        <v>0</v>
      </c>
    </row>
    <row r="17" spans="1:9" ht="15.75" x14ac:dyDescent="0.25">
      <c r="C17" s="97"/>
      <c r="D17" s="98"/>
      <c r="F17" s="97"/>
      <c r="G17" s="1"/>
    </row>
    <row r="18" spans="1:9" ht="15.75" x14ac:dyDescent="0.25">
      <c r="C18" s="100" t="s">
        <v>143</v>
      </c>
      <c r="D18" s="149">
        <f>Mesures_Omia!C11</f>
        <v>0</v>
      </c>
      <c r="F18" s="92" t="s">
        <v>144</v>
      </c>
      <c r="G18" s="156">
        <f>Mesures_Omia!G10</f>
        <v>0</v>
      </c>
    </row>
    <row r="19" spans="1:9" ht="15.75" x14ac:dyDescent="0.25">
      <c r="C19" s="94" t="s">
        <v>145</v>
      </c>
      <c r="D19" s="149">
        <f>Mesures_Omia!C11</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385" t="s">
        <v>226</v>
      </c>
      <c r="B30" s="385"/>
      <c r="C30" s="385"/>
      <c r="D30" s="385"/>
      <c r="E30" s="385"/>
      <c r="F30" s="385"/>
      <c r="G30" s="385"/>
      <c r="H30" s="385"/>
      <c r="I30" s="385"/>
    </row>
    <row r="31" spans="1:9" x14ac:dyDescent="0.25">
      <c r="A31" s="385"/>
      <c r="B31" s="385"/>
      <c r="C31" s="385"/>
      <c r="D31" s="385"/>
      <c r="E31" s="385"/>
      <c r="F31" s="385"/>
      <c r="G31" s="385"/>
      <c r="H31" s="385"/>
      <c r="I31" s="385"/>
    </row>
    <row r="32" spans="1:9" x14ac:dyDescent="0.25">
      <c r="A32" s="385"/>
      <c r="B32" s="385"/>
      <c r="C32" s="385"/>
      <c r="D32" s="385"/>
      <c r="E32" s="385"/>
      <c r="F32" s="385"/>
      <c r="G32" s="385"/>
      <c r="H32" s="385"/>
      <c r="I32" s="385"/>
    </row>
    <row r="33" spans="1:9" x14ac:dyDescent="0.25">
      <c r="A33" s="385"/>
      <c r="B33" s="385"/>
      <c r="C33" s="385"/>
      <c r="D33" s="385"/>
      <c r="E33" s="385"/>
      <c r="F33" s="385"/>
      <c r="G33" s="385"/>
      <c r="H33" s="385"/>
      <c r="I33" s="385"/>
    </row>
    <row r="34" spans="1:9" x14ac:dyDescent="0.25">
      <c r="A34" s="385"/>
      <c r="B34" s="385"/>
      <c r="C34" s="385"/>
      <c r="D34" s="385"/>
      <c r="E34" s="385"/>
      <c r="F34" s="385"/>
      <c r="G34" s="385"/>
      <c r="H34" s="385"/>
      <c r="I34" s="385"/>
    </row>
    <row r="35" spans="1:9" x14ac:dyDescent="0.25">
      <c r="A35" s="385"/>
      <c r="B35" s="385"/>
      <c r="C35" s="385"/>
      <c r="D35" s="385"/>
      <c r="E35" s="385"/>
      <c r="F35" s="385"/>
      <c r="G35" s="385"/>
      <c r="H35" s="385"/>
      <c r="I35" s="385"/>
    </row>
    <row r="36" spans="1:9" x14ac:dyDescent="0.25">
      <c r="A36" s="385"/>
      <c r="B36" s="385"/>
      <c r="C36" s="385"/>
      <c r="D36" s="385"/>
      <c r="E36" s="385"/>
      <c r="F36" s="385"/>
      <c r="G36" s="385"/>
      <c r="H36" s="385"/>
      <c r="I36" s="385"/>
    </row>
    <row r="37" spans="1:9" x14ac:dyDescent="0.25">
      <c r="A37" s="385"/>
      <c r="B37" s="385"/>
      <c r="C37" s="385"/>
      <c r="D37" s="385"/>
      <c r="E37" s="385"/>
      <c r="F37" s="385"/>
      <c r="G37" s="385"/>
      <c r="H37" s="385"/>
      <c r="I37" s="385"/>
    </row>
    <row r="38" spans="1:9" x14ac:dyDescent="0.25">
      <c r="A38" s="385"/>
      <c r="B38" s="385"/>
      <c r="C38" s="385"/>
      <c r="D38" s="385"/>
      <c r="E38" s="385"/>
      <c r="F38" s="385"/>
      <c r="G38" s="385"/>
      <c r="H38" s="385"/>
      <c r="I38" s="385"/>
    </row>
    <row r="39" spans="1:9" x14ac:dyDescent="0.25">
      <c r="A39" s="385"/>
      <c r="B39" s="385"/>
      <c r="C39" s="385"/>
      <c r="D39" s="385"/>
      <c r="E39" s="385"/>
      <c r="F39" s="385"/>
      <c r="G39" s="385"/>
      <c r="H39" s="385"/>
      <c r="I39" s="385"/>
    </row>
    <row r="40" spans="1:9" x14ac:dyDescent="0.25">
      <c r="A40" s="385"/>
      <c r="B40" s="385"/>
      <c r="C40" s="385"/>
      <c r="D40" s="385"/>
      <c r="E40" s="385"/>
      <c r="F40" s="385"/>
      <c r="G40" s="385"/>
      <c r="H40" s="385"/>
      <c r="I40" s="385"/>
    </row>
    <row r="41" spans="1:9" x14ac:dyDescent="0.25">
      <c r="A41" s="385"/>
      <c r="B41" s="385"/>
      <c r="C41" s="385"/>
      <c r="D41" s="385"/>
      <c r="E41" s="385"/>
      <c r="F41" s="385"/>
      <c r="G41" s="385"/>
      <c r="H41" s="385"/>
      <c r="I41" s="385"/>
    </row>
    <row r="42" spans="1:9" x14ac:dyDescent="0.25">
      <c r="A42" s="385"/>
      <c r="B42" s="385"/>
      <c r="C42" s="385"/>
      <c r="D42" s="385"/>
      <c r="E42" s="385"/>
      <c r="F42" s="385"/>
      <c r="G42" s="385"/>
      <c r="H42" s="385"/>
      <c r="I42" s="385"/>
    </row>
    <row r="43" spans="1:9" x14ac:dyDescent="0.25">
      <c r="A43" s="385"/>
      <c r="B43" s="385"/>
      <c r="C43" s="385"/>
      <c r="D43" s="385"/>
      <c r="E43" s="385"/>
      <c r="F43" s="385"/>
      <c r="G43" s="385"/>
      <c r="H43" s="385"/>
      <c r="I43" s="385"/>
    </row>
    <row r="44" spans="1:9" x14ac:dyDescent="0.25">
      <c r="A44" s="385"/>
      <c r="B44" s="385"/>
      <c r="C44" s="385"/>
      <c r="D44" s="385"/>
      <c r="E44" s="385"/>
      <c r="F44" s="385"/>
      <c r="G44" s="385"/>
      <c r="H44" s="385"/>
      <c r="I44" s="385"/>
    </row>
    <row r="45" spans="1:9" x14ac:dyDescent="0.25">
      <c r="A45" s="385"/>
      <c r="B45" s="385"/>
      <c r="C45" s="385"/>
      <c r="D45" s="385"/>
      <c r="E45" s="385"/>
      <c r="F45" s="385"/>
      <c r="G45" s="385"/>
      <c r="H45" s="385"/>
      <c r="I45" s="385"/>
    </row>
    <row r="46" spans="1:9" x14ac:dyDescent="0.25">
      <c r="A46" s="385"/>
      <c r="B46" s="385"/>
      <c r="C46" s="385"/>
      <c r="D46" s="385"/>
      <c r="E46" s="385"/>
      <c r="F46" s="385"/>
      <c r="G46" s="385"/>
      <c r="H46" s="385"/>
      <c r="I46" s="385"/>
    </row>
    <row r="47" spans="1:9" x14ac:dyDescent="0.25">
      <c r="A47" s="385"/>
      <c r="B47" s="385"/>
      <c r="C47" s="385"/>
      <c r="D47" s="385"/>
      <c r="E47" s="385"/>
      <c r="F47" s="385"/>
      <c r="G47" s="385"/>
      <c r="H47" s="385"/>
      <c r="I47" s="385"/>
    </row>
    <row r="51" spans="2:8" ht="36" x14ac:dyDescent="0.25">
      <c r="C51" s="466" t="s">
        <v>148</v>
      </c>
      <c r="D51" s="466"/>
      <c r="E51" s="466"/>
      <c r="F51" s="466"/>
    </row>
    <row r="52" spans="2:8" ht="17.25" x14ac:dyDescent="0.25">
      <c r="B52" s="105"/>
    </row>
    <row r="53" spans="2:8" ht="23.25" x14ac:dyDescent="0.25">
      <c r="B53" s="106" t="s">
        <v>149</v>
      </c>
    </row>
    <row r="55" spans="2:8" ht="21" x14ac:dyDescent="0.25">
      <c r="B55" s="107" t="s">
        <v>227</v>
      </c>
      <c r="E55" s="475" t="s">
        <v>228</v>
      </c>
      <c r="F55" s="475"/>
      <c r="G55" s="107"/>
      <c r="H55" s="108"/>
    </row>
    <row r="56" spans="2:8" ht="21" x14ac:dyDescent="0.25">
      <c r="B56" s="107" t="s">
        <v>229</v>
      </c>
      <c r="E56" s="475" t="s">
        <v>230</v>
      </c>
      <c r="F56" s="475"/>
      <c r="G56" s="475"/>
      <c r="H56" s="107"/>
    </row>
    <row r="57" spans="2:8" ht="21" x14ac:dyDescent="0.25">
      <c r="B57" s="475" t="s">
        <v>231</v>
      </c>
      <c r="C57" s="475"/>
      <c r="E57" s="475" t="s">
        <v>155</v>
      </c>
      <c r="F57" s="475"/>
      <c r="G57" s="108"/>
      <c r="H57" s="108"/>
    </row>
    <row r="59" spans="2:8" ht="23.25" x14ac:dyDescent="0.25">
      <c r="B59" s="106" t="s">
        <v>156</v>
      </c>
    </row>
    <row r="61" spans="2:8" ht="21" x14ac:dyDescent="0.25">
      <c r="B61" s="475" t="s">
        <v>232</v>
      </c>
      <c r="C61" s="475"/>
      <c r="D61" s="107"/>
      <c r="E61" s="475"/>
      <c r="F61" s="475"/>
      <c r="G61" s="475"/>
    </row>
    <row r="62" spans="2:8" ht="21" x14ac:dyDescent="0.25">
      <c r="B62" s="475" t="s">
        <v>233</v>
      </c>
      <c r="C62" s="475"/>
      <c r="D62" s="107"/>
    </row>
    <row r="64" spans="2:8" ht="21" x14ac:dyDescent="0.25">
      <c r="B64" s="107" t="s">
        <v>160</v>
      </c>
    </row>
    <row r="66" spans="2:9" ht="21" x14ac:dyDescent="0.25">
      <c r="B66" s="107" t="s">
        <v>234</v>
      </c>
      <c r="C66" s="107"/>
      <c r="D66" s="107"/>
      <c r="E66" s="501" t="s">
        <v>235</v>
      </c>
      <c r="F66" s="501"/>
      <c r="G66" s="107"/>
      <c r="H66" s="107"/>
      <c r="I66" s="107"/>
    </row>
    <row r="67" spans="2:9" ht="21" x14ac:dyDescent="0.25">
      <c r="B67" s="150" t="s">
        <v>235</v>
      </c>
      <c r="C67" s="107"/>
      <c r="D67" s="107"/>
      <c r="E67" s="475" t="s">
        <v>236</v>
      </c>
      <c r="F67" s="475"/>
      <c r="G67" s="475"/>
      <c r="H67" s="475"/>
      <c r="I67" s="107"/>
    </row>
    <row r="68" spans="2:9" ht="21" x14ac:dyDescent="0.25">
      <c r="B68" s="475"/>
      <c r="C68" s="475"/>
      <c r="D68" s="475"/>
      <c r="E68" s="475"/>
      <c r="F68" s="475"/>
      <c r="G68" s="475"/>
      <c r="H68" s="475"/>
      <c r="I68" s="475"/>
    </row>
    <row r="69" spans="2:9" ht="21" x14ac:dyDescent="0.25">
      <c r="B69" s="475"/>
      <c r="C69" s="475"/>
      <c r="D69" s="475"/>
      <c r="E69" s="475"/>
      <c r="F69" s="475"/>
      <c r="G69" s="475"/>
      <c r="H69" s="475"/>
      <c r="I69" s="108"/>
    </row>
    <row r="85" spans="1:9" ht="36" x14ac:dyDescent="0.25">
      <c r="C85" s="466" t="s">
        <v>170</v>
      </c>
      <c r="D85" s="466"/>
      <c r="E85" s="466"/>
      <c r="F85" s="466"/>
      <c r="G85" s="466"/>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5" t="s">
        <v>10</v>
      </c>
      <c r="D94" s="455"/>
      <c r="E94" s="455"/>
      <c r="F94" s="455"/>
      <c r="G94" s="455"/>
      <c r="H94" s="446"/>
      <c r="I94" s="111"/>
    </row>
    <row r="95" spans="1:9" ht="30" x14ac:dyDescent="0.25">
      <c r="A95" s="111"/>
      <c r="B95" s="111"/>
      <c r="C95" s="449"/>
      <c r="D95" s="449"/>
      <c r="E95" s="3" t="s">
        <v>15</v>
      </c>
      <c r="F95" s="20" t="s">
        <v>17</v>
      </c>
      <c r="G95" s="20" t="s">
        <v>24</v>
      </c>
      <c r="H95" s="20" t="s">
        <v>25</v>
      </c>
      <c r="I95" s="114"/>
    </row>
    <row r="96" spans="1:9" ht="17.25" x14ac:dyDescent="0.25">
      <c r="A96" s="111"/>
      <c r="B96" s="111"/>
      <c r="C96" s="445" t="str">
        <f>Mesures_Omia!A44</f>
        <v xml:space="preserve">Sonde </v>
      </c>
      <c r="D96" s="446"/>
      <c r="E96" s="10" cm="1">
        <f t="array" ref="E96:H108">Mesures_Omia!C44:F56</f>
        <v>0</v>
      </c>
      <c r="F96" s="10">
        <v>0</v>
      </c>
      <c r="G96" s="10">
        <v>0</v>
      </c>
      <c r="H96" s="10">
        <v>0</v>
      </c>
      <c r="I96" s="111"/>
    </row>
    <row r="97" spans="1:9" ht="17.25" x14ac:dyDescent="0.25">
      <c r="A97" s="111"/>
      <c r="B97" s="111"/>
      <c r="C97" s="445" t="str">
        <f>Mesures_Omia!A45</f>
        <v xml:space="preserve">Sonde </v>
      </c>
      <c r="D97" s="446"/>
      <c r="E97" s="10">
        <v>0</v>
      </c>
      <c r="F97" s="10">
        <v>0</v>
      </c>
      <c r="G97" s="10">
        <v>0</v>
      </c>
      <c r="H97" s="10">
        <v>0</v>
      </c>
      <c r="I97" s="111"/>
    </row>
    <row r="98" spans="1:9" ht="17.25" x14ac:dyDescent="0.25">
      <c r="A98" s="111"/>
      <c r="B98" s="111"/>
      <c r="C98" s="445" t="str">
        <f>Mesures_Omia!A46</f>
        <v xml:space="preserve">Sonde </v>
      </c>
      <c r="D98" s="446"/>
      <c r="E98" s="10">
        <v>0</v>
      </c>
      <c r="F98" s="10">
        <v>0</v>
      </c>
      <c r="G98" s="10">
        <v>0</v>
      </c>
      <c r="H98" s="10">
        <v>0</v>
      </c>
      <c r="I98" s="111"/>
    </row>
    <row r="99" spans="1:9" ht="17.25" x14ac:dyDescent="0.25">
      <c r="A99" s="111"/>
      <c r="B99" s="111"/>
      <c r="C99" s="445" t="str">
        <f>Mesures_Omia!A47</f>
        <v xml:space="preserve">Sonde </v>
      </c>
      <c r="D99" s="446"/>
      <c r="E99" s="10">
        <v>0</v>
      </c>
      <c r="F99" s="10">
        <v>0</v>
      </c>
      <c r="G99" s="10">
        <v>0</v>
      </c>
      <c r="H99" s="10">
        <v>0</v>
      </c>
      <c r="I99" s="111"/>
    </row>
    <row r="100" spans="1:9" ht="17.25" x14ac:dyDescent="0.25">
      <c r="A100" s="111"/>
      <c r="B100" s="111"/>
      <c r="C100" s="445" t="str">
        <f>Mesures_Omia!A48</f>
        <v xml:space="preserve">Sonde </v>
      </c>
      <c r="D100" s="446"/>
      <c r="E100" s="10">
        <v>0</v>
      </c>
      <c r="F100" s="10">
        <v>0</v>
      </c>
      <c r="G100" s="10">
        <v>0</v>
      </c>
      <c r="H100" s="10">
        <v>0</v>
      </c>
      <c r="I100" s="111"/>
    </row>
    <row r="101" spans="1:9" ht="17.25" x14ac:dyDescent="0.25">
      <c r="A101" s="111"/>
      <c r="B101" s="111"/>
      <c r="C101" s="445" t="str">
        <f>Mesures_Omia!A49</f>
        <v xml:space="preserve">Sonde </v>
      </c>
      <c r="D101" s="446"/>
      <c r="E101" s="10">
        <v>0</v>
      </c>
      <c r="F101" s="10">
        <v>0</v>
      </c>
      <c r="G101" s="10">
        <v>0</v>
      </c>
      <c r="H101" s="10">
        <v>0</v>
      </c>
      <c r="I101" s="111"/>
    </row>
    <row r="102" spans="1:9" ht="17.25" x14ac:dyDescent="0.25">
      <c r="A102" s="111"/>
      <c r="B102" s="111"/>
      <c r="C102" s="445" t="str">
        <f>Mesures_Omia!A50</f>
        <v xml:space="preserve">Sonde </v>
      </c>
      <c r="D102" s="446"/>
      <c r="E102" s="10">
        <v>0</v>
      </c>
      <c r="F102" s="10">
        <v>0</v>
      </c>
      <c r="G102" s="10">
        <v>0</v>
      </c>
      <c r="H102" s="10">
        <v>0</v>
      </c>
      <c r="I102" s="111"/>
    </row>
    <row r="103" spans="1:9" ht="17.25" x14ac:dyDescent="0.25">
      <c r="A103" s="111"/>
      <c r="B103" s="111"/>
      <c r="C103" s="445" t="str">
        <f>Mesures_Omia!A51</f>
        <v xml:space="preserve">Sonde </v>
      </c>
      <c r="D103" s="446"/>
      <c r="E103" s="10">
        <v>0</v>
      </c>
      <c r="F103" s="10">
        <v>0</v>
      </c>
      <c r="G103" s="10">
        <v>0</v>
      </c>
      <c r="H103" s="10">
        <v>0</v>
      </c>
      <c r="I103" s="111"/>
    </row>
    <row r="104" spans="1:9" ht="17.25" x14ac:dyDescent="0.25">
      <c r="A104" s="111"/>
      <c r="B104" s="111"/>
      <c r="C104" s="445" t="str">
        <f>Mesures_Omia!A52</f>
        <v xml:space="preserve">Sonde </v>
      </c>
      <c r="D104" s="446"/>
      <c r="E104" s="10">
        <v>0</v>
      </c>
      <c r="F104" s="10">
        <v>0</v>
      </c>
      <c r="G104" s="10">
        <v>0</v>
      </c>
      <c r="H104" s="10">
        <v>0</v>
      </c>
      <c r="I104" s="111"/>
    </row>
    <row r="105" spans="1:9" ht="17.25" x14ac:dyDescent="0.25">
      <c r="A105" s="111"/>
      <c r="B105" s="111"/>
      <c r="C105" s="445" t="str">
        <f>Mesures_Omia!A53</f>
        <v xml:space="preserve">Sonde </v>
      </c>
      <c r="D105" s="446"/>
      <c r="E105" s="10">
        <v>0</v>
      </c>
      <c r="F105" s="10">
        <v>0</v>
      </c>
      <c r="G105" s="10">
        <v>0</v>
      </c>
      <c r="H105" s="10">
        <v>0</v>
      </c>
      <c r="I105" s="111"/>
    </row>
    <row r="106" spans="1:9" ht="17.25" x14ac:dyDescent="0.25">
      <c r="A106" s="111"/>
      <c r="B106" s="111"/>
      <c r="C106" s="445" t="str">
        <f>Mesures_Omia!A54</f>
        <v xml:space="preserve">Sonde </v>
      </c>
      <c r="D106" s="446"/>
      <c r="E106" s="10">
        <v>0</v>
      </c>
      <c r="F106" s="10">
        <v>0</v>
      </c>
      <c r="G106" s="10">
        <v>0</v>
      </c>
      <c r="H106" s="10">
        <v>0</v>
      </c>
      <c r="I106" s="111"/>
    </row>
    <row r="107" spans="1:9" ht="17.25" x14ac:dyDescent="0.25">
      <c r="A107" s="111"/>
      <c r="B107" s="111"/>
      <c r="C107" s="445" t="str">
        <f>Mesures_Omia!A55</f>
        <v xml:space="preserve">Sonde </v>
      </c>
      <c r="D107" s="446"/>
      <c r="E107" s="10">
        <v>0</v>
      </c>
      <c r="F107" s="10">
        <v>0</v>
      </c>
      <c r="G107" s="10">
        <v>0</v>
      </c>
      <c r="H107" s="10">
        <v>0</v>
      </c>
      <c r="I107" s="111"/>
    </row>
    <row r="108" spans="1:9" ht="17.25" x14ac:dyDescent="0.25">
      <c r="A108" s="111"/>
      <c r="B108" s="111"/>
      <c r="C108" s="445" t="str">
        <f>Mesures_Omia!A56</f>
        <v xml:space="preserve">Sonde </v>
      </c>
      <c r="D108" s="446"/>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469" t="s">
        <v>176</v>
      </c>
      <c r="C116" s="469"/>
      <c r="D116" s="469"/>
      <c r="E116" s="469"/>
      <c r="F116" s="469"/>
    </row>
    <row r="118" spans="1:9" ht="26.25" x14ac:dyDescent="0.25">
      <c r="B118" s="109" t="s">
        <v>177</v>
      </c>
    </row>
    <row r="119" spans="1:9" ht="21" x14ac:dyDescent="0.3">
      <c r="E119" s="107" t="s">
        <v>178</v>
      </c>
      <c r="F119" s="107"/>
      <c r="G119" s="116">
        <f>Mesures_Omia!K44</f>
        <v>0</v>
      </c>
    </row>
    <row r="120" spans="1:9" ht="21" x14ac:dyDescent="0.3">
      <c r="B120" s="117" t="s">
        <v>179</v>
      </c>
      <c r="C120" s="107" t="s">
        <v>180</v>
      </c>
      <c r="E120" s="107" t="s">
        <v>181</v>
      </c>
      <c r="F120" s="107"/>
      <c r="G120" s="116">
        <f>Mesures_Omia!L44</f>
        <v>0</v>
      </c>
    </row>
    <row r="121" spans="1:9" ht="21" x14ac:dyDescent="0.25">
      <c r="B121" s="117" t="s">
        <v>182</v>
      </c>
      <c r="C121" s="110" t="s">
        <v>183</v>
      </c>
      <c r="E121" s="107" t="s">
        <v>184</v>
      </c>
      <c r="F121" s="107"/>
      <c r="G121" s="118">
        <f>Mesures_Omia!M44</f>
        <v>0</v>
      </c>
    </row>
    <row r="122" spans="1:9" ht="21" x14ac:dyDescent="0.35">
      <c r="B122" s="119" t="s">
        <v>185</v>
      </c>
      <c r="C122" s="120" t="s">
        <v>186</v>
      </c>
      <c r="E122" s="107" t="s">
        <v>187</v>
      </c>
      <c r="F122" s="107"/>
      <c r="G122" s="121" t="e">
        <f>"±" &amp;  SUBSTITUTE(ROUND(AVERAGE(Mesures_Omia!D23:F35),2),"-"," ") &amp; "°C"</f>
        <v>#DIV/0!</v>
      </c>
    </row>
    <row r="127" spans="1:9" ht="36" x14ac:dyDescent="0.25">
      <c r="C127" s="466" t="s">
        <v>188</v>
      </c>
      <c r="D127" s="466"/>
      <c r="E127" s="466"/>
      <c r="F127" s="466"/>
    </row>
    <row r="128" spans="1:9" ht="36" x14ac:dyDescent="0.25">
      <c r="B128" s="104"/>
      <c r="C128" s="104"/>
      <c r="D128" s="104"/>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63" spans="1:8" ht="36" x14ac:dyDescent="0.25">
      <c r="C163" s="466" t="s">
        <v>240</v>
      </c>
      <c r="D163" s="466"/>
      <c r="E163" s="466"/>
      <c r="F163" s="466"/>
      <c r="G163" s="466"/>
      <c r="H163" s="466"/>
    </row>
    <row r="166" spans="1:8" ht="15.75" thickBot="1" x14ac:dyDescent="0.3"/>
    <row r="167" spans="1:8" ht="15.75" thickBot="1" x14ac:dyDescent="0.3">
      <c r="A167" s="12" t="s">
        <v>9</v>
      </c>
      <c r="B167" s="13" t="s">
        <v>12</v>
      </c>
      <c r="C167" s="13" t="s">
        <v>14</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466" t="str">
        <f>"6. Résultats et exploitation des résultats à " &amp; Mesures_Omia!B19 &amp; "°C"</f>
        <v>6. Résultats et exploitation des résultats à °C</v>
      </c>
      <c r="D196" s="466"/>
      <c r="E196" s="466"/>
      <c r="F196" s="466"/>
      <c r="G196" s="466"/>
      <c r="H196" s="466"/>
    </row>
    <row r="200" spans="1:9" x14ac:dyDescent="0.25">
      <c r="A200" s="122" t="s">
        <v>241</v>
      </c>
      <c r="B200" s="124">
        <f>Mesures_Omia!B19</f>
        <v>0</v>
      </c>
      <c r="G200" s="470" t="s">
        <v>191</v>
      </c>
      <c r="H200" s="471"/>
      <c r="I200" s="472"/>
    </row>
    <row r="201" spans="1:9" x14ac:dyDescent="0.25">
      <c r="A201" s="122" t="s">
        <v>242</v>
      </c>
      <c r="B201" s="151">
        <f>Mesures_Omia!B20</f>
        <v>0</v>
      </c>
      <c r="G201" s="22" t="s">
        <v>192</v>
      </c>
      <c r="H201" s="22" t="s">
        <v>193</v>
      </c>
      <c r="I201" s="22" t="s">
        <v>194</v>
      </c>
    </row>
    <row r="202" spans="1:9" x14ac:dyDescent="0.25">
      <c r="G202" s="125">
        <f>INDEX(Donnees_Brutes_Omia_1[Date/Heure],1)</f>
        <v>0</v>
      </c>
      <c r="H202" s="125" cm="1">
        <f t="array" ref="H202">INDEX(Donnees_Brutes_Omia_1[Date/Heure], COUNTA(Donnees_Brutes_Omia_1[Connecteur 1]))</f>
        <v>0</v>
      </c>
      <c r="I202" s="125">
        <f>H202-G202</f>
        <v>0</v>
      </c>
    </row>
    <row r="205" spans="1:9" ht="23.25" x14ac:dyDescent="0.25">
      <c r="B205" s="473" t="s">
        <v>195</v>
      </c>
      <c r="C205" s="473"/>
    </row>
    <row r="208" spans="1:9" ht="30" x14ac:dyDescent="0.25">
      <c r="B208" s="126" t="s">
        <v>196</v>
      </c>
      <c r="C208" s="127" t="s">
        <v>197</v>
      </c>
      <c r="D208" s="127" t="s">
        <v>112</v>
      </c>
      <c r="E208" s="128" t="s">
        <v>198</v>
      </c>
      <c r="F208" s="127" t="s">
        <v>199</v>
      </c>
    </row>
    <row r="209" spans="1:6" x14ac:dyDescent="0.25">
      <c r="B209" s="129" t="s">
        <v>200</v>
      </c>
      <c r="C209" s="130" t="str">
        <f>"60°C"</f>
        <v>60°C</v>
      </c>
      <c r="D209" s="130" t="s">
        <v>201</v>
      </c>
      <c r="E209" s="130" t="s">
        <v>201</v>
      </c>
      <c r="F209" s="131" t="s">
        <v>201</v>
      </c>
    </row>
    <row r="210" spans="1:6" x14ac:dyDescent="0.25">
      <c r="B210" s="129" t="s">
        <v>202</v>
      </c>
      <c r="C210" s="130" t="str">
        <f>"60°C"</f>
        <v>60°C</v>
      </c>
      <c r="D210" s="130" t="s">
        <v>201</v>
      </c>
      <c r="E210" s="130" t="s">
        <v>201</v>
      </c>
      <c r="F210" s="131" t="s">
        <v>201</v>
      </c>
    </row>
    <row r="211" spans="1:6" x14ac:dyDescent="0.25">
      <c r="A211" s="474" t="s">
        <v>203</v>
      </c>
      <c r="B211" s="129" t="s">
        <v>204</v>
      </c>
      <c r="C211" s="132" t="e">
        <f>MAX(Omia_1!C48:O48)</f>
        <v>#N/A</v>
      </c>
      <c r="D211" s="130" t="e">
        <f>_xlfn.XLOOKUP(INT(SUBSTITUTE(E211,"Connecteur ","")),Mesures_Omia!C23:C35,Mesures_Omia!A23:A35)</f>
        <v>#N/A</v>
      </c>
      <c r="E211" s="130" t="e" cm="1">
        <f t="array" ref="E211">_xlfn.XLOOKUP(MAX(Omia_1!C48:O48),Omia_1!C48:O48,_xlfn.ANCHORARRAY(Omia_1!C47))</f>
        <v>#N/A</v>
      </c>
      <c r="F211" s="130" t="e">
        <f>_xlfn.XLOOKUP(INT(SUBSTITUTE(E211,"Connecteur ","")),Mesures_Omia!C23:C35,Mesures_Omia!B23:B35)</f>
        <v>#N/A</v>
      </c>
    </row>
    <row r="212" spans="1:6" x14ac:dyDescent="0.25">
      <c r="A212" s="474"/>
      <c r="B212" s="129" t="s">
        <v>205</v>
      </c>
      <c r="C212" s="132" t="e">
        <f>MIN(Omia_1!C48:O48)</f>
        <v>#N/A</v>
      </c>
      <c r="D212" s="130" t="e">
        <f>_xlfn.XLOOKUP(INT(SUBSTITUTE(E212,"Connecteur ","")),Mesures_Omia!C23:C35,Mesures_Omia!A23:A35)</f>
        <v>#N/A</v>
      </c>
      <c r="E212" s="130" t="e" cm="1">
        <f t="array" ref="E212">_xlfn.XLOOKUP(MIN(Omia_1!C48:O48),Omia_1!C48:O48,_xlfn.ANCHORARRAY(Omia_1!C47))</f>
        <v>#N/A</v>
      </c>
      <c r="F212" s="131" t="e">
        <f>_xlfn.XLOOKUP(INT(SUBSTITUTE(E212,"Connecteur ","")),Mesures_Omia!C23:C35,Mesures_Omia!B23:B35)</f>
        <v>#N/A</v>
      </c>
    </row>
    <row r="213" spans="1:6" x14ac:dyDescent="0.25">
      <c r="A213" s="474"/>
      <c r="B213" s="129" t="s">
        <v>206</v>
      </c>
      <c r="C213" s="132" t="e">
        <f>MIN(Omia_1!C49:O49)</f>
        <v>#N/A</v>
      </c>
      <c r="D213" s="130" t="e">
        <f>_xlfn.XLOOKUP(INT(SUBSTITUTE(E213,"Connecteur ","")),Mesures_Omia!C23:C35,Mesures_Omia!A23:A35)</f>
        <v>#N/A</v>
      </c>
      <c r="E213" s="130" t="e" cm="1">
        <f t="array" ref="E213">_xlfn.XLOOKUP(MIN(Omia_1!C49:O49),Omia_1!C49:O49,_xlfn.ANCHORARRAY(Omia_1!C47))</f>
        <v>#N/A</v>
      </c>
      <c r="F213" s="131" t="e">
        <f>_xlfn.XLOOKUP(INT(SUBSTITUTE(E213,"Connecteur ","")),Mesures_Omia!C23:C35,Mesures_Omia!B23:B35)</f>
        <v>#N/A</v>
      </c>
    </row>
    <row r="214" spans="1:6" x14ac:dyDescent="0.25">
      <c r="A214" s="474"/>
      <c r="B214" s="129" t="s">
        <v>207</v>
      </c>
      <c r="C214" s="132" t="e">
        <f>AVERAGE(Omia_1!C50:O50)</f>
        <v>#N/A</v>
      </c>
      <c r="D214" s="130" t="s">
        <v>201</v>
      </c>
      <c r="E214" s="130" t="s">
        <v>201</v>
      </c>
      <c r="F214" s="131" t="s">
        <v>201</v>
      </c>
    </row>
    <row r="215" spans="1:6" x14ac:dyDescent="0.25">
      <c r="C215" s="89"/>
      <c r="D215" s="89"/>
      <c r="E215" s="89"/>
      <c r="F215" s="89"/>
    </row>
    <row r="226" spans="1:14" ht="36" x14ac:dyDescent="0.25">
      <c r="B226" s="466" t="str">
        <f>"7. Résultats et exploitation des résultats à " &amp; Mesures_Omia!B19 &amp; "°C"</f>
        <v>7. Résultats et exploitation des résultats à °C</v>
      </c>
      <c r="C226" s="466"/>
      <c r="D226" s="466"/>
      <c r="E226" s="466"/>
      <c r="F226" s="466"/>
    </row>
    <row r="229" spans="1:14" x14ac:dyDescent="0.25">
      <c r="B229" s="342" t="s">
        <v>209</v>
      </c>
      <c r="C229" s="342"/>
    </row>
    <row r="233" spans="1:14" x14ac:dyDescent="0.25">
      <c r="A233" s="1"/>
      <c r="B233" s="152" t="str" cm="1">
        <f t="array" ref="B233:N233">Donnees_Brutes_Omia_1[[#Headers],[Connecteur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91</v>
      </c>
      <c r="B234" s="43" t="e">
        <f>Omia_1!C48</f>
        <v>#N/A</v>
      </c>
      <c r="C234" s="43" t="e">
        <f>Omia_1!D48</f>
        <v>#N/A</v>
      </c>
      <c r="D234" s="43" t="e">
        <f>Omia_1!E48</f>
        <v>#N/A</v>
      </c>
      <c r="E234" s="43" t="e">
        <f>Omia_1!F48</f>
        <v>#N/A</v>
      </c>
      <c r="F234" s="43" t="e">
        <f>Omia_1!G48</f>
        <v>#N/A</v>
      </c>
      <c r="G234" s="43" t="e">
        <f>Omia_1!H48</f>
        <v>#N/A</v>
      </c>
      <c r="H234" s="43" t="e">
        <f>Omia_1!I48</f>
        <v>#N/A</v>
      </c>
      <c r="I234" s="43" t="e">
        <f>Omia_1!J48</f>
        <v>#N/A</v>
      </c>
      <c r="J234" s="43" t="e">
        <f>Omia_1!K48</f>
        <v>#N/A</v>
      </c>
      <c r="K234" s="43" t="e">
        <f>Omia_1!L48</f>
        <v>#N/A</v>
      </c>
      <c r="L234" s="43" t="e">
        <f>Omia_1!M48</f>
        <v>#N/A</v>
      </c>
      <c r="M234" s="43" t="e">
        <f>Omia_1!N48</f>
        <v>#N/A</v>
      </c>
      <c r="N234" s="43" t="e">
        <f>Omia_1!O48</f>
        <v>#N/A</v>
      </c>
    </row>
    <row r="235" spans="1:14" x14ac:dyDescent="0.25">
      <c r="A235" s="42" t="s">
        <v>93</v>
      </c>
      <c r="B235" s="43" t="e">
        <f>Omia_1!C49</f>
        <v>#N/A</v>
      </c>
      <c r="C235" s="43" t="e">
        <f>Omia_1!D49</f>
        <v>#N/A</v>
      </c>
      <c r="D235" s="43" t="e">
        <f>Omia_1!E49</f>
        <v>#N/A</v>
      </c>
      <c r="E235" s="43" t="e">
        <f>Omia_1!F49</f>
        <v>#N/A</v>
      </c>
      <c r="F235" s="43" t="e">
        <f>Omia_1!G49</f>
        <v>#N/A</v>
      </c>
      <c r="G235" s="43" t="e">
        <f>Omia_1!H49</f>
        <v>#N/A</v>
      </c>
      <c r="H235" s="43" t="e">
        <f>Omia_1!I49</f>
        <v>#N/A</v>
      </c>
      <c r="I235" s="43" t="e">
        <f>Omia_1!J49</f>
        <v>#N/A</v>
      </c>
      <c r="J235" s="43" t="e">
        <f>Omia_1!K49</f>
        <v>#N/A</v>
      </c>
      <c r="K235" s="43" t="e">
        <f>Omia_1!L49</f>
        <v>#N/A</v>
      </c>
      <c r="L235" s="43" t="e">
        <f>Omia_1!M49</f>
        <v>#N/A</v>
      </c>
      <c r="M235" s="43" t="e">
        <f>Omia_1!N49</f>
        <v>#N/A</v>
      </c>
      <c r="N235" s="43" t="e">
        <f>Omia_1!O49</f>
        <v>#N/A</v>
      </c>
    </row>
    <row r="236" spans="1:14" x14ac:dyDescent="0.25">
      <c r="A236" s="42" t="s">
        <v>95</v>
      </c>
      <c r="B236" s="43" t="e">
        <f>Omia_1!C50</f>
        <v>#N/A</v>
      </c>
      <c r="C236" s="43" t="e">
        <f>Omia_1!D50</f>
        <v>#N/A</v>
      </c>
      <c r="D236" s="43" t="e">
        <f>Omia_1!E50</f>
        <v>#N/A</v>
      </c>
      <c r="E236" s="43" t="e">
        <f>Omia_1!F50</f>
        <v>#N/A</v>
      </c>
      <c r="F236" s="43" t="e">
        <f>Omia_1!G50</f>
        <v>#N/A</v>
      </c>
      <c r="G236" s="43" t="e">
        <f>Omia_1!H50</f>
        <v>#N/A</v>
      </c>
      <c r="H236" s="43" t="e">
        <f>Omia_1!I50</f>
        <v>#N/A</v>
      </c>
      <c r="I236" s="43" t="e">
        <f>Omia_1!J50</f>
        <v>#N/A</v>
      </c>
      <c r="J236" s="43" t="e">
        <f>Omia_1!K50</f>
        <v>#N/A</v>
      </c>
      <c r="K236" s="43" t="e">
        <f>Omia_1!L50</f>
        <v>#N/A</v>
      </c>
      <c r="L236" s="43" t="e">
        <f>Omia_1!M50</f>
        <v>#N/A</v>
      </c>
      <c r="M236" s="43" t="e">
        <f>Omia_1!N50</f>
        <v>#N/A</v>
      </c>
      <c r="N236" s="43" t="e">
        <f>Omia_1!O50</f>
        <v>#N/A</v>
      </c>
    </row>
    <row r="237" spans="1:14" x14ac:dyDescent="0.25">
      <c r="A237" s="42" t="s">
        <v>96</v>
      </c>
      <c r="B237" s="43" t="e">
        <f>Omia_1!C51</f>
        <v>#N/A</v>
      </c>
      <c r="C237" s="43" t="e">
        <f>Omia_1!D51</f>
        <v>#N/A</v>
      </c>
      <c r="D237" s="43" t="e">
        <f>Omia_1!E51</f>
        <v>#N/A</v>
      </c>
      <c r="E237" s="43" t="e">
        <f>Omia_1!F51</f>
        <v>#N/A</v>
      </c>
      <c r="F237" s="43" t="e">
        <f>Omia_1!G51</f>
        <v>#N/A</v>
      </c>
      <c r="G237" s="43" t="e">
        <f>Omia_1!H51</f>
        <v>#N/A</v>
      </c>
      <c r="H237" s="43" t="e">
        <f>Omia_1!I51</f>
        <v>#N/A</v>
      </c>
      <c r="I237" s="43" t="e">
        <f>Omia_1!J51</f>
        <v>#N/A</v>
      </c>
      <c r="J237" s="43" t="e">
        <f>Omia_1!K51</f>
        <v>#N/A</v>
      </c>
      <c r="K237" s="43" t="e">
        <f>Omia_1!L51</f>
        <v>#N/A</v>
      </c>
      <c r="L237" s="43" t="e">
        <f>Omia_1!M51</f>
        <v>#N/A</v>
      </c>
      <c r="M237" s="43" t="e">
        <f>Omia_1!N51</f>
        <v>#N/A</v>
      </c>
      <c r="N237" s="43" t="e">
        <f>Omia_1!O51</f>
        <v>#N/A</v>
      </c>
    </row>
    <row r="238" spans="1:14" x14ac:dyDescent="0.25">
      <c r="A238" s="42" t="s">
        <v>97</v>
      </c>
      <c r="B238" s="498" t="e">
        <f>Omia_1!C52</f>
        <v>#N/A</v>
      </c>
      <c r="C238" s="499"/>
      <c r="D238" s="499"/>
      <c r="E238" s="499"/>
      <c r="F238" s="499"/>
      <c r="G238" s="499"/>
      <c r="H238" s="499"/>
      <c r="I238" s="499"/>
      <c r="J238" s="499"/>
      <c r="K238" s="499"/>
      <c r="L238" s="499"/>
      <c r="M238" s="499"/>
      <c r="N238" s="500"/>
    </row>
    <row r="239" spans="1:14" x14ac:dyDescent="0.25">
      <c r="A239" s="42" t="s">
        <v>98</v>
      </c>
      <c r="B239" s="498" t="e">
        <f>Omia_1!C53</f>
        <v>#N/A</v>
      </c>
      <c r="C239" s="499"/>
      <c r="D239" s="499"/>
      <c r="E239" s="499"/>
      <c r="F239" s="499"/>
      <c r="G239" s="499"/>
      <c r="H239" s="499"/>
      <c r="I239" s="499"/>
      <c r="J239" s="499"/>
      <c r="K239" s="499"/>
      <c r="L239" s="499"/>
      <c r="M239" s="499"/>
      <c r="N239" s="500"/>
    </row>
    <row r="240" spans="1:14" x14ac:dyDescent="0.25">
      <c r="A240" s="36" t="s">
        <v>99</v>
      </c>
      <c r="B240" s="153" t="e" cm="1">
        <f t="array" aca="1" ref="B240:N240" ca="1">Omia_1!C54:O54</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tr">
        <f>"8. Résultats et exploitation des résultats à " &amp; Mesures_Omia!B19 &amp; "°C"</f>
        <v>8. Résultats et exploitation des résultats à °C</v>
      </c>
      <c r="D254" s="137"/>
      <c r="E254" s="137"/>
      <c r="F254" s="137"/>
    </row>
    <row r="257" spans="2:2" x14ac:dyDescent="0.25">
      <c r="B257" t="s">
        <v>216</v>
      </c>
    </row>
    <row r="291" spans="1:9" ht="36" x14ac:dyDescent="0.25">
      <c r="B291" s="136" t="str">
        <f>"9. Résultats et exploitation des résultats à " &amp; Mesures_Omia!C19 &amp; "°C"</f>
        <v>9. Résultats et exploitation des résultats à °C</v>
      </c>
    </row>
    <row r="299" spans="1:9" x14ac:dyDescent="0.25">
      <c r="A299" s="122" t="s">
        <v>241</v>
      </c>
      <c r="B299" s="124">
        <v>150</v>
      </c>
      <c r="G299" s="470" t="s">
        <v>191</v>
      </c>
      <c r="H299" s="471"/>
      <c r="I299" s="472"/>
    </row>
    <row r="300" spans="1:9" x14ac:dyDescent="0.25">
      <c r="A300" s="122" t="s">
        <v>242</v>
      </c>
      <c r="B300" s="151">
        <f>Mesures_Omia!B20</f>
        <v>0</v>
      </c>
      <c r="G300" s="22" t="s">
        <v>192</v>
      </c>
      <c r="H300" s="22" t="s">
        <v>193</v>
      </c>
      <c r="I300" s="22" t="s">
        <v>194</v>
      </c>
    </row>
    <row r="301" spans="1:9" x14ac:dyDescent="0.25">
      <c r="G301" s="125">
        <f>INDEX(Donnees_Brutes_Omia_2[Date/Heure], 1)</f>
        <v>0</v>
      </c>
      <c r="H301" s="125" cm="1">
        <f t="array" ref="H301">INDEX(Donnees_Brutes_Omia_2[Date/Heure], COUNTA(Donnees_Brutes_Omia_2[Connecteur 1]))</f>
        <v>0</v>
      </c>
      <c r="I301" s="125">
        <f>H301-G301</f>
        <v>0</v>
      </c>
    </row>
    <row r="304" spans="1:9" ht="23.25" x14ac:dyDescent="0.25">
      <c r="B304" s="473" t="s">
        <v>195</v>
      </c>
      <c r="C304" s="473"/>
    </row>
    <row r="307" spans="1:6" ht="30" x14ac:dyDescent="0.25">
      <c r="B307" s="126" t="s">
        <v>196</v>
      </c>
      <c r="C307" s="127" t="s">
        <v>197</v>
      </c>
      <c r="D307" s="127" t="s">
        <v>112</v>
      </c>
      <c r="E307" s="128" t="s">
        <v>198</v>
      </c>
      <c r="F307" s="127" t="s">
        <v>199</v>
      </c>
    </row>
    <row r="308" spans="1:6" x14ac:dyDescent="0.25">
      <c r="B308" s="129" t="s">
        <v>200</v>
      </c>
      <c r="C308" s="130" t="str">
        <f>"150°C"</f>
        <v>150°C</v>
      </c>
      <c r="D308" s="130" t="s">
        <v>201</v>
      </c>
      <c r="E308" s="130" t="s">
        <v>201</v>
      </c>
      <c r="F308" s="131" t="s">
        <v>201</v>
      </c>
    </row>
    <row r="309" spans="1:6" x14ac:dyDescent="0.25">
      <c r="B309" s="129" t="s">
        <v>202</v>
      </c>
      <c r="C309" s="130" t="str">
        <f>"150°C"</f>
        <v>150°C</v>
      </c>
      <c r="D309" s="130" t="s">
        <v>201</v>
      </c>
      <c r="E309" s="130" t="s">
        <v>201</v>
      </c>
      <c r="F309" s="131" t="s">
        <v>201</v>
      </c>
    </row>
    <row r="310" spans="1:6" x14ac:dyDescent="0.25">
      <c r="A310" s="474" t="s">
        <v>203</v>
      </c>
      <c r="B310" s="129" t="s">
        <v>204</v>
      </c>
      <c r="C310" s="132" t="e">
        <f>MAX(Omia_2!C64:O64)</f>
        <v>#N/A</v>
      </c>
      <c r="D310" s="130" t="e">
        <f>_xlfn.XLOOKUP(INT(SUBSTITUTE(E310,"Connecteur ","")),Mesures_Omia!C23:C35,Mesures_Omia!A23:A35)</f>
        <v>#N/A</v>
      </c>
      <c r="E310" s="130" t="e" cm="1">
        <f t="array" ref="E310">_xlfn.XLOOKUP(MAX(Omia_2!C64:O64),Omia_2!C64:O64,_xlfn.ANCHORARRAY(Omia_2!C63))</f>
        <v>#N/A</v>
      </c>
      <c r="F310" s="130" t="e">
        <f>_xlfn.XLOOKUP(INT(SUBSTITUTE(E310,"Connecteur ","")),Mesures_Omia!C23:C35,Mesures_Omia!B23:B35)</f>
        <v>#N/A</v>
      </c>
    </row>
    <row r="311" spans="1:6" x14ac:dyDescent="0.25">
      <c r="A311" s="474"/>
      <c r="B311" s="129" t="s">
        <v>205</v>
      </c>
      <c r="C311" s="132" t="e">
        <f>MIN(Omia_2!C64:O64)</f>
        <v>#N/A</v>
      </c>
      <c r="D311" s="130" t="e">
        <f>_xlfn.XLOOKUP(INT(SUBSTITUTE(E311,"Connecteur ","")),Mesures_Omia!C23:C35,Mesures_Omia!A23:A35)</f>
        <v>#N/A</v>
      </c>
      <c r="E311" s="130" t="e" cm="1">
        <f t="array" ref="E311">_xlfn.XLOOKUP(MIN(Omia_2!C64:O64),Omia_2!C64:O64,_xlfn.ANCHORARRAY(Omia_2!C63))</f>
        <v>#N/A</v>
      </c>
      <c r="F311" s="131" t="e">
        <f>_xlfn.XLOOKUP(INT(SUBSTITUTE(E311,"Connecteur ","")),Mesures_Omia!C23:C35,Mesures_Omia!B23:B35)</f>
        <v>#N/A</v>
      </c>
    </row>
    <row r="312" spans="1:6" x14ac:dyDescent="0.25">
      <c r="A312" s="474"/>
      <c r="B312" s="129" t="s">
        <v>206</v>
      </c>
      <c r="C312" s="132" t="e">
        <f>MIN(Omia_2!C64:O64)</f>
        <v>#N/A</v>
      </c>
      <c r="D312" s="130" t="e">
        <f>_xlfn.XLOOKUP(INT(SUBSTITUTE(E312,"Connecteur ","")),Mesures_Omia!C24:C36,Mesures_Omia!A24:A36)</f>
        <v>#N/A</v>
      </c>
      <c r="E312" s="130" t="e" cm="1">
        <f t="array" ref="E312">_xlfn.XLOOKUP(MIN(Omia_2!C65:O65),Omia_2!C65:O65,_xlfn.ANCHORARRAY(Omia_2!C63))</f>
        <v>#N/A</v>
      </c>
      <c r="F312" s="131" t="e">
        <f>_xlfn.XLOOKUP(INT(SUBSTITUTE(E312,"Connecteur ","")),Mesures_Omia!C24:C36,Mesures_Omia!B24:B36)</f>
        <v>#N/A</v>
      </c>
    </row>
    <row r="313" spans="1:6" x14ac:dyDescent="0.25">
      <c r="A313" s="474"/>
      <c r="B313" s="129" t="s">
        <v>207</v>
      </c>
      <c r="C313" s="132" t="e">
        <f>AVERAGE(Omia_2!C64:O64)</f>
        <v>#N/A</v>
      </c>
      <c r="D313" s="130" t="s">
        <v>201</v>
      </c>
      <c r="E313" s="130" t="s">
        <v>201</v>
      </c>
      <c r="F313" s="131" t="s">
        <v>201</v>
      </c>
    </row>
    <row r="314" spans="1:6" x14ac:dyDescent="0.25">
      <c r="C314" s="89"/>
      <c r="D314" s="89"/>
      <c r="E314" s="89"/>
      <c r="F314" s="89"/>
    </row>
    <row r="324" spans="1:14" ht="36" x14ac:dyDescent="0.25">
      <c r="B324" s="466" t="str">
        <f>"10. Résultats et exploitation des résultats à " &amp; Mesures_Omia!C19 &amp; "°C"</f>
        <v>10. Résultats et exploitation des résultats à °C</v>
      </c>
      <c r="C324" s="466"/>
      <c r="D324" s="466"/>
      <c r="E324" s="466"/>
      <c r="F324" s="466"/>
    </row>
    <row r="327" spans="1:14" x14ac:dyDescent="0.25">
      <c r="B327" s="342" t="s">
        <v>209</v>
      </c>
      <c r="C327" s="342"/>
    </row>
    <row r="331" spans="1:14" x14ac:dyDescent="0.25">
      <c r="A331" s="1"/>
      <c r="B331" s="152" t="str" cm="1">
        <f t="array" ref="B331:N331">Donnees_Brutes_Omia_1[[#Headers],[Connecteur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91</v>
      </c>
      <c r="B332" s="43" t="e" cm="1">
        <f t="array" ref="B332:N335">Omia_2!C64:O67</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93</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95</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96</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97</v>
      </c>
      <c r="B336" s="498" t="e">
        <f>Omia_2!C68</f>
        <v>#N/A</v>
      </c>
      <c r="C336" s="499"/>
      <c r="D336" s="499"/>
      <c r="E336" s="499"/>
      <c r="F336" s="499"/>
      <c r="G336" s="499"/>
      <c r="H336" s="499"/>
      <c r="I336" s="499"/>
      <c r="J336" s="499"/>
      <c r="K336" s="499"/>
      <c r="L336" s="499"/>
      <c r="M336" s="499"/>
      <c r="N336" s="500"/>
    </row>
    <row r="337" spans="1:14" x14ac:dyDescent="0.25">
      <c r="A337" s="42" t="s">
        <v>98</v>
      </c>
      <c r="B337" s="498" t="e">
        <f>Omia_2!C69</f>
        <v>#N/A</v>
      </c>
      <c r="C337" s="499"/>
      <c r="D337" s="499"/>
      <c r="E337" s="499"/>
      <c r="F337" s="499"/>
      <c r="G337" s="499"/>
      <c r="H337" s="499"/>
      <c r="I337" s="499"/>
      <c r="J337" s="499"/>
      <c r="K337" s="499"/>
      <c r="L337" s="499"/>
      <c r="M337" s="499"/>
      <c r="N337" s="500"/>
    </row>
    <row r="338" spans="1:14" x14ac:dyDescent="0.25">
      <c r="A338" s="36" t="s">
        <v>99</v>
      </c>
      <c r="B338" s="153" t="e" cm="1">
        <f t="array" aca="1" ref="B338:N338" ca="1">Omia_2!C70:O70</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tr">
        <f>"11. Résultats et exploitation des résultats à " &amp; Mesures_Omia!C19 &amp; "°C"</f>
        <v>11. Résultats et exploitation des résultats à °C</v>
      </c>
      <c r="D350" s="137"/>
      <c r="E350" s="137"/>
      <c r="F350" s="137"/>
    </row>
    <row r="353" spans="2:2" x14ac:dyDescent="0.25">
      <c r="B353" t="s">
        <v>216</v>
      </c>
    </row>
    <row r="402" spans="1:9" ht="36" x14ac:dyDescent="0.25">
      <c r="B402" s="136" t="str">
        <f>"12. Résultats et exploitation des résultats à " &amp; Mesures_Omia!D19 &amp; "°C"</f>
        <v>12. Résultats et exploitation des résultats à °C</v>
      </c>
    </row>
    <row r="409" spans="1:9" x14ac:dyDescent="0.25">
      <c r="A409" s="122" t="s">
        <v>241</v>
      </c>
      <c r="B409" s="124">
        <v>190</v>
      </c>
      <c r="G409" s="470" t="s">
        <v>191</v>
      </c>
      <c r="H409" s="471"/>
      <c r="I409" s="472"/>
    </row>
    <row r="410" spans="1:9" x14ac:dyDescent="0.25">
      <c r="A410" s="122" t="s">
        <v>242</v>
      </c>
      <c r="B410" s="151">
        <f>Mesures_Omia!B20</f>
        <v>0</v>
      </c>
      <c r="G410" s="22" t="s">
        <v>192</v>
      </c>
      <c r="H410" s="22" t="s">
        <v>193</v>
      </c>
      <c r="I410" s="22" t="s">
        <v>194</v>
      </c>
    </row>
    <row r="411" spans="1:9" x14ac:dyDescent="0.25">
      <c r="G411" s="125">
        <f>INDEX(Donnees_Brutes_Omia_3[Date/Heure], 1)</f>
        <v>0</v>
      </c>
      <c r="H411" s="125" cm="1">
        <f t="array" ref="H411">INDEX(Donnees_Brutes_Omia_3[Date/Heure], COUNTA(Donnees_Brutes_Omia_3[Connecteur 1]))</f>
        <v>0</v>
      </c>
      <c r="I411" s="125">
        <f>H411-G411</f>
        <v>0</v>
      </c>
    </row>
    <row r="414" spans="1:9" ht="23.25" x14ac:dyDescent="0.25">
      <c r="B414" s="473" t="s">
        <v>195</v>
      </c>
      <c r="C414" s="473"/>
    </row>
    <row r="417" spans="1:6" ht="30" x14ac:dyDescent="0.25">
      <c r="B417" s="126" t="s">
        <v>196</v>
      </c>
      <c r="C417" s="127" t="s">
        <v>197</v>
      </c>
      <c r="D417" s="127" t="s">
        <v>112</v>
      </c>
      <c r="E417" s="128" t="s">
        <v>198</v>
      </c>
      <c r="F417" s="127" t="s">
        <v>199</v>
      </c>
    </row>
    <row r="418" spans="1:6" x14ac:dyDescent="0.25">
      <c r="B418" s="129" t="s">
        <v>200</v>
      </c>
      <c r="C418" s="130" t="str">
        <f>"190°C"</f>
        <v>190°C</v>
      </c>
      <c r="D418" s="130" t="s">
        <v>201</v>
      </c>
      <c r="E418" s="130" t="s">
        <v>201</v>
      </c>
      <c r="F418" s="131" t="s">
        <v>201</v>
      </c>
    </row>
    <row r="419" spans="1:6" x14ac:dyDescent="0.25">
      <c r="B419" s="129" t="s">
        <v>202</v>
      </c>
      <c r="C419" s="130" t="str">
        <f>"190°C"</f>
        <v>190°C</v>
      </c>
      <c r="D419" s="130" t="s">
        <v>201</v>
      </c>
      <c r="E419" s="130" t="s">
        <v>201</v>
      </c>
      <c r="F419" s="131" t="s">
        <v>201</v>
      </c>
    </row>
    <row r="420" spans="1:6" x14ac:dyDescent="0.25">
      <c r="A420" s="474" t="s">
        <v>203</v>
      </c>
      <c r="B420" s="129" t="s">
        <v>204</v>
      </c>
      <c r="C420" s="132" t="e">
        <f>MAX(Omia_3!C59:O59)</f>
        <v>#N/A</v>
      </c>
      <c r="D420" s="130" t="e">
        <f>_xlfn.XLOOKUP(INT(SUBSTITUTE(E420,"Connecteur ","")),Mesures_Omia!C23:C35,Mesures_Omia!A23:A35)</f>
        <v>#N/A</v>
      </c>
      <c r="E420" s="130" t="e" cm="1">
        <f t="array" ref="E420">_xlfn.XLOOKUP(MAX(Omia_3!C59:O59),Omia_3!C59:O59,_xlfn.ANCHORARRAY(Omia_3!C58))</f>
        <v>#N/A</v>
      </c>
      <c r="F420" s="130" t="e">
        <f>_xlfn.XLOOKUP(INT(SUBSTITUTE(E420,"Connecteur ","")),Mesures_Omia!C23:C35,Mesures_Omia!B23:B35)</f>
        <v>#N/A</v>
      </c>
    </row>
    <row r="421" spans="1:6" x14ac:dyDescent="0.25">
      <c r="A421" s="474"/>
      <c r="B421" s="129" t="s">
        <v>205</v>
      </c>
      <c r="C421" s="132" t="e">
        <f>MIN(Omia_3!C59:O59)</f>
        <v>#N/A</v>
      </c>
      <c r="D421" s="130" t="e">
        <f>_xlfn.XLOOKUP(INT(SUBSTITUTE(E421,"Connecteur ","")),Mesures_Omia!C23:C35,Mesures_Omia!A23:A35)</f>
        <v>#N/A</v>
      </c>
      <c r="E421" s="130" t="e" cm="1">
        <f t="array" ref="E421">_xlfn.XLOOKUP(MIN(Omia_3!C59:O59),Omia_3!C59:O59,_xlfn.ANCHORARRAY(Omia_3!C58))</f>
        <v>#N/A</v>
      </c>
      <c r="F421" s="131" t="e">
        <f>_xlfn.XLOOKUP(INT(SUBSTITUTE(E421,"Connecteur ","")),Mesures_Omia!C23:C35,Mesures_Omia!B23:B35)</f>
        <v>#N/A</v>
      </c>
    </row>
    <row r="422" spans="1:6" x14ac:dyDescent="0.25">
      <c r="A422" s="474"/>
      <c r="B422" s="129" t="s">
        <v>206</v>
      </c>
      <c r="C422" s="132" t="e">
        <f>MIN(Omia_3!C60:O60)</f>
        <v>#N/A</v>
      </c>
      <c r="D422" s="130" t="e">
        <f>_xlfn.XLOOKUP(INT(SUBSTITUTE(E422,"Connecteur ","")),Mesures_Omia!C23:C35,Mesures_Omia!A23:A35)</f>
        <v>#N/A</v>
      </c>
      <c r="E422" s="130" t="e" cm="1">
        <f t="array" ref="E422">_xlfn.XLOOKUP(MAX(Omia_3!C60:O60),Omia_3!C60:O60,_xlfn.ANCHORARRAY(Omia_3!C58))</f>
        <v>#N/A</v>
      </c>
      <c r="F422" s="131" t="e">
        <f>_xlfn.XLOOKUP(INT(SUBSTITUTE(E422,"Connecteur ","")),Mesures_Omia!C23:C35,Mesures_Omia!B23:B35)</f>
        <v>#N/A</v>
      </c>
    </row>
    <row r="423" spans="1:6" x14ac:dyDescent="0.25">
      <c r="A423" s="474"/>
      <c r="B423" s="129" t="s">
        <v>207</v>
      </c>
      <c r="C423" s="132" t="e">
        <f>AVERAGE(Omia_3!C61:O61)</f>
        <v>#N/A</v>
      </c>
      <c r="D423" s="130" t="s">
        <v>201</v>
      </c>
      <c r="E423" s="130" t="s">
        <v>201</v>
      </c>
      <c r="F423" s="131" t="s">
        <v>201</v>
      </c>
    </row>
    <row r="424" spans="1:6" x14ac:dyDescent="0.25">
      <c r="C424" s="89"/>
      <c r="D424" s="89"/>
      <c r="E424" s="89"/>
      <c r="F424" s="89"/>
    </row>
    <row r="433" spans="1:14" ht="36" x14ac:dyDescent="0.25">
      <c r="B433" s="466" t="str">
        <f>"13. Résultats et exploitation des résultats à " &amp; Mesures_Omia!D19 &amp; "°C"</f>
        <v>13. Résultats et exploitation des résultats à °C</v>
      </c>
      <c r="C433" s="466"/>
      <c r="D433" s="466"/>
      <c r="E433" s="466"/>
      <c r="F433" s="466"/>
    </row>
    <row r="436" spans="1:14" x14ac:dyDescent="0.25">
      <c r="B436" s="342" t="s">
        <v>209</v>
      </c>
      <c r="C436" s="342"/>
    </row>
    <row r="440" spans="1:14" x14ac:dyDescent="0.25">
      <c r="A440" s="1"/>
      <c r="B440" s="152" t="str" cm="1">
        <f t="array" ref="B440:N440">Donnees_Brutes_Omia_1[[#Headers],[Connecteur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91</v>
      </c>
      <c r="B441" s="43" t="e" cm="1">
        <f t="array" ref="B441:N444">Omia_3!C59:O62</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93</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95</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96</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97</v>
      </c>
      <c r="B445" s="498" t="e">
        <f>Omia_3!C63</f>
        <v>#N/A</v>
      </c>
      <c r="C445" s="499"/>
      <c r="D445" s="499"/>
      <c r="E445" s="499"/>
      <c r="F445" s="499"/>
      <c r="G445" s="499"/>
      <c r="H445" s="499"/>
      <c r="I445" s="499"/>
      <c r="J445" s="499"/>
      <c r="K445" s="499"/>
      <c r="L445" s="499"/>
      <c r="M445" s="499"/>
      <c r="N445" s="500"/>
    </row>
    <row r="446" spans="1:14" x14ac:dyDescent="0.25">
      <c r="A446" s="42" t="s">
        <v>98</v>
      </c>
      <c r="B446" s="498" t="e">
        <f>Omia_3!C64</f>
        <v>#N/A</v>
      </c>
      <c r="C446" s="499"/>
      <c r="D446" s="499"/>
      <c r="E446" s="499"/>
      <c r="F446" s="499"/>
      <c r="G446" s="499"/>
      <c r="H446" s="499"/>
      <c r="I446" s="499"/>
      <c r="J446" s="499"/>
      <c r="K446" s="499"/>
      <c r="L446" s="499"/>
      <c r="M446" s="499"/>
      <c r="N446" s="500"/>
    </row>
    <row r="447" spans="1:14" x14ac:dyDescent="0.25">
      <c r="A447" s="36" t="s">
        <v>99</v>
      </c>
      <c r="B447" s="153" t="e" cm="1">
        <f t="array" aca="1" ref="B447:N447" ca="1">Omia_3!C65:O65</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tr">
        <f>"14. Résultats et exploitation des résultats à " &amp; Mesures_Omia!D19 &amp; "°C"</f>
        <v>14. Résultats et exploitation des résultats à °C</v>
      </c>
      <c r="D455" s="137"/>
      <c r="E455" s="137"/>
      <c r="F455" s="137"/>
    </row>
    <row r="458" spans="2:6" x14ac:dyDescent="0.25">
      <c r="B458" t="s">
        <v>216</v>
      </c>
    </row>
    <row r="505" spans="3:7" x14ac:dyDescent="0.25">
      <c r="C505" s="129" t="s">
        <v>219</v>
      </c>
      <c r="D505" s="129"/>
      <c r="E505" s="22" t="str">
        <f>Mesures_Omia!B19 &amp; "°C"</f>
        <v>°C</v>
      </c>
      <c r="F505" s="22" t="str">
        <f>Mesures_Omia!C19 &amp; "°C"</f>
        <v>°C</v>
      </c>
      <c r="G505" s="22" t="str">
        <f>Mesures_Omia!D19 &amp; "°C"</f>
        <v>°C</v>
      </c>
    </row>
    <row r="506" spans="3:7" x14ac:dyDescent="0.25">
      <c r="C506" s="461" t="s">
        <v>220</v>
      </c>
      <c r="D506" s="462"/>
      <c r="E506" s="130">
        <f>Mesures_Omia!B19</f>
        <v>0</v>
      </c>
      <c r="F506" s="130">
        <f>Mesures_Omia!C19</f>
        <v>0</v>
      </c>
      <c r="G506" s="130">
        <f>Mesures_Omia!D19</f>
        <v>0</v>
      </c>
    </row>
    <row r="507" spans="3:7" x14ac:dyDescent="0.25">
      <c r="C507" s="461" t="s">
        <v>221</v>
      </c>
      <c r="D507" s="462"/>
      <c r="E507" s="132" t="e">
        <f>Omia_1!C52</f>
        <v>#N/A</v>
      </c>
      <c r="F507" s="132" t="e">
        <f>Omia_2!C68</f>
        <v>#N/A</v>
      </c>
      <c r="G507" s="132" t="e">
        <f>Omia_3!C63</f>
        <v>#N/A</v>
      </c>
    </row>
    <row r="508" spans="3:7" x14ac:dyDescent="0.25">
      <c r="C508" s="461" t="s">
        <v>222</v>
      </c>
      <c r="D508" s="462"/>
      <c r="E508" s="155">
        <f>Mesures_Omia!B20</f>
        <v>0</v>
      </c>
      <c r="F508" s="155">
        <f>Mesures_Omia!B20</f>
        <v>0</v>
      </c>
      <c r="G508" s="155">
        <f>Mesures_Omia!B20</f>
        <v>0</v>
      </c>
    </row>
    <row r="509" spans="3:7" x14ac:dyDescent="0.25">
      <c r="C509" s="461" t="s">
        <v>243</v>
      </c>
      <c r="D509" s="462"/>
      <c r="E509" s="130" t="e">
        <f>IF(MIN(Omia_1!C49:O49)&lt;Omia_1!P49,"NON CONFORME","CONFORME")</f>
        <v>#N/A</v>
      </c>
      <c r="F509" s="130" t="e">
        <f>IF(MIN(Omia_2!C65:O65)&lt;Omia_2!P65,"NON CONFORME","CONFORME")</f>
        <v>#N/A</v>
      </c>
      <c r="G509" s="130" t="e">
        <f>IF(MIN(Omia_3!C60:O60)&lt;Omia_3!P60,"NON CONFORME","CONFORME")</f>
        <v>#N/A</v>
      </c>
    </row>
    <row r="510" spans="3:7" x14ac:dyDescent="0.25">
      <c r="C510" s="461" t="s">
        <v>244</v>
      </c>
      <c r="D510" s="462"/>
      <c r="E510" s="130" t="e">
        <f>IF(MAX(Omia_1!C48:O48)&gt;Omia_1!P48,"NON CONFORME","CONFORME")</f>
        <v>#N/A</v>
      </c>
      <c r="F510" s="130" t="e">
        <f>IF(MAX(Omia_2!C64:O64)&gt;Omia_2!P64,"NON CONFORME","CONFORME")</f>
        <v>#N/A</v>
      </c>
      <c r="G510" s="130" t="e">
        <f>IF(MAX(Omia_3!C59:O59)&gt;Omia_3!P59,"NON CONFORME","CONFORME")</f>
        <v>#N/A</v>
      </c>
    </row>
    <row r="511" spans="3:7" x14ac:dyDescent="0.25">
      <c r="C511" s="461" t="s">
        <v>245</v>
      </c>
      <c r="D511" s="462"/>
      <c r="E511" s="130" t="e">
        <f>IF(OR(Omia_1!C53&lt;Omia_1!P49,Omia_1!C53&gt;Omia_1!P48),"NON CONFORME","CONFORME")</f>
        <v>#N/A</v>
      </c>
      <c r="F511" s="130" t="e">
        <f>IF(OR(Omia_2!C69&lt;Omia_2!P65,Omia_2!C69&gt;Omia_2!P64),"NON CONFORME","CONFORME")</f>
        <v>#N/A</v>
      </c>
      <c r="G511" s="130" t="e">
        <f>IF(OR(Omia_3!C64&lt;Omia_3!P60,Omia_3!C64&gt;Omia_3!P59),"NON CONFORME","CONFORME")</f>
        <v>#N/A</v>
      </c>
    </row>
    <row r="512" spans="3:7" x14ac:dyDescent="0.25">
      <c r="C512" s="461" t="s">
        <v>224</v>
      </c>
      <c r="D512" s="462"/>
      <c r="E512" s="130" t="e">
        <f>(MAX(Omia_1!C48:O48)- MIN(Omia_1!C49:O49))/2</f>
        <v>#N/A</v>
      </c>
      <c r="F512" s="130" t="e">
        <f>(MAX(Omia_2!C64:O64)- MIN(Omia_2!C65:O65))/2</f>
        <v>#N/A</v>
      </c>
      <c r="G512" s="130" t="e">
        <f>(MAX(Omia_3!C59:O59)- MIN(Omia_3!C60:O60))/2</f>
        <v>#N/A</v>
      </c>
    </row>
  </sheetData>
  <sheetProtection algorithmName="SHA-512" hashValue="d2DciVQXjpNuA/SLDmCqQJlrIcdtjhMrtzG1124FVPSFPXa+F4IN5jWTHZ0w8QyJ155fLOlql8D6PSeoaqoLwQ==" saltValue="SPShOukNHd2eT8OQXaRyGQ==" spinCount="100000" sheet="1" objects="1" scenarios="1"/>
  <mergeCells count="68">
    <mergeCell ref="C51:F51"/>
    <mergeCell ref="B4:F6"/>
    <mergeCell ref="C10:D10"/>
    <mergeCell ref="E10:F10"/>
    <mergeCell ref="A28:B28"/>
    <mergeCell ref="A30:I47"/>
    <mergeCell ref="B69:D69"/>
    <mergeCell ref="E69:H69"/>
    <mergeCell ref="E55:F55"/>
    <mergeCell ref="E56:G56"/>
    <mergeCell ref="B57:C57"/>
    <mergeCell ref="E57:F57"/>
    <mergeCell ref="B61:C61"/>
    <mergeCell ref="E61:G61"/>
    <mergeCell ref="B62:C62"/>
    <mergeCell ref="E66:F66"/>
    <mergeCell ref="E67:H67"/>
    <mergeCell ref="B68:D68"/>
    <mergeCell ref="E68:I68"/>
    <mergeCell ref="C104:D104"/>
    <mergeCell ref="C85:G85"/>
    <mergeCell ref="C94:H94"/>
    <mergeCell ref="C95:D95"/>
    <mergeCell ref="C96:D96"/>
    <mergeCell ref="C97:D97"/>
    <mergeCell ref="C98:D98"/>
    <mergeCell ref="C99:D99"/>
    <mergeCell ref="C100:D100"/>
    <mergeCell ref="C101:D101"/>
    <mergeCell ref="C102:D102"/>
    <mergeCell ref="C103:D103"/>
    <mergeCell ref="A211:A214"/>
    <mergeCell ref="C105:D105"/>
    <mergeCell ref="C106:D106"/>
    <mergeCell ref="C107:D107"/>
    <mergeCell ref="C108:D108"/>
    <mergeCell ref="B116:F116"/>
    <mergeCell ref="C127:F127"/>
    <mergeCell ref="B304:C304"/>
    <mergeCell ref="B129:I144"/>
    <mergeCell ref="C163:H163"/>
    <mergeCell ref="C196:H196"/>
    <mergeCell ref="G200:I200"/>
    <mergeCell ref="B205:C205"/>
    <mergeCell ref="B226:F226"/>
    <mergeCell ref="B229:C229"/>
    <mergeCell ref="B238:N238"/>
    <mergeCell ref="B239:N239"/>
    <mergeCell ref="G299:I299"/>
    <mergeCell ref="B446:N446"/>
    <mergeCell ref="A310:A313"/>
    <mergeCell ref="B324:F324"/>
    <mergeCell ref="B327:C327"/>
    <mergeCell ref="B336:N336"/>
    <mergeCell ref="B337:N337"/>
    <mergeCell ref="G409:I409"/>
    <mergeCell ref="B414:C414"/>
    <mergeCell ref="A420:A423"/>
    <mergeCell ref="B433:F433"/>
    <mergeCell ref="B436:C436"/>
    <mergeCell ref="B445:N445"/>
    <mergeCell ref="C512:D512"/>
    <mergeCell ref="C506:D506"/>
    <mergeCell ref="C507:D507"/>
    <mergeCell ref="C508:D508"/>
    <mergeCell ref="C509:D509"/>
    <mergeCell ref="C510:D510"/>
    <mergeCell ref="C511:D511"/>
  </mergeCells>
  <conditionalFormatting sqref="E509">
    <cfRule type="containsText" dxfId="28" priority="6" operator="containsText" text="NON CONFORME">
      <formula>NOT(ISERROR(SEARCH("NON CONFORME",E509)))</formula>
    </cfRule>
  </conditionalFormatting>
  <conditionalFormatting sqref="E510">
    <cfRule type="containsText" dxfId="27" priority="5" operator="containsText" text="NON CONFORME">
      <formula>NOT(ISERROR(SEARCH("NON CONFORME",E510)))</formula>
    </cfRule>
  </conditionalFormatting>
  <conditionalFormatting sqref="F509">
    <cfRule type="containsText" dxfId="26" priority="4" operator="containsText" text="NON CONFORME">
      <formula>NOT(ISERROR(SEARCH("NON CONFORME",F509)))</formula>
    </cfRule>
  </conditionalFormatting>
  <conditionalFormatting sqref="F510">
    <cfRule type="containsText" dxfId="25" priority="3" operator="containsText" text="NON CONFORME">
      <formula>NOT(ISERROR(SEARCH("NON CONFORME",F510)))</formula>
    </cfRule>
  </conditionalFormatting>
  <conditionalFormatting sqref="G509">
    <cfRule type="containsText" dxfId="24" priority="2" operator="containsText" text="NON CONFORME">
      <formula>NOT(ISERROR(SEARCH("NON CONFORME",G509)))</formula>
    </cfRule>
  </conditionalFormatting>
  <conditionalFormatting sqref="G510">
    <cfRule type="containsText" dxfId="23"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topLeftCell="A13" zoomScale="115" zoomScaleNormal="115" workbookViewId="0">
      <selection activeCell="L19" sqref="L19"/>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456" t="s">
        <v>49</v>
      </c>
      <c r="C2" s="457"/>
      <c r="D2" s="457"/>
      <c r="E2" s="457"/>
      <c r="F2" s="457"/>
      <c r="G2" s="457"/>
      <c r="H2" s="457"/>
      <c r="I2" s="457"/>
      <c r="J2" s="457"/>
      <c r="K2" s="457"/>
    </row>
    <row r="3" spans="1:13" x14ac:dyDescent="0.25">
      <c r="B3" s="457"/>
      <c r="C3" s="457"/>
      <c r="D3" s="457"/>
      <c r="E3" s="457"/>
      <c r="F3" s="457"/>
      <c r="G3" s="457"/>
      <c r="H3" s="457"/>
      <c r="I3" s="457"/>
      <c r="J3" s="457"/>
      <c r="K3" s="457"/>
    </row>
    <row r="4" spans="1:13" ht="57" x14ac:dyDescent="0.25">
      <c r="A4" s="1"/>
      <c r="B4" s="2"/>
      <c r="C4" s="2"/>
      <c r="D4" s="2"/>
      <c r="E4" s="2"/>
      <c r="F4" s="2"/>
      <c r="G4" s="2"/>
    </row>
    <row r="5" spans="1:13" x14ac:dyDescent="0.25">
      <c r="A5" s="449" t="s">
        <v>0</v>
      </c>
      <c r="B5" s="449"/>
      <c r="C5" s="449"/>
      <c r="D5" s="162"/>
      <c r="E5" s="1"/>
      <c r="F5" s="1"/>
    </row>
    <row r="6" spans="1:13" x14ac:dyDescent="0.25">
      <c r="A6" s="1"/>
      <c r="B6" s="1"/>
      <c r="C6" s="1"/>
      <c r="D6" s="1"/>
      <c r="E6" s="1"/>
      <c r="F6" s="1"/>
      <c r="G6" s="1"/>
    </row>
    <row r="7" spans="1:13" x14ac:dyDescent="0.25">
      <c r="A7" s="449" t="s">
        <v>1</v>
      </c>
      <c r="B7" s="449"/>
      <c r="C7" s="4"/>
      <c r="D7" s="1"/>
      <c r="E7" s="449" t="s">
        <v>18</v>
      </c>
      <c r="F7" s="449"/>
      <c r="G7" s="4"/>
      <c r="H7" s="157"/>
      <c r="M7" s="5"/>
    </row>
    <row r="8" spans="1:13" x14ac:dyDescent="0.25">
      <c r="A8" s="449" t="s">
        <v>2</v>
      </c>
      <c r="B8" s="449"/>
      <c r="C8" s="6"/>
      <c r="D8" s="1"/>
      <c r="E8" s="449" t="s">
        <v>19</v>
      </c>
      <c r="F8" s="449"/>
      <c r="G8" s="6"/>
      <c r="M8" s="5"/>
    </row>
    <row r="9" spans="1:13" x14ac:dyDescent="0.25">
      <c r="A9" s="1"/>
      <c r="B9" s="1"/>
      <c r="C9" s="1"/>
      <c r="D9" s="1"/>
      <c r="E9" s="1"/>
      <c r="F9" s="1"/>
      <c r="G9" s="1"/>
      <c r="M9" s="5"/>
    </row>
    <row r="10" spans="1:13" x14ac:dyDescent="0.25">
      <c r="A10" s="445" t="s">
        <v>3</v>
      </c>
      <c r="B10" s="446"/>
      <c r="C10" s="7"/>
      <c r="D10" s="1"/>
      <c r="E10" s="445" t="s">
        <v>20</v>
      </c>
      <c r="F10" s="446"/>
      <c r="G10" s="8"/>
    </row>
    <row r="11" spans="1:13" x14ac:dyDescent="0.25">
      <c r="A11" s="445" t="s">
        <v>4</v>
      </c>
      <c r="B11" s="446"/>
      <c r="C11" s="8"/>
      <c r="D11" s="1"/>
      <c r="E11" s="449" t="s">
        <v>21</v>
      </c>
      <c r="F11" s="449"/>
      <c r="G11" s="160">
        <v>15</v>
      </c>
    </row>
    <row r="12" spans="1:13" x14ac:dyDescent="0.25">
      <c r="A12" s="1"/>
      <c r="B12" s="1"/>
      <c r="C12" s="1"/>
      <c r="D12" s="1"/>
      <c r="E12" s="449" t="s">
        <v>22</v>
      </c>
      <c r="F12" s="449"/>
      <c r="G12" s="10"/>
    </row>
    <row r="13" spans="1:13" x14ac:dyDescent="0.25">
      <c r="A13" s="1"/>
      <c r="B13" s="1"/>
      <c r="C13" s="1"/>
      <c r="D13" s="1"/>
      <c r="E13" s="1"/>
      <c r="F13" s="1"/>
      <c r="G13" s="1"/>
    </row>
    <row r="14" spans="1:13" x14ac:dyDescent="0.25">
      <c r="A14" s="445" t="s">
        <v>5</v>
      </c>
      <c r="B14" s="446"/>
      <c r="C14" s="4"/>
      <c r="D14" s="1"/>
      <c r="E14" s="1"/>
      <c r="F14" s="1"/>
      <c r="G14" s="1"/>
    </row>
    <row r="15" spans="1:13" x14ac:dyDescent="0.25">
      <c r="A15" s="445" t="s">
        <v>6</v>
      </c>
      <c r="B15" s="446"/>
      <c r="C15" s="10"/>
      <c r="D15" s="1"/>
      <c r="E15" s="1"/>
      <c r="F15" s="1"/>
      <c r="G15" s="1"/>
    </row>
    <row r="16" spans="1:13" x14ac:dyDescent="0.25">
      <c r="A16" s="1"/>
      <c r="B16" s="1"/>
      <c r="C16" s="1"/>
      <c r="D16" s="5"/>
      <c r="E16" s="1"/>
      <c r="F16" s="1"/>
      <c r="G16" s="1"/>
    </row>
    <row r="17" spans="1:9" x14ac:dyDescent="0.25">
      <c r="A17" s="1"/>
      <c r="B17" s="1"/>
      <c r="C17" s="1"/>
      <c r="D17" s="5"/>
      <c r="E17" s="1"/>
      <c r="F17" s="1"/>
      <c r="G17" s="1"/>
      <c r="H17" s="1"/>
    </row>
    <row r="18" spans="1:9" x14ac:dyDescent="0.25">
      <c r="A18" s="1"/>
      <c r="B18" s="3" t="s">
        <v>284</v>
      </c>
      <c r="C18" s="3" t="s">
        <v>285</v>
      </c>
      <c r="D18" s="3" t="s">
        <v>286</v>
      </c>
      <c r="E18" s="1"/>
      <c r="F18" s="1"/>
      <c r="G18" s="1"/>
      <c r="H18" s="1"/>
    </row>
    <row r="19" spans="1:9" x14ac:dyDescent="0.25">
      <c r="A19" s="3" t="s">
        <v>241</v>
      </c>
      <c r="B19" s="11"/>
      <c r="C19" s="11"/>
      <c r="D19" s="11"/>
      <c r="E19" s="1"/>
    </row>
    <row r="20" spans="1:9" x14ac:dyDescent="0.25">
      <c r="A20" s="3" t="s">
        <v>8</v>
      </c>
      <c r="B20" s="11"/>
      <c r="C20" s="1"/>
      <c r="D20" s="1"/>
      <c r="E20" s="1"/>
      <c r="F20" s="1"/>
      <c r="G20" s="1"/>
    </row>
    <row r="21" spans="1:9" ht="15.75" thickBot="1" x14ac:dyDescent="0.3">
      <c r="A21" s="1"/>
      <c r="B21" s="1"/>
      <c r="C21" s="1"/>
      <c r="D21" s="1"/>
      <c r="E21" s="1"/>
      <c r="F21" s="1"/>
      <c r="G21" s="1"/>
    </row>
    <row r="22" spans="1:9" ht="30.75" thickBot="1" x14ac:dyDescent="0.3">
      <c r="A22" s="12" t="s">
        <v>9</v>
      </c>
      <c r="B22" s="13" t="s">
        <v>12</v>
      </c>
      <c r="C22" s="13" t="s">
        <v>14</v>
      </c>
      <c r="D22" s="25" t="str">
        <f>"Décalage Enregistreur " &amp; B19 &amp; "°C"</f>
        <v>Décalage Enregistreur °C</v>
      </c>
      <c r="E22" s="25" t="str">
        <f>"Décalage Enregistreur " &amp; C19 &amp; "°C"</f>
        <v>Décalage Enregistreur °C</v>
      </c>
      <c r="F22" s="25" t="str">
        <f>"Décalage Enregistreur " &amp; D19 &amp; "°C"</f>
        <v>Décalage Enregistreur °C</v>
      </c>
      <c r="G22" s="26" t="str">
        <f>"Décalage Enregistreur " &amp; B19 &amp; "°C"</f>
        <v>Décalage Enregistreur °C</v>
      </c>
      <c r="H22" s="26" t="str">
        <f>"Décalage Enregistreur " &amp; C19 &amp; "°C"</f>
        <v>Décalage Enregistreur °C</v>
      </c>
      <c r="I22" s="26" t="str">
        <f>"Décalage Enregistreur " &amp; D19 &amp; "°C"</f>
        <v>Décalage Enregistreur °C</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448" t="s">
        <v>13</v>
      </c>
      <c r="C36" s="448"/>
      <c r="D36" s="1"/>
      <c r="E36" s="1"/>
      <c r="F36" s="1"/>
      <c r="G36" s="1"/>
      <c r="H36" s="1"/>
      <c r="I36" s="1"/>
      <c r="J36" s="448" t="s">
        <v>30</v>
      </c>
      <c r="K36" s="448"/>
      <c r="L36" s="1"/>
      <c r="M36" s="1"/>
    </row>
    <row r="37" spans="1:15" x14ac:dyDescent="0.25">
      <c r="A37" s="1"/>
      <c r="B37" s="1"/>
      <c r="C37" s="1"/>
      <c r="D37" s="1"/>
      <c r="E37" s="1"/>
      <c r="F37" s="1"/>
      <c r="G37" s="1"/>
      <c r="H37" s="1"/>
      <c r="I37" s="1"/>
      <c r="J37" s="1"/>
      <c r="K37" s="1"/>
      <c r="L37" s="1"/>
      <c r="M37" s="1"/>
      <c r="N37" s="1"/>
      <c r="O37" s="1"/>
    </row>
    <row r="38" spans="1:15" x14ac:dyDescent="0.25">
      <c r="A38" s="445" t="s">
        <v>10</v>
      </c>
      <c r="B38" s="455"/>
      <c r="C38" s="455"/>
      <c r="D38" s="455"/>
      <c r="E38" s="455"/>
      <c r="F38" s="446"/>
      <c r="G38" s="1"/>
      <c r="H38" s="1"/>
      <c r="I38" s="449" t="s">
        <v>26</v>
      </c>
      <c r="J38" s="449"/>
      <c r="K38" s="449"/>
      <c r="L38" s="449"/>
      <c r="M38" s="449"/>
    </row>
    <row r="39" spans="1:15" ht="30" x14ac:dyDescent="0.25">
      <c r="A39" s="449"/>
      <c r="B39" s="449"/>
      <c r="C39" s="3" t="s">
        <v>15</v>
      </c>
      <c r="D39" s="20" t="s">
        <v>17</v>
      </c>
      <c r="E39" s="20" t="s">
        <v>24</v>
      </c>
      <c r="F39" s="20" t="s">
        <v>25</v>
      </c>
      <c r="G39" s="1"/>
      <c r="H39" s="1"/>
      <c r="I39" s="452"/>
      <c r="J39" s="452"/>
      <c r="K39" s="3" t="s">
        <v>32</v>
      </c>
      <c r="L39" s="3" t="s">
        <v>34</v>
      </c>
      <c r="M39" s="3" t="s">
        <v>35</v>
      </c>
    </row>
    <row r="40" spans="1:15" x14ac:dyDescent="0.25">
      <c r="A40" s="445" t="str">
        <f t="shared" ref="A40:A48" si="0">CONCATENATE("Sonde ", B23)</f>
        <v xml:space="preserve">Sonde </v>
      </c>
      <c r="B40" s="446"/>
      <c r="C40" s="10"/>
      <c r="D40" s="10"/>
      <c r="E40" s="10"/>
      <c r="F40" s="10"/>
      <c r="G40" s="1"/>
      <c r="H40" s="1"/>
      <c r="I40" s="453" t="s">
        <v>27</v>
      </c>
      <c r="J40" s="454"/>
      <c r="K40" s="10"/>
      <c r="L40" s="10"/>
      <c r="M40" s="10"/>
    </row>
    <row r="41" spans="1:15" x14ac:dyDescent="0.25">
      <c r="A41" s="445" t="str">
        <f t="shared" si="0"/>
        <v xml:space="preserve">Sonde </v>
      </c>
      <c r="B41" s="446"/>
      <c r="C41" s="10"/>
      <c r="D41" s="10"/>
      <c r="E41" s="10"/>
      <c r="F41" s="10"/>
      <c r="G41" s="1"/>
      <c r="H41" s="1"/>
      <c r="I41" s="1"/>
      <c r="J41" s="1"/>
      <c r="K41" s="1"/>
      <c r="L41" s="1"/>
      <c r="M41" s="1"/>
    </row>
    <row r="42" spans="1:15" x14ac:dyDescent="0.25">
      <c r="A42" s="445" t="str">
        <f t="shared" si="0"/>
        <v xml:space="preserve">Sonde </v>
      </c>
      <c r="B42" s="446"/>
      <c r="C42" s="10"/>
      <c r="D42" s="10"/>
      <c r="E42" s="10"/>
      <c r="F42" s="10"/>
      <c r="G42" s="1"/>
      <c r="H42" s="1"/>
      <c r="I42" s="1"/>
      <c r="J42" s="1"/>
      <c r="K42" s="1"/>
      <c r="L42" s="1"/>
      <c r="M42" s="1"/>
    </row>
    <row r="43" spans="1:15" x14ac:dyDescent="0.25">
      <c r="A43" s="445" t="str">
        <f t="shared" si="0"/>
        <v xml:space="preserve">Sonde </v>
      </c>
      <c r="B43" s="446"/>
      <c r="C43" s="10"/>
      <c r="D43" s="10"/>
      <c r="E43" s="10"/>
      <c r="F43" s="10"/>
      <c r="G43" s="1"/>
      <c r="H43" s="1"/>
      <c r="I43" s="1"/>
      <c r="J43" s="1"/>
      <c r="K43" s="1"/>
      <c r="L43" s="1"/>
      <c r="M43" s="1"/>
    </row>
    <row r="44" spans="1:15" x14ac:dyDescent="0.25">
      <c r="A44" s="445" t="str">
        <f t="shared" si="0"/>
        <v xml:space="preserve">Sonde </v>
      </c>
      <c r="B44" s="446"/>
      <c r="C44" s="10"/>
      <c r="D44" s="10"/>
      <c r="E44" s="10"/>
      <c r="F44" s="10"/>
      <c r="G44" s="1"/>
      <c r="H44" s="1"/>
      <c r="I44" s="1"/>
      <c r="J44" s="1"/>
    </row>
    <row r="45" spans="1:15" x14ac:dyDescent="0.25">
      <c r="A45" s="445" t="str">
        <f t="shared" si="0"/>
        <v xml:space="preserve">Sonde </v>
      </c>
      <c r="B45" s="446"/>
      <c r="C45" s="10"/>
      <c r="D45" s="10"/>
      <c r="E45" s="10"/>
      <c r="F45" s="10"/>
      <c r="G45" s="1"/>
      <c r="H45" s="1"/>
      <c r="I45" s="1"/>
      <c r="J45" s="1"/>
    </row>
    <row r="46" spans="1:15" x14ac:dyDescent="0.25">
      <c r="A46" s="445" t="str">
        <f t="shared" si="0"/>
        <v xml:space="preserve">Sonde </v>
      </c>
      <c r="B46" s="446"/>
      <c r="C46" s="10"/>
      <c r="D46" s="10"/>
      <c r="E46" s="10"/>
      <c r="F46" s="10"/>
      <c r="G46" s="1"/>
      <c r="H46" s="1"/>
      <c r="I46" s="1"/>
      <c r="J46" s="1"/>
    </row>
    <row r="47" spans="1:15" x14ac:dyDescent="0.25">
      <c r="A47" s="445" t="str">
        <f t="shared" si="0"/>
        <v xml:space="preserve">Sonde </v>
      </c>
      <c r="B47" s="446"/>
      <c r="C47" s="10"/>
      <c r="D47" s="10"/>
      <c r="E47" s="10"/>
      <c r="F47" s="10"/>
      <c r="G47" s="1"/>
      <c r="H47" s="1"/>
      <c r="I47" s="1"/>
      <c r="J47" s="1"/>
    </row>
    <row r="48" spans="1:15" x14ac:dyDescent="0.25">
      <c r="A48" s="445" t="str">
        <f t="shared" si="0"/>
        <v xml:space="preserve">Sonde </v>
      </c>
      <c r="B48" s="446"/>
      <c r="C48" s="10"/>
      <c r="D48" s="10"/>
      <c r="E48" s="10"/>
      <c r="F48" s="10"/>
      <c r="G48" s="1"/>
      <c r="H48" s="1"/>
      <c r="I48" s="1"/>
      <c r="J48" s="1"/>
    </row>
  </sheetData>
  <sheetProtection algorithmName="SHA-512" hashValue="KVdMvDA319yUo6w+iIXl/IVW+D4OqMW5kQIbHa/Rf/3p9cMf7/Fdlo75jBSMestEk7+5X5YGiPL9G0RMwgUr9Q==" saltValue="P8/wwq0OYLccNdBlVXeVyw==" spinCount="100000" sheet="1" objects="1" scenarios="1"/>
  <protectedRanges>
    <protectedRange sqref="C10" name="Donnees controleur"/>
  </protectedRanges>
  <mergeCells count="29">
    <mergeCell ref="A45:B45"/>
    <mergeCell ref="A46:B46"/>
    <mergeCell ref="A47:B47"/>
    <mergeCell ref="A48:B48"/>
    <mergeCell ref="A40:B40"/>
    <mergeCell ref="I40:J40"/>
    <mergeCell ref="A41:B41"/>
    <mergeCell ref="A42:B42"/>
    <mergeCell ref="A43:B43"/>
    <mergeCell ref="A44:B44"/>
    <mergeCell ref="A39:B39"/>
    <mergeCell ref="I39:J39"/>
    <mergeCell ref="A10:B10"/>
    <mergeCell ref="E10:F10"/>
    <mergeCell ref="A11:B11"/>
    <mergeCell ref="E11:F11"/>
    <mergeCell ref="E12:F12"/>
    <mergeCell ref="A14:B14"/>
    <mergeCell ref="A15:B15"/>
    <mergeCell ref="B36:C36"/>
    <mergeCell ref="J36:K36"/>
    <mergeCell ref="A38:F38"/>
    <mergeCell ref="I38:M38"/>
    <mergeCell ref="B2:K3"/>
    <mergeCell ref="A5:C5"/>
    <mergeCell ref="A7:B7"/>
    <mergeCell ref="E7:F7"/>
    <mergeCell ref="A8:B8"/>
    <mergeCell ref="E8:F8"/>
  </mergeCells>
  <conditionalFormatting sqref="A1:N4 A5:M5 A6:N49">
    <cfRule type="expression" dxfId="22" priority="1">
      <formula>AND(NOT(CELL("protege", A1)), A1="")</formula>
    </cfRule>
  </conditionalFormatting>
  <dataValidations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"Trismestrielle,Mensuelle,Annuelle"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2"/>
  <sheetViews>
    <sheetView workbookViewId="0">
      <selection activeCell="C8" sqref="C8"/>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cAebBJOtsNEcj4dWshHyLCRox0tL+kwsfazyV4J+2k93rmKG79vA6itU4ihYnQwSA/6itcMkirz5RXJk/53iAA==" saltValue="8Ip5zkI+v1CpGHTV0DE/rw==" spinCount="100000" sheet="1" objects="1" scenarios="1"/>
  <dataConsolidate/>
  <phoneticPr fontId="40" type="noConversion"/>
  <pageMargins left="0.7" right="0.7" top="0.75" bottom="0.75" header="0.3" footer="0.3"/>
  <pageSetup paperSize="9" orientation="portrait"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Hp4YuVAeOeU+I1CCmvZgBJLjqBHaQgY9eboYeNA/BszpV3dxgkD/TEXBeM0inOF723GamOhFFuUf38ZXF4b7Xg==" saltValue="smEq3yN1dYqKr/VLW20O7w==" spinCount="100000" sheet="1" objects="1" scenarios="1"/>
  <phoneticPr fontId="40" type="noConversion"/>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2"/>
  <sheetViews>
    <sheetView workbookViewId="0">
      <selection activeCell="L19" sqref="L19"/>
    </sheetView>
  </sheetViews>
  <sheetFormatPr baseColWidth="10" defaultRowHeight="15" x14ac:dyDescent="0.25"/>
  <cols>
    <col min="1" max="1" width="13.7109375" bestFit="1" customWidth="1"/>
    <col min="2" max="10" width="15" bestFit="1" customWidth="1"/>
  </cols>
  <sheetData>
    <row r="1" spans="1:10" x14ac:dyDescent="0.25">
      <c r="A1" t="s">
        <v>36</v>
      </c>
      <c r="B1" t="s">
        <v>37</v>
      </c>
      <c r="C1" t="s">
        <v>38</v>
      </c>
      <c r="D1" t="s">
        <v>39</v>
      </c>
      <c r="E1" t="s">
        <v>40</v>
      </c>
      <c r="F1" t="s">
        <v>41</v>
      </c>
      <c r="G1" t="s">
        <v>42</v>
      </c>
      <c r="H1" t="s">
        <v>43</v>
      </c>
      <c r="I1" t="s">
        <v>44</v>
      </c>
      <c r="J1" t="s">
        <v>45</v>
      </c>
    </row>
    <row r="2" spans="1:10" x14ac:dyDescent="0.25">
      <c r="A2" s="23"/>
    </row>
  </sheetData>
  <sheetProtection algorithmName="SHA-512" hashValue="9TgV7S6saAb0zC/D40J5CjMAUgx2qWnaAEGZzAdJq/1A+xqP4H3QWYsO7SnJTFwLyP8mRq3ScYWSM5CXB5qbLw==" saltValue="+o95CDNCG2DwHypcDqrIig==" spinCount="100000" sheet="1" objects="1" scenarios="1"/>
  <phoneticPr fontId="40" type="noConversion"/>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4"/>
  <sheetViews>
    <sheetView workbookViewId="0">
      <selection activeCell="L19" sqref="L19"/>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8" t="str">
        <f>Mesures_Dover!B19 &amp; "°C"</f>
        <v>°C</v>
      </c>
      <c r="B1" s="458"/>
      <c r="C1" s="458"/>
      <c r="D1" s="458"/>
      <c r="E1" s="458"/>
      <c r="F1" s="458"/>
      <c r="G1" s="458"/>
      <c r="H1" s="458"/>
      <c r="I1" s="458"/>
      <c r="J1" s="458"/>
      <c r="K1" s="458"/>
      <c r="L1" s="458"/>
      <c r="M1" s="458"/>
      <c r="N1" s="458"/>
      <c r="O1" s="458"/>
    </row>
    <row r="2" spans="1:15" s="27" customFormat="1" x14ac:dyDescent="0.25">
      <c r="A2" s="458"/>
      <c r="B2" s="458"/>
      <c r="C2" s="458"/>
      <c r="D2" s="458"/>
      <c r="E2" s="458"/>
      <c r="F2" s="458"/>
      <c r="G2" s="458"/>
      <c r="H2" s="458"/>
      <c r="I2" s="458"/>
      <c r="J2" s="458"/>
      <c r="K2" s="458"/>
      <c r="L2" s="458"/>
      <c r="M2" s="458"/>
      <c r="N2" s="458"/>
      <c r="O2" s="458"/>
    </row>
    <row r="3" spans="1:15" s="27" customFormat="1" x14ac:dyDescent="0.25">
      <c r="A3" s="458"/>
      <c r="B3" s="458"/>
      <c r="C3" s="458"/>
      <c r="D3" s="458"/>
      <c r="E3" s="458"/>
      <c r="F3" s="458"/>
      <c r="G3" s="458"/>
      <c r="H3" s="458"/>
      <c r="I3" s="458"/>
      <c r="J3" s="458"/>
      <c r="K3" s="458"/>
      <c r="L3" s="458"/>
      <c r="M3" s="458"/>
      <c r="N3" s="458"/>
      <c r="O3" s="458"/>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Valeurs_Brutes_Dover_1[#Headers]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2" t="s">
        <v>292</v>
      </c>
      <c r="B11" s="145" cm="1">
        <f t="array" ref="B11">Valeurs_Brutes_Dover_1[Date/Heure]</f>
        <v>0</v>
      </c>
      <c r="C11" s="132" t="e" cm="1">
        <f t="array" ref="C11:K11">Valeurs_Brutes_Dover_1[[Connecteur 1]:[Connecteur 9]] + C5 + C6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1" t="s">
        <v>89</v>
      </c>
      <c r="B12" s="179"/>
      <c r="C12" s="189"/>
      <c r="D12" s="189"/>
      <c r="E12" s="189"/>
      <c r="F12" s="189"/>
      <c r="G12" s="189"/>
      <c r="H12" s="189"/>
      <c r="I12" s="189"/>
      <c r="J12" s="189"/>
      <c r="K12" s="189"/>
      <c r="L12" s="33"/>
    </row>
    <row r="13" spans="1:15" s="459" customFormat="1" x14ac:dyDescent="0.25"/>
    <row r="14" spans="1:15" x14ac:dyDescent="0.25">
      <c r="A14" s="27"/>
      <c r="B14" s="27"/>
      <c r="C14" s="41" t="str" cm="1">
        <f t="array" ref="C14:K14">Valeurs_Brutes_Dover_1[[#Headers],[Connecteur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MAX(OFFSET(INDEX(Valeurs_Brutes_Dover_1[Connecteur 1],1),COUNT(Valeurs_Brutes_Dover_1[Connecteur 1])-30,0,30))</f>
        <v>#REF!</v>
      </c>
      <c r="D16" s="43" t="e">
        <f ca="1">MAX(OFFSET(INDEX(Valeurs_Brutes_Dover_1[Connecteur 2],1),COUNT(Valeurs_Brutes_Dover_1[Connecteur 2])-30,0,30))</f>
        <v>#REF!</v>
      </c>
      <c r="E16" s="43" t="e">
        <f ca="1">MAX(OFFSET(INDEX(Valeurs_Brutes_Dover_1[Connecteur 3],1),COUNT(Valeurs_Brutes_Dover_1[Connecteur 3])-30,0,30))</f>
        <v>#REF!</v>
      </c>
      <c r="F16" s="43" t="e">
        <f ca="1">MAX(OFFSET(INDEX(Valeurs_Brutes_Dover_1[Connecteur 4],1),COUNT(Valeurs_Brutes_Dover_1[Connecteur 4])-30,0,30))</f>
        <v>#REF!</v>
      </c>
      <c r="G16" s="43" t="e">
        <f ca="1">MAX(OFFSET(INDEX(Valeurs_Brutes_Dover_1[Connecteur 5],1),COUNT(Valeurs_Brutes_Dover_1[Connecteur 5])-30,0,30))</f>
        <v>#REF!</v>
      </c>
      <c r="H16" s="43" t="e">
        <f ca="1">MAX(OFFSET(INDEX(Valeurs_Brutes_Dover_1[Connecteur 6],1),COUNT(Valeurs_Brutes_Dover_1[Connecteur 6])-30,0,30))</f>
        <v>#REF!</v>
      </c>
      <c r="I16" s="43" t="e">
        <f ca="1">MAX(OFFSET(INDEX(Valeurs_Brutes_Dover_1[Connecteur 7],1),COUNT(Valeurs_Brutes_Dover_1[Connecteur 7])-30,0,30))</f>
        <v>#REF!</v>
      </c>
      <c r="J16" s="43" t="e">
        <f ca="1">MAX(OFFSET(INDEX(Valeurs_Brutes_Dover_1[Connecteur 8],1),COUNT(Valeurs_Brutes_Dover_1[Connecteur 8])-30,0,30))</f>
        <v>#REF!</v>
      </c>
      <c r="K16" s="43" t="e">
        <f ca="1">MAX(OFFSET(INDEX(Valeurs_Brutes_Dover_1[Connecteur 9],1),COUNT(Valeurs_Brutes_Dover_1[Connecteur 9])-30,0,30))</f>
        <v>#REF!</v>
      </c>
      <c r="L16" s="48">
        <f>O16+Mesures_Dover!B20</f>
        <v>0</v>
      </c>
      <c r="M16" s="27"/>
      <c r="N16" s="36" t="s">
        <v>7</v>
      </c>
      <c r="O16" s="48">
        <f>Mesures_Dover!B19</f>
        <v>0</v>
      </c>
    </row>
    <row r="17" spans="1:15" x14ac:dyDescent="0.25">
      <c r="A17" s="27"/>
      <c r="B17" s="42" t="s">
        <v>93</v>
      </c>
      <c r="C17" s="43" t="e">
        <f ca="1">MIN(OFFSET(INDEX(Valeurs_Brutes_Dover_1[Connecteur 1],1),COUNT(Valeurs_Brutes_Dover_1[Connecteur 1])-30,0,30))</f>
        <v>#REF!</v>
      </c>
      <c r="D17" s="43" t="e">
        <f ca="1">MIN(OFFSET(INDEX(Valeurs_Brutes_Dover_1[Connecteur 2],1),COUNT(Valeurs_Brutes_Dover_1[Connecteur 2])-30,0,30))</f>
        <v>#REF!</v>
      </c>
      <c r="E17" s="43" t="e">
        <f ca="1">MIN(OFFSET(INDEX(Valeurs_Brutes_Dover_1[Connecteur 3],1),COUNT(Valeurs_Brutes_Dover_1[Connecteur 3])-30,0,30))</f>
        <v>#REF!</v>
      </c>
      <c r="F17" s="43" t="e">
        <f ca="1">MIN(OFFSET(INDEX(Valeurs_Brutes_Dover_1[Connecteur 4],1),COUNT(Valeurs_Brutes_Dover_1[Connecteur 4])-30,0,30))</f>
        <v>#REF!</v>
      </c>
      <c r="G17" s="43" t="e">
        <f ca="1">MIN(OFFSET(INDEX(Valeurs_Brutes_Dover_1[Connecteur 5],1),COUNT(Valeurs_Brutes_Dover_1[Connecteur 5])-30,0,30))</f>
        <v>#REF!</v>
      </c>
      <c r="H17" s="43" t="e">
        <f ca="1">MIN(OFFSET(INDEX(Valeurs_Brutes_Dover_1[Connecteur 6],1),COUNT(Valeurs_Brutes_Dover_1[Connecteur 6])-30,0,30))</f>
        <v>#REF!</v>
      </c>
      <c r="I17" s="43" t="e">
        <f ca="1">MIN(OFFSET(INDEX(Valeurs_Brutes_Dover_1[Connecteur 7],1),COUNT(Valeurs_Brutes_Dover_1[Connecteur 7])-30,0,30))</f>
        <v>#REF!</v>
      </c>
      <c r="J17" s="43" t="e">
        <f ca="1">MIN(OFFSET(INDEX(Valeurs_Brutes_Dover_1[Connecteur 8],1),COUNT(Valeurs_Brutes_Dover_1[Connecteur 8])-30,0,30))</f>
        <v>#REF!</v>
      </c>
      <c r="K17" s="43" t="e">
        <f ca="1">MIN(OFFSET(INDEX(Valeurs_Brutes_Dover_1[Connecteur 9],1),COUNT(Valeurs_Brutes_Dover_1[Connecteur 9])-30,0,30))</f>
        <v>#REF!</v>
      </c>
      <c r="L17" s="48">
        <f>O16-Mesures_Dover!B20</f>
        <v>0</v>
      </c>
      <c r="M17" s="27"/>
      <c r="N17" s="36" t="s">
        <v>92</v>
      </c>
      <c r="O17" s="35" t="str">
        <f>"+" &amp; Mesures_Dover!B20 &amp; "°C"</f>
        <v>+°C</v>
      </c>
    </row>
    <row r="18" spans="1:15" x14ac:dyDescent="0.25">
      <c r="A18" s="27"/>
      <c r="B18" s="42" t="s">
        <v>95</v>
      </c>
      <c r="C18" s="43" t="e">
        <f ca="1">AVERAGE(OFFSET(INDEX(Valeurs_Brutes_Dover_1[Connecteur 1],1),COUNT(Valeurs_Brutes_Dover_1[Connecteur 1])-30,0,30))</f>
        <v>#REF!</v>
      </c>
      <c r="D18" s="43" t="e">
        <f ca="1">AVERAGE(OFFSET(INDEX(Valeurs_Brutes_Dover_1[Connecteur 2],1),COUNT(Valeurs_Brutes_Dover_1[Connecteur 2])-30,0,30))</f>
        <v>#REF!</v>
      </c>
      <c r="E18" s="43" t="e">
        <f ca="1">AVERAGE(OFFSET(INDEX(Valeurs_Brutes_Dover_1[Connecteur 3],1),COUNT(Valeurs_Brutes_Dover_1[Connecteur 3])-30,0,30))</f>
        <v>#REF!</v>
      </c>
      <c r="F18" s="43" t="e">
        <f ca="1">AVERAGE(OFFSET(INDEX(Valeurs_Brutes_Dover_1[Connecteur 4],1),COUNT(Valeurs_Brutes_Dover_1[Connecteur 4])-30,0,30))</f>
        <v>#REF!</v>
      </c>
      <c r="G18" s="43" t="e">
        <f ca="1">AVERAGE(OFFSET(INDEX(Valeurs_Brutes_Dover_1[Connecteur 5],1),COUNT(Valeurs_Brutes_Dover_1[Connecteur 5])-30,0,30))</f>
        <v>#REF!</v>
      </c>
      <c r="H18" s="43" t="e">
        <f ca="1">AVERAGE(OFFSET(INDEX(Valeurs_Brutes_Dover_1[Connecteur 6],1),COUNT(Valeurs_Brutes_Dover_1[Connecteur 6])-30,0,30))</f>
        <v>#REF!</v>
      </c>
      <c r="I18" s="43" t="e">
        <f ca="1">AVERAGE(OFFSET(INDEX(Valeurs_Brutes_Dover_1[Connecteur 7],1),COUNT(Valeurs_Brutes_Dover_1[Connecteur 7])-30,0,30))</f>
        <v>#REF!</v>
      </c>
      <c r="J18" s="43" t="e">
        <f ca="1">AVERAGE(OFFSET(INDEX(Valeurs_Brutes_Dover_1[Connecteur 8],1),COUNT(Valeurs_Brutes_Dover_1[Connecteur 8])-30,0,30))</f>
        <v>#REF!</v>
      </c>
      <c r="K18" s="43" t="e">
        <f ca="1">AVERAGE(OFFSET(INDEX(Valeurs_Brutes_Dover_1[Connecteur 9],1),COUNT(Valeurs_Brutes_Dover_1[Connecteur 9])-30,0,30))</f>
        <v>#REF!</v>
      </c>
      <c r="L18" s="33"/>
      <c r="M18" s="33"/>
      <c r="N18" s="36" t="s">
        <v>94</v>
      </c>
      <c r="O18" s="35" t="str">
        <f>"-" &amp; Mesures_Dover!B20 &amp; "°C"</f>
        <v>-°C</v>
      </c>
    </row>
    <row r="19" spans="1:15"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5" x14ac:dyDescent="0.25">
      <c r="A20" s="27"/>
      <c r="B20" s="42" t="s">
        <v>97</v>
      </c>
      <c r="C20" s="493" t="e">
        <f ca="1">ABS(MAX(C16:K16)-MIN(C17:K17))</f>
        <v>#REF!</v>
      </c>
      <c r="D20" s="494"/>
      <c r="E20" s="494"/>
      <c r="F20" s="494"/>
      <c r="G20" s="494"/>
      <c r="H20" s="494"/>
      <c r="I20" s="494"/>
      <c r="J20" s="494"/>
      <c r="K20" s="495"/>
    </row>
    <row r="21" spans="1:15" x14ac:dyDescent="0.25">
      <c r="A21" s="27"/>
      <c r="B21" s="42" t="s">
        <v>98</v>
      </c>
      <c r="C21" s="493" t="e">
        <f ca="1">AVERAGE(C18:K18)</f>
        <v>#REF!</v>
      </c>
      <c r="D21" s="494"/>
      <c r="E21" s="494"/>
      <c r="F21" s="494"/>
      <c r="G21" s="494"/>
      <c r="H21" s="494"/>
      <c r="I21" s="494"/>
      <c r="J21" s="494"/>
      <c r="K21" s="495"/>
    </row>
    <row r="22" spans="1:15" x14ac:dyDescent="0.25">
      <c r="A22" s="27"/>
      <c r="B22" s="36" t="s">
        <v>99</v>
      </c>
      <c r="C22" s="46" t="e">
        <f ca="1">STDEV(OFFSET(INDEX(Valeurs_Brutes_Dover_1[Connecteur 1],1),COUNT(Valeurs_Brutes_Dover_1[Connecteur 1])-30,0,30))</f>
        <v>#REF!</v>
      </c>
      <c r="D22" s="46" t="e">
        <f ca="1">STDEV(OFFSET(INDEX(Valeurs_Brutes_Dover_1[Connecteur 2],1),COUNT(Valeurs_Brutes_Dover_1[Connecteur 2])-30,0,30))</f>
        <v>#REF!</v>
      </c>
      <c r="E22" s="46" t="e">
        <f ca="1">STDEV(OFFSET(INDEX(Valeurs_Brutes_Dover_1[Connecteur 3],1),COUNT(Valeurs_Brutes_Dover_1[Connecteur 3])-30,0,30))</f>
        <v>#REF!</v>
      </c>
      <c r="F22" s="46" t="e">
        <f ca="1">STDEV(OFFSET(INDEX(Valeurs_Brutes_Dover_1[Connecteur 4],1),COUNT(Valeurs_Brutes_Dover_1[Connecteur 4])-30,0,30))</f>
        <v>#REF!</v>
      </c>
      <c r="G22" s="46" t="e">
        <f ca="1">STDEV(OFFSET(INDEX(Valeurs_Brutes_Dover_1[Connecteur 5],1),COUNT(Valeurs_Brutes_Dover_1[Connecteur 5])-30,0,30))</f>
        <v>#REF!</v>
      </c>
      <c r="H22" s="46" t="e">
        <f ca="1">STDEV(OFFSET(INDEX(Valeurs_Brutes_Dover_1[Connecteur 6],1),COUNT(Valeurs_Brutes_Dover_1[Connecteur 6])-30,0,30))</f>
        <v>#REF!</v>
      </c>
      <c r="I22" s="46" t="e">
        <f ca="1">STDEV(OFFSET(INDEX(Valeurs_Brutes_Dover_1[Connecteur 7],1),COUNT(Valeurs_Brutes_Dover_1[Connecteur 7])-30,0,30))</f>
        <v>#REF!</v>
      </c>
      <c r="J22" s="46" t="e">
        <f ca="1">STDEV(OFFSET(INDEX(Valeurs_Brutes_Dover_1[Connecteur 8],1),COUNT(Valeurs_Brutes_Dover_1[Connecteur 8])-30,0,30))</f>
        <v>#REF!</v>
      </c>
      <c r="K22" s="46" t="e">
        <f ca="1">STDEV(OFFSET(INDEX(Valeurs_Brutes_Dover_1[Connecteur 9],1),COUNT(Valeurs_Brutes_Dover_1[Connecteur 9])-30,0,30))</f>
        <v>#REF!</v>
      </c>
    </row>
    <row r="45" spans="1:11" s="33" customFormat="1" x14ac:dyDescent="0.25">
      <c r="A45"/>
      <c r="B45"/>
      <c r="C45"/>
      <c r="D45"/>
      <c r="E45"/>
      <c r="F45"/>
      <c r="G45"/>
      <c r="H45"/>
      <c r="I45"/>
      <c r="J45"/>
      <c r="K45"/>
    </row>
    <row r="46" spans="1:11" s="27" customFormat="1" x14ac:dyDescent="0.25">
      <c r="A46"/>
      <c r="B46"/>
      <c r="C46"/>
      <c r="D46"/>
      <c r="E46"/>
      <c r="F46"/>
      <c r="G46"/>
      <c r="H46"/>
      <c r="I46"/>
      <c r="J46"/>
      <c r="K46"/>
    </row>
    <row r="47" spans="1:11" s="27" customFormat="1" x14ac:dyDescent="0.25">
      <c r="A47"/>
      <c r="B47"/>
      <c r="C47"/>
      <c r="D47"/>
      <c r="E47"/>
      <c r="F47"/>
      <c r="G47"/>
      <c r="H47"/>
      <c r="I47"/>
      <c r="J47"/>
      <c r="K47"/>
    </row>
    <row r="48" spans="1:11" s="27" customFormat="1" x14ac:dyDescent="0.25">
      <c r="A48"/>
      <c r="B48"/>
      <c r="C48"/>
      <c r="D48"/>
      <c r="E48"/>
      <c r="F48"/>
      <c r="G48"/>
      <c r="H48"/>
      <c r="I48"/>
      <c r="J48"/>
      <c r="K48"/>
    </row>
    <row r="49" spans="1:12" s="27" customFormat="1" x14ac:dyDescent="0.25">
      <c r="A49"/>
      <c r="B49"/>
      <c r="C49"/>
      <c r="D49"/>
      <c r="E49"/>
      <c r="F49"/>
      <c r="G49"/>
      <c r="H49"/>
      <c r="I49"/>
      <c r="J49"/>
      <c r="K49"/>
    </row>
    <row r="50" spans="1:12" s="27" customFormat="1" x14ac:dyDescent="0.25">
      <c r="A50"/>
      <c r="B50"/>
      <c r="C50"/>
      <c r="D50"/>
      <c r="E50"/>
      <c r="F50"/>
      <c r="G50"/>
      <c r="H50"/>
      <c r="I50"/>
      <c r="J50"/>
      <c r="K50"/>
    </row>
    <row r="51" spans="1:12" s="27" customFormat="1" x14ac:dyDescent="0.25">
      <c r="A51"/>
      <c r="B51"/>
      <c r="C51"/>
      <c r="D51"/>
      <c r="E51"/>
      <c r="F51"/>
      <c r="G51"/>
      <c r="H51"/>
      <c r="I51"/>
      <c r="J51"/>
      <c r="K51"/>
      <c r="L51" s="33"/>
    </row>
    <row r="52" spans="1:12" s="27" customFormat="1" x14ac:dyDescent="0.25">
      <c r="A52"/>
      <c r="B52"/>
      <c r="C52"/>
      <c r="D52"/>
      <c r="E52"/>
      <c r="F52"/>
      <c r="G52"/>
      <c r="H52"/>
      <c r="I52"/>
      <c r="J52"/>
      <c r="K52"/>
      <c r="L52" s="33"/>
    </row>
    <row r="53" spans="1:12" s="27" customFormat="1" x14ac:dyDescent="0.25">
      <c r="A53"/>
      <c r="B53"/>
      <c r="C53"/>
      <c r="D53"/>
      <c r="E53"/>
      <c r="F53"/>
      <c r="G53"/>
      <c r="H53"/>
      <c r="I53"/>
      <c r="J53"/>
      <c r="K53"/>
      <c r="L53" s="33"/>
    </row>
    <row r="54" spans="1:12" s="27" customFormat="1" x14ac:dyDescent="0.25">
      <c r="A54"/>
      <c r="B54"/>
      <c r="C54"/>
      <c r="D54"/>
      <c r="E54"/>
      <c r="F54"/>
      <c r="G54"/>
      <c r="H54"/>
      <c r="I54"/>
      <c r="J54"/>
      <c r="K54"/>
      <c r="L54"/>
    </row>
  </sheetData>
  <sheetProtection algorithmName="SHA-512" hashValue="L/DuE3cy+XQbrgo/9dioxHDdaOGVzYSvvV96fE25GGHCb5/J+HYjiA5UuZKno5lor6BIa88gG3zAUYYGi5hxXg==" saltValue="YnHRgdg/dRGblZvuOuk/8Q==" spinCount="100000" sheet="1" objects="1" scenarios="1"/>
  <mergeCells count="5">
    <mergeCell ref="C21:K21"/>
    <mergeCell ref="C20:K20"/>
    <mergeCell ref="A1:O3"/>
    <mergeCell ref="A9:K9"/>
    <mergeCell ref="A13:XFD13"/>
  </mergeCells>
  <conditionalFormatting sqref="C16:K16">
    <cfRule type="cellIs" dxfId="18" priority="16" operator="greaterThan">
      <formula>$L$16</formula>
    </cfRule>
  </conditionalFormatting>
  <conditionalFormatting sqref="C17:K17">
    <cfRule type="cellIs" dxfId="17" priority="17" operator="lessThan">
      <formula>$L$17</formula>
    </cfRule>
  </conditionalFormatting>
  <conditionalFormatting sqref="C15:K15">
    <cfRule type="cellIs" dxfId="16" priority="1" operator="greaterThan">
      <formula>$L$16</formula>
    </cfRule>
  </conditionalFormatting>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R55"/>
  <sheetViews>
    <sheetView topLeftCell="A4" workbookViewId="0">
      <selection activeCell="B5" sqref="B5"/>
    </sheetView>
  </sheetViews>
  <sheetFormatPr baseColWidth="10" defaultRowHeight="15" x14ac:dyDescent="0.25"/>
  <cols>
    <col min="1" max="1" width="9.85546875" customWidth="1"/>
    <col min="2" max="2" width="15" bestFit="1" customWidth="1"/>
    <col min="3" max="11" width="12.7109375" bestFit="1" customWidth="1"/>
    <col min="13" max="13" width="16.42578125" bestFit="1" customWidth="1"/>
    <col min="14" max="14" width="15.28515625" bestFit="1" customWidth="1"/>
  </cols>
  <sheetData>
    <row r="1" spans="1:15" s="27" customFormat="1" x14ac:dyDescent="0.25">
      <c r="A1" s="458" t="str">
        <f>Mesures_Dover!C19 &amp; "°C"</f>
        <v>°C</v>
      </c>
      <c r="B1" s="458"/>
      <c r="C1" s="458"/>
      <c r="D1" s="458"/>
      <c r="E1" s="458"/>
      <c r="F1" s="458"/>
      <c r="G1" s="458"/>
      <c r="H1" s="458"/>
      <c r="I1" s="458"/>
      <c r="J1" s="458"/>
      <c r="K1" s="458"/>
      <c r="L1" s="458"/>
      <c r="M1" s="458"/>
      <c r="N1" s="458"/>
      <c r="O1" s="458"/>
    </row>
    <row r="2" spans="1:15" s="27" customFormat="1" x14ac:dyDescent="0.25">
      <c r="A2" s="458"/>
      <c r="B2" s="458"/>
      <c r="C2" s="458"/>
      <c r="D2" s="458"/>
      <c r="E2" s="458"/>
      <c r="F2" s="458"/>
      <c r="G2" s="458"/>
      <c r="H2" s="458"/>
      <c r="I2" s="458"/>
      <c r="J2" s="458"/>
      <c r="K2" s="458"/>
      <c r="L2" s="458"/>
      <c r="M2" s="458"/>
      <c r="N2" s="458"/>
      <c r="O2" s="458"/>
    </row>
    <row r="3" spans="1:15" s="27" customFormat="1" x14ac:dyDescent="0.25">
      <c r="A3" s="458"/>
      <c r="B3" s="458"/>
      <c r="C3" s="458"/>
      <c r="D3" s="458"/>
      <c r="E3" s="458"/>
      <c r="F3" s="458"/>
      <c r="G3" s="458"/>
      <c r="H3" s="458"/>
      <c r="I3" s="458"/>
      <c r="J3" s="458"/>
      <c r="K3" s="458"/>
      <c r="L3" s="458"/>
      <c r="M3" s="458"/>
      <c r="N3" s="458"/>
      <c r="O3" s="458"/>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375" t="s">
        <v>88</v>
      </c>
      <c r="B9" s="375"/>
      <c r="C9" s="375"/>
      <c r="D9" s="375"/>
      <c r="E9" s="375"/>
      <c r="F9" s="375"/>
      <c r="G9" s="375"/>
      <c r="H9" s="375"/>
      <c r="I9" s="375"/>
      <c r="J9" s="375"/>
      <c r="K9" s="375"/>
      <c r="L9" s="33"/>
    </row>
    <row r="10" spans="1:15" s="27" customFormat="1" x14ac:dyDescent="0.25">
      <c r="A10" s="33"/>
      <c r="B10" s="34" t="str" cm="1">
        <f t="array" ref="B10:K10">Valeurs_Brutes_Dover_2[#Headers]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2" t="s">
        <v>292</v>
      </c>
      <c r="B11" s="145" cm="1">
        <f t="array" ref="B11">Valeurs_Brutes_Dover_2[Date/Heure]</f>
        <v>0</v>
      </c>
      <c r="C11" s="132" t="e" cm="1">
        <f t="array" ref="C11:K11">Valeurs_Brutes_Dover_2[[Connecteur 1]:[Connecteur 9]] + C5:K5 +C6:K6</f>
        <v>#N/A</v>
      </c>
      <c r="D11" s="132" t="e">
        <v>#N/A</v>
      </c>
      <c r="E11" s="132" t="e">
        <v>#N/A</v>
      </c>
      <c r="F11" s="132" t="e">
        <v>#N/A</v>
      </c>
      <c r="G11" s="132" t="e">
        <v>#N/A</v>
      </c>
      <c r="H11" s="132" t="e">
        <v>#N/A</v>
      </c>
      <c r="I11" s="132" t="e">
        <v>#N/A</v>
      </c>
      <c r="J11" s="132" t="e">
        <v>#N/A</v>
      </c>
      <c r="K11" s="132" t="e">
        <v>#N/A</v>
      </c>
      <c r="L11" s="33"/>
    </row>
    <row r="12" spans="1:15" s="27" customFormat="1" ht="13.5" customHeight="1" x14ac:dyDescent="0.25">
      <c r="A12" s="323" t="s">
        <v>89</v>
      </c>
      <c r="B12" s="179"/>
      <c r="C12" s="189"/>
      <c r="D12" s="189"/>
      <c r="E12" s="189"/>
      <c r="F12" s="189"/>
      <c r="G12" s="189"/>
      <c r="H12" s="189"/>
      <c r="I12" s="189"/>
      <c r="J12" s="189"/>
      <c r="K12" s="189"/>
      <c r="L12" s="33"/>
    </row>
    <row r="13" spans="1:15" s="459" customFormat="1" x14ac:dyDescent="0.25"/>
    <row r="14" spans="1:15" x14ac:dyDescent="0.25">
      <c r="A14" s="27"/>
      <c r="B14" s="27"/>
      <c r="C14" s="41" t="str" cm="1">
        <f t="array" ref="C14:K14">Valeurs_Brutes_Dover_2[[#Headers],[Connecteur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27"/>
      <c r="M14" s="33"/>
      <c r="N14" s="27"/>
      <c r="O14" s="27"/>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x14ac:dyDescent="0.25">
      <c r="A16" s="27"/>
      <c r="B16" s="42" t="s">
        <v>91</v>
      </c>
      <c r="C16" s="43" t="e">
        <f ca="1">MAX(OFFSET(INDEX(Valeurs_Brutes_Dover_2[Connecteur 1],1),COUNT(Valeurs_Brutes_Dover_2[Connecteur 1])-30,0,30))</f>
        <v>#REF!</v>
      </c>
      <c r="D16" s="43" t="e">
        <f ca="1">MAX(OFFSET(INDEX(Valeurs_Brutes_Dover_2[Connecteur 2],1),COUNT(Valeurs_Brutes_Dover_2[Connecteur 2])-30,0,30))</f>
        <v>#REF!</v>
      </c>
      <c r="E16" s="43" t="e">
        <f ca="1">MAX(OFFSET(INDEX(Valeurs_Brutes_Dover_2[Connecteur 3],1),COUNT(Valeurs_Brutes_Dover_2[Connecteur 3])-30,0,30))</f>
        <v>#REF!</v>
      </c>
      <c r="F16" s="43" t="e">
        <f ca="1">MAX(OFFSET(INDEX(Valeurs_Brutes_Dover_2[Connecteur 4],1),COUNT(Valeurs_Brutes_Dover_2[Connecteur 4])-30,0,30))</f>
        <v>#REF!</v>
      </c>
      <c r="G16" s="43" t="e">
        <f ca="1">MAX(OFFSET(INDEX(Valeurs_Brutes_Dover_2[Connecteur 5],1),COUNT(Valeurs_Brutes_Dover_2[Connecteur 5])-30,0,30))</f>
        <v>#REF!</v>
      </c>
      <c r="H16" s="43" t="e">
        <f ca="1">MAX(OFFSET(INDEX(Valeurs_Brutes_Dover_2[Connecteur 6],1),COUNT(Valeurs_Brutes_Dover_2[Connecteur 6])-30,0,30))</f>
        <v>#REF!</v>
      </c>
      <c r="I16" s="43" t="e">
        <f ca="1">MAX(OFFSET(INDEX(Valeurs_Brutes_Dover_2[Connecteur 7],1),COUNT(Valeurs_Brutes_Dover_2[Connecteur 7])-30,0,30))</f>
        <v>#REF!</v>
      </c>
      <c r="J16" s="43" t="e">
        <f ca="1">MAX(OFFSET(INDEX(Valeurs_Brutes_Dover_2[Connecteur 8],1),COUNT(Valeurs_Brutes_Dover_2[Connecteur 8])-30,0,30))</f>
        <v>#REF!</v>
      </c>
      <c r="K16" s="43" t="e">
        <f ca="1">MAX(OFFSET(INDEX(Valeurs_Brutes_Dover_2[Connecteur 9],1),COUNT(Valeurs_Brutes_Dover_2[Connecteur 9])-30,0,30))</f>
        <v>#REF!</v>
      </c>
      <c r="L16" s="48">
        <f>Mesures_Dover!C19+Mesures_Dover!B20</f>
        <v>0</v>
      </c>
      <c r="M16" s="27"/>
      <c r="N16" s="36" t="s">
        <v>7</v>
      </c>
      <c r="O16" s="48">
        <f>Mesures_Dover!C19</f>
        <v>0</v>
      </c>
    </row>
    <row r="17" spans="1:18" x14ac:dyDescent="0.25">
      <c r="A17" s="27"/>
      <c r="B17" s="42" t="s">
        <v>93</v>
      </c>
      <c r="C17" s="43" t="e">
        <f ca="1">MIN(OFFSET(INDEX(Valeurs_Brutes_Dover_2[Connecteur 1],1),COUNT(Valeurs_Brutes_Dover_2[Connecteur 1])-30,0,30))</f>
        <v>#REF!</v>
      </c>
      <c r="D17" s="43" t="e">
        <f ca="1">MIN(OFFSET(INDEX(Valeurs_Brutes_Dover_2[Connecteur 2],1),COUNT(Valeurs_Brutes_Dover_2[Connecteur 2])-30,0,30))</f>
        <v>#REF!</v>
      </c>
      <c r="E17" s="43" t="e">
        <f ca="1">MIN(OFFSET(INDEX(Valeurs_Brutes_Dover_2[Connecteur 3],1),COUNT(Valeurs_Brutes_Dover_2[Connecteur 3])-30,0,30))</f>
        <v>#REF!</v>
      </c>
      <c r="F17" s="43" t="e">
        <f ca="1">MIN(OFFSET(INDEX(Valeurs_Brutes_Dover_2[Connecteur 4],1),COUNT(Valeurs_Brutes_Dover_2[Connecteur 4])-30,0,30))</f>
        <v>#REF!</v>
      </c>
      <c r="G17" s="43" t="e">
        <f ca="1">MIN(OFFSET(INDEX(Valeurs_Brutes_Dover_2[Connecteur 5],1),COUNT(Valeurs_Brutes_Dover_2[Connecteur 5])-30,0,30))</f>
        <v>#REF!</v>
      </c>
      <c r="H17" s="43" t="e">
        <f ca="1">MIN(OFFSET(INDEX(Valeurs_Brutes_Dover_2[Connecteur 6],1),COUNT(Valeurs_Brutes_Dover_2[Connecteur 6])-30,0,30))</f>
        <v>#REF!</v>
      </c>
      <c r="I17" s="43" t="e">
        <f ca="1">MIN(OFFSET(INDEX(Valeurs_Brutes_Dover_2[Connecteur 7],1),COUNT(Valeurs_Brutes_Dover_2[Connecteur 7])-30,0,30))</f>
        <v>#REF!</v>
      </c>
      <c r="J17" s="43" t="e">
        <f ca="1">MIN(OFFSET(INDEX(Valeurs_Brutes_Dover_2[Connecteur 8],1),COUNT(Valeurs_Brutes_Dover_2[Connecteur 8])-30,0,30))</f>
        <v>#REF!</v>
      </c>
      <c r="K17" s="43" t="e">
        <f ca="1">MIN(OFFSET(INDEX(Valeurs_Brutes_Dover_2[Connecteur 9],1),COUNT(Valeurs_Brutes_Dover_2[Connecteur 9])-30,0,30))</f>
        <v>#REF!</v>
      </c>
      <c r="L17" s="48">
        <f>Mesures_Dover!C19-Mesures_Dover!B20</f>
        <v>0</v>
      </c>
      <c r="M17" s="27"/>
      <c r="N17" s="36" t="s">
        <v>92</v>
      </c>
      <c r="O17" s="35" t="str">
        <f>"+" &amp; Mesures_Dover!B20 &amp; "°C"</f>
        <v>+°C</v>
      </c>
    </row>
    <row r="18" spans="1:18" x14ac:dyDescent="0.25">
      <c r="A18" s="27"/>
      <c r="B18" s="42" t="s">
        <v>95</v>
      </c>
      <c r="C18" s="43" t="e">
        <f ca="1">AVERAGE(OFFSET(INDEX(Valeurs_Brutes_Dover_2[Connecteur 1],1),COUNT(Valeurs_Brutes_Dover_2[Connecteur 1])-30,0,30))</f>
        <v>#REF!</v>
      </c>
      <c r="D18" s="43" t="e">
        <f ca="1">AVERAGE(OFFSET(INDEX(Valeurs_Brutes_Dover_2[Connecteur 2],1),COUNT(Valeurs_Brutes_Dover_2[Connecteur 2])-30,0,30))</f>
        <v>#REF!</v>
      </c>
      <c r="E18" s="43" t="e">
        <f ca="1">AVERAGE(OFFSET(INDEX(Valeurs_Brutes_Dover_2[Connecteur 3],1),COUNT(Valeurs_Brutes_Dover_2[Connecteur 3])-30,0,30))</f>
        <v>#REF!</v>
      </c>
      <c r="F18" s="43" t="e">
        <f ca="1">AVERAGE(OFFSET(INDEX(Valeurs_Brutes_Dover_2[Connecteur 4],1),COUNT(Valeurs_Brutes_Dover_2[Connecteur 4])-30,0,30))</f>
        <v>#REF!</v>
      </c>
      <c r="G18" s="43" t="e">
        <f ca="1">AVERAGE(OFFSET(INDEX(Valeurs_Brutes_Dover_2[Connecteur 5],1),COUNT(Valeurs_Brutes_Dover_2[Connecteur 5])-30,0,30))</f>
        <v>#REF!</v>
      </c>
      <c r="H18" s="43" t="e">
        <f ca="1">AVERAGE(OFFSET(INDEX(Valeurs_Brutes_Dover_2[Connecteur 6],1),COUNT(Valeurs_Brutes_Dover_2[Connecteur 6])-30,0,30))</f>
        <v>#REF!</v>
      </c>
      <c r="I18" s="43" t="e">
        <f ca="1">AVERAGE(OFFSET(INDEX(Valeurs_Brutes_Dover_2[Connecteur 7],1),COUNT(Valeurs_Brutes_Dover_2[Connecteur 7])-30,0,30))</f>
        <v>#REF!</v>
      </c>
      <c r="J18" s="43" t="e">
        <f ca="1">AVERAGE(OFFSET(INDEX(Valeurs_Brutes_Dover_2[Connecteur 8],1),COUNT(Valeurs_Brutes_Dover_2[Connecteur 8])-30,0,30))</f>
        <v>#REF!</v>
      </c>
      <c r="K18" s="43" t="e">
        <f ca="1">AVERAGE(OFFSET(INDEX(Valeurs_Brutes_Dover_2[Connecteur 9],1),COUNT(Valeurs_Brutes_Dover_2[Connecteur 9])-30,0,30))</f>
        <v>#REF!</v>
      </c>
      <c r="L18" s="33"/>
      <c r="M18" s="33"/>
      <c r="N18" s="36" t="s">
        <v>94</v>
      </c>
      <c r="O18" s="35" t="str">
        <f>"-" &amp; Mesures_Dover!B20 &amp; "°C"</f>
        <v>-°C</v>
      </c>
    </row>
    <row r="19" spans="1:18" x14ac:dyDescent="0.25">
      <c r="A19" s="27"/>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c r="M19" s="27"/>
      <c r="N19" s="27"/>
      <c r="O19" s="27"/>
    </row>
    <row r="20" spans="1:18" x14ac:dyDescent="0.25">
      <c r="A20" s="27"/>
      <c r="B20" s="42" t="s">
        <v>97</v>
      </c>
      <c r="C20" s="493" t="e">
        <f ca="1">ABS(MAX(C16:K16)-MIN(C17:K17))</f>
        <v>#REF!</v>
      </c>
      <c r="D20" s="494"/>
      <c r="E20" s="494"/>
      <c r="F20" s="494"/>
      <c r="G20" s="494"/>
      <c r="H20" s="494"/>
      <c r="I20" s="494"/>
      <c r="J20" s="494"/>
      <c r="K20" s="495"/>
    </row>
    <row r="21" spans="1:18" x14ac:dyDescent="0.25">
      <c r="A21" s="27"/>
      <c r="B21" s="42" t="s">
        <v>98</v>
      </c>
      <c r="C21" s="493" t="e">
        <f ca="1">AVERAGE(C18:K18)</f>
        <v>#REF!</v>
      </c>
      <c r="D21" s="494"/>
      <c r="E21" s="494"/>
      <c r="F21" s="494"/>
      <c r="G21" s="494"/>
      <c r="H21" s="494"/>
      <c r="I21" s="494"/>
      <c r="J21" s="494"/>
      <c r="K21" s="495"/>
    </row>
    <row r="22" spans="1:18" x14ac:dyDescent="0.25">
      <c r="A22" s="27"/>
      <c r="B22" s="36" t="s">
        <v>99</v>
      </c>
      <c r="C22" s="46" t="e">
        <f ca="1">STDEV(OFFSET(INDEX(Valeurs_Brutes_Dover_2[Connecteur 1],1),COUNT(Valeurs_Brutes_Dover_2[Connecteur 1])-30,0,30))+C5+C6</f>
        <v>#REF!</v>
      </c>
      <c r="D22" s="46" t="e">
        <f ca="1">STDEV(OFFSET(INDEX(Valeurs_Brutes_Dover_2[Connecteur 2],1),COUNT(Valeurs_Brutes_Dover_2[Connecteur 2])-30,0,30))+D5+D6</f>
        <v>#REF!</v>
      </c>
      <c r="E22" s="46" t="e">
        <f ca="1">STDEV(OFFSET(INDEX(Valeurs_Brutes_Dover_2[Connecteur 3],1),COUNT(Valeurs_Brutes_Dover_2[Connecteur 3])-30,0,30))+E5+E6</f>
        <v>#REF!</v>
      </c>
      <c r="F22" s="46" t="e">
        <f ca="1">STDEV(OFFSET(INDEX(Valeurs_Brutes_Dover_2[Connecteur 4],1),COUNT(Valeurs_Brutes_Dover_2[Connecteur 4])-30,0,30))+F5+F6</f>
        <v>#REF!</v>
      </c>
      <c r="G22" s="46" t="e">
        <f ca="1">STDEV(OFFSET(INDEX(Valeurs_Brutes_Dover_2[Connecteur 5],1),COUNT(Valeurs_Brutes_Dover_2[Connecteur 5])-30,0,30))+G5+G6</f>
        <v>#REF!</v>
      </c>
      <c r="H22" s="46" t="e">
        <f ca="1">STDEV(OFFSET(INDEX(Valeurs_Brutes_Dover_2[Connecteur 6],1),COUNT(Valeurs_Brutes_Dover_2[Connecteur 6])-30,0,30))+H5+H6</f>
        <v>#REF!</v>
      </c>
      <c r="I22" s="46" t="e">
        <f ca="1">STDEV(OFFSET(INDEX(Valeurs_Brutes_Dover_2[Connecteur 7],1),COUNT(Valeurs_Brutes_Dover_2[Connecteur 7])-30,0,30))+I5+I6</f>
        <v>#REF!</v>
      </c>
      <c r="J22" s="46" t="e">
        <f ca="1">STDEV(OFFSET(INDEX(Valeurs_Brutes_Dover_2[Connecteur 8],1),COUNT(Valeurs_Brutes_Dover_2[Connecteur 8])-30,0,30))+J5+J6</f>
        <v>#REF!</v>
      </c>
      <c r="K22" s="46" t="e">
        <f ca="1">STDEV(OFFSET(INDEX(Valeurs_Brutes_Dover_2[Connecteur 9],1),COUNT(Valeurs_Brutes_Dover_2[Connecteur 9])-30,0,30))+K5+K6</f>
        <v>#REF!</v>
      </c>
    </row>
    <row r="23" spans="1:18" s="27" customFormat="1" x14ac:dyDescent="0.25">
      <c r="A23"/>
      <c r="B23"/>
      <c r="C23"/>
      <c r="D23"/>
      <c r="E23"/>
      <c r="F23"/>
      <c r="G23"/>
      <c r="H23"/>
      <c r="I23"/>
      <c r="J23"/>
      <c r="K23"/>
      <c r="L23" s="33"/>
    </row>
    <row r="26" spans="1:18" x14ac:dyDescent="0.25">
      <c r="L26" s="33"/>
      <c r="M26" s="33"/>
      <c r="N26" s="33"/>
      <c r="O26" s="33"/>
      <c r="P26" s="33"/>
      <c r="Q26" s="33"/>
      <c r="R26" s="33"/>
    </row>
    <row r="27" spans="1:18" x14ac:dyDescent="0.25">
      <c r="P27" s="27"/>
      <c r="Q27" s="27"/>
      <c r="R27" s="27"/>
    </row>
    <row r="28" spans="1:18" x14ac:dyDescent="0.25">
      <c r="P28" s="27"/>
      <c r="Q28" s="27"/>
      <c r="R28" s="27"/>
    </row>
    <row r="29" spans="1:18" x14ac:dyDescent="0.25">
      <c r="P29" s="27"/>
      <c r="Q29" s="27"/>
      <c r="R29" s="27"/>
    </row>
    <row r="30" spans="1:18" x14ac:dyDescent="0.25">
      <c r="P30" s="27"/>
      <c r="Q30" s="27"/>
      <c r="R30" s="27"/>
    </row>
    <row r="31" spans="1:18" x14ac:dyDescent="0.25">
      <c r="P31" s="27"/>
      <c r="Q31" s="27"/>
      <c r="R31" s="27"/>
    </row>
    <row r="32" spans="1:18" x14ac:dyDescent="0.25">
      <c r="L32" s="33"/>
      <c r="M32" s="27"/>
      <c r="N32" s="27"/>
      <c r="O32" s="27"/>
      <c r="P32" s="27"/>
      <c r="Q32" s="27"/>
      <c r="R32" s="27"/>
    </row>
    <row r="33" spans="1:18" x14ac:dyDescent="0.25">
      <c r="L33" s="33"/>
      <c r="M33" s="27"/>
      <c r="N33" s="27"/>
      <c r="O33" s="27"/>
      <c r="P33" s="27"/>
      <c r="Q33" s="27"/>
      <c r="R33" s="27"/>
    </row>
    <row r="34" spans="1:18" x14ac:dyDescent="0.25">
      <c r="L34" s="33"/>
      <c r="M34" s="27"/>
      <c r="N34" s="27"/>
      <c r="O34" s="27"/>
      <c r="P34" s="27"/>
      <c r="Q34" s="27"/>
      <c r="R34" s="27"/>
    </row>
    <row r="35" spans="1:18" x14ac:dyDescent="0.25">
      <c r="M35" s="27"/>
      <c r="N35" s="27"/>
      <c r="O35" s="27"/>
      <c r="P35" s="27"/>
      <c r="Q35" s="27"/>
      <c r="R35" s="27"/>
    </row>
    <row r="46" spans="1:18" s="33" customFormat="1" x14ac:dyDescent="0.25">
      <c r="A46"/>
      <c r="B46"/>
      <c r="C46"/>
      <c r="D46"/>
      <c r="E46"/>
      <c r="F46"/>
      <c r="G46"/>
      <c r="H46"/>
      <c r="I46"/>
      <c r="J46"/>
      <c r="K46"/>
      <c r="L46"/>
      <c r="M46"/>
      <c r="N46"/>
      <c r="O46"/>
      <c r="P46"/>
      <c r="Q46"/>
      <c r="R46"/>
    </row>
    <row r="47" spans="1:18" s="27" customFormat="1" x14ac:dyDescent="0.25">
      <c r="A47"/>
      <c r="B47"/>
      <c r="C47"/>
      <c r="D47"/>
      <c r="E47"/>
      <c r="F47"/>
      <c r="G47"/>
      <c r="H47"/>
      <c r="I47"/>
      <c r="J47"/>
      <c r="K47"/>
      <c r="L47"/>
      <c r="M47"/>
      <c r="N47"/>
      <c r="O47"/>
      <c r="P47"/>
      <c r="Q47"/>
      <c r="R47"/>
    </row>
    <row r="48" spans="1:18" s="27" customFormat="1" x14ac:dyDescent="0.25">
      <c r="A48"/>
      <c r="B48"/>
      <c r="C48"/>
      <c r="D48"/>
      <c r="E48"/>
      <c r="F48"/>
      <c r="G48"/>
      <c r="H48"/>
      <c r="I48"/>
      <c r="J48"/>
      <c r="K48"/>
      <c r="L48"/>
      <c r="M48"/>
      <c r="N48"/>
      <c r="O48"/>
      <c r="P48"/>
      <c r="Q48"/>
      <c r="R48"/>
    </row>
    <row r="49" spans="1:18" s="27" customFormat="1" x14ac:dyDescent="0.25">
      <c r="A49"/>
      <c r="B49"/>
      <c r="C49"/>
      <c r="D49"/>
      <c r="E49"/>
      <c r="F49"/>
      <c r="G49"/>
      <c r="H49"/>
      <c r="I49"/>
      <c r="J49"/>
      <c r="K49"/>
      <c r="L49"/>
      <c r="M49"/>
      <c r="N49"/>
      <c r="O49"/>
      <c r="P49"/>
      <c r="Q49"/>
      <c r="R49"/>
    </row>
    <row r="50" spans="1:18" s="27" customFormat="1" x14ac:dyDescent="0.25">
      <c r="A50"/>
      <c r="B50"/>
      <c r="C50"/>
      <c r="D50"/>
      <c r="E50"/>
      <c r="F50"/>
      <c r="G50"/>
      <c r="H50"/>
      <c r="I50"/>
      <c r="J50"/>
      <c r="K50"/>
      <c r="L50"/>
      <c r="M50"/>
      <c r="N50"/>
      <c r="O50"/>
      <c r="P50"/>
      <c r="Q50"/>
      <c r="R50"/>
    </row>
    <row r="51" spans="1:18" s="27" customFormat="1" x14ac:dyDescent="0.25">
      <c r="A51"/>
      <c r="B51"/>
      <c r="C51"/>
      <c r="D51"/>
      <c r="E51"/>
      <c r="F51"/>
      <c r="G51"/>
      <c r="H51"/>
      <c r="I51"/>
      <c r="J51"/>
      <c r="K51"/>
      <c r="L51"/>
      <c r="M51"/>
      <c r="N51"/>
      <c r="O51"/>
      <c r="P51"/>
      <c r="Q51"/>
      <c r="R51"/>
    </row>
    <row r="52" spans="1:18" s="27" customFormat="1" x14ac:dyDescent="0.25">
      <c r="A52"/>
      <c r="B52"/>
      <c r="C52"/>
      <c r="D52"/>
      <c r="E52"/>
      <c r="F52"/>
      <c r="G52"/>
      <c r="H52"/>
      <c r="I52"/>
      <c r="J52"/>
      <c r="K52"/>
      <c r="L52"/>
      <c r="M52"/>
      <c r="N52"/>
      <c r="O52"/>
      <c r="P52"/>
      <c r="Q52"/>
      <c r="R52"/>
    </row>
    <row r="53" spans="1:18" s="27" customFormat="1" x14ac:dyDescent="0.25">
      <c r="A53"/>
      <c r="B53"/>
      <c r="C53"/>
      <c r="D53"/>
      <c r="E53"/>
      <c r="F53"/>
      <c r="G53"/>
      <c r="H53"/>
      <c r="I53"/>
      <c r="J53"/>
      <c r="K53"/>
      <c r="L53"/>
      <c r="M53"/>
      <c r="N53"/>
      <c r="O53"/>
      <c r="P53"/>
      <c r="Q53"/>
      <c r="R53"/>
    </row>
    <row r="54" spans="1:18" s="27" customFormat="1" x14ac:dyDescent="0.25">
      <c r="A54"/>
      <c r="B54"/>
      <c r="C54"/>
      <c r="D54"/>
      <c r="E54"/>
      <c r="F54"/>
      <c r="G54"/>
      <c r="H54"/>
      <c r="I54"/>
      <c r="J54"/>
      <c r="K54"/>
      <c r="L54"/>
      <c r="M54"/>
      <c r="N54"/>
      <c r="O54"/>
      <c r="P54"/>
      <c r="Q54"/>
      <c r="R54"/>
    </row>
    <row r="55" spans="1:18" s="27" customFormat="1" x14ac:dyDescent="0.25">
      <c r="A55"/>
      <c r="B55"/>
      <c r="C55"/>
      <c r="D55"/>
      <c r="E55"/>
      <c r="F55"/>
      <c r="G55"/>
      <c r="H55"/>
      <c r="I55"/>
      <c r="J55"/>
      <c r="K55"/>
      <c r="L55"/>
      <c r="M55"/>
      <c r="N55"/>
      <c r="O55"/>
      <c r="P55"/>
      <c r="Q55"/>
      <c r="R55"/>
    </row>
  </sheetData>
  <sheetProtection algorithmName="SHA-512" hashValue="C9GByZTkwlQM1uR3lDOTg6C+aPC6V9+NbYY3/MhmXUW+ysP04PJ7qlj0ruahq2dwi+aMuoVEHSCCM6ycf4A/6g==" saltValue="T0ZNH9zjciLzXG0/i5kn5Q==" spinCount="100000" sheet="1" objects="1" scenarios="1"/>
  <dataConsolidate/>
  <mergeCells count="5">
    <mergeCell ref="C21:K21"/>
    <mergeCell ref="C20:K20"/>
    <mergeCell ref="A1:O3"/>
    <mergeCell ref="A9:K9"/>
    <mergeCell ref="A13:XFD13"/>
  </mergeCells>
  <conditionalFormatting sqref="C16:K16">
    <cfRule type="cellIs" dxfId="15" priority="2" operator="greaterThan">
      <formula>$L$16</formula>
    </cfRule>
  </conditionalFormatting>
  <conditionalFormatting sqref="C17:K17">
    <cfRule type="cellIs" dxfId="14" priority="3" operator="lessThan">
      <formula>$L$17</formula>
    </cfRule>
  </conditionalFormatting>
  <conditionalFormatting sqref="C15:K15">
    <cfRule type="cellIs" dxfId="13" priority="1" operator="greaterThan">
      <formula>$L$16</formula>
    </cfRule>
  </conditionalFormatting>
  <pageMargins left="0.7" right="0.7" top="0.75" bottom="0.75" header="0.3" footer="0.3"/>
  <pageSetup paperSize="9"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22"/>
  <sheetViews>
    <sheetView workbookViewId="0">
      <selection activeCell="A9" sqref="A9:K9"/>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458" t="str">
        <f>Mesures_Dover!D19 &amp; "°C"</f>
        <v>°C</v>
      </c>
      <c r="B1" s="458"/>
      <c r="C1" s="458"/>
      <c r="D1" s="458"/>
      <c r="E1" s="458"/>
      <c r="F1" s="458"/>
      <c r="G1" s="458"/>
      <c r="H1" s="458"/>
      <c r="I1" s="458"/>
      <c r="J1" s="458"/>
      <c r="K1" s="458"/>
      <c r="L1" s="458"/>
      <c r="M1" s="458"/>
      <c r="N1" s="458"/>
      <c r="O1" s="458"/>
    </row>
    <row r="2" spans="1:15" s="27" customFormat="1" x14ac:dyDescent="0.25">
      <c r="A2" s="458"/>
      <c r="B2" s="458"/>
      <c r="C2" s="458"/>
      <c r="D2" s="458"/>
      <c r="E2" s="458"/>
      <c r="F2" s="458"/>
      <c r="G2" s="458"/>
      <c r="H2" s="458"/>
      <c r="I2" s="458"/>
      <c r="J2" s="458"/>
      <c r="K2" s="458"/>
      <c r="L2" s="458"/>
      <c r="M2" s="458"/>
      <c r="N2" s="458"/>
      <c r="O2" s="458"/>
    </row>
    <row r="3" spans="1:15" s="27" customFormat="1" x14ac:dyDescent="0.25">
      <c r="A3" s="458"/>
      <c r="B3" s="458"/>
      <c r="C3" s="458"/>
      <c r="D3" s="458"/>
      <c r="E3" s="458"/>
      <c r="F3" s="458"/>
      <c r="G3" s="458"/>
      <c r="H3" s="458"/>
      <c r="I3" s="458"/>
      <c r="J3" s="458"/>
      <c r="K3" s="458"/>
      <c r="L3" s="458"/>
      <c r="M3" s="458"/>
      <c r="N3" s="458"/>
      <c r="O3" s="458"/>
    </row>
    <row r="4" spans="1:15" s="27" customFormat="1" x14ac:dyDescent="0.25">
      <c r="L4" s="33"/>
    </row>
    <row r="5" spans="1:15" s="27" customFormat="1" x14ac:dyDescent="0.25">
      <c r="B5" s="34" t="s">
        <v>23</v>
      </c>
      <c r="C5" s="35" t="e">
        <f>_xlfn.XLOOKUP(INT(SUBSTITUTE(C14,"Connecteur ","")),Mesures_Dover!C23:C31,Mesures_Dover!G23:G31)</f>
        <v>#N/A</v>
      </c>
      <c r="D5" s="35" t="e">
        <f>_xlfn.XLOOKUP(INT(SUBSTITUTE(D14,"Connecteur ","")),Mesures_Dover!C23:C31,Mesures_Dover!G23:G31)</f>
        <v>#N/A</v>
      </c>
      <c r="E5" s="35" t="e">
        <f>_xlfn.XLOOKUP(INT(SUBSTITUTE(E14,"Connecteur ","")),Mesures_Dover!C23:C31,Mesures_Dover!G23:G31)</f>
        <v>#N/A</v>
      </c>
      <c r="F5" s="35" t="e">
        <f>_xlfn.XLOOKUP(INT(SUBSTITUTE(F14,"Connecteur ","")),Mesures_Dover!C23:C31,Mesures_Dover!G23:G31)</f>
        <v>#N/A</v>
      </c>
      <c r="G5" s="35" t="e">
        <f>_xlfn.XLOOKUP(INT(SUBSTITUTE(G14,"Connecteur ","")),Mesures_Dover!C23:C31,Mesures_Dover!G23:G31)</f>
        <v>#N/A</v>
      </c>
      <c r="H5" s="35" t="e">
        <f>_xlfn.XLOOKUP(INT(SUBSTITUTE(H14,"Connecteur ","")),Mesures_Dover!C23:C31,Mesures_Dover!G23:G31)</f>
        <v>#N/A</v>
      </c>
      <c r="I5" s="35" t="e">
        <f>_xlfn.XLOOKUP(INT(SUBSTITUTE(I14,"Connecteur ","")),Mesures_Dover!C23:C31,Mesures_Dover!G23:G31)</f>
        <v>#N/A</v>
      </c>
      <c r="J5" s="35" t="e">
        <f>_xlfn.XLOOKUP(INT(SUBSTITUTE(J14,"Connecteur ","")),Mesures_Dover!C23:C31,Mesures_Dover!G23:G31)</f>
        <v>#N/A</v>
      </c>
      <c r="K5" s="35" t="e">
        <f>_xlfn.XLOOKUP(INT(SUBSTITUTE(K14,"Connecteur ","")),Mesures_Dover!C23:C31,Mesures_Dover!G23:G31)</f>
        <v>#N/A</v>
      </c>
      <c r="L5" s="33"/>
    </row>
    <row r="6" spans="1:15" s="27" customFormat="1" x14ac:dyDescent="0.25">
      <c r="B6" s="34" t="s">
        <v>87</v>
      </c>
      <c r="C6" s="35" t="e">
        <f>_xlfn.XLOOKUP(INT(SUBSTITUTE(C14,"Connecteur ","")),Mesures_Dover!C23:C31,Mesures_Dover!D23:D31)</f>
        <v>#N/A</v>
      </c>
      <c r="D6" s="35" t="e">
        <f>_xlfn.XLOOKUP(INT(SUBSTITUTE(D14,"Connecteur ","")),Mesures_Dover!C23:C31,Mesures_Dover!D23:D31)</f>
        <v>#N/A</v>
      </c>
      <c r="E6" s="35" t="e">
        <f>_xlfn.XLOOKUP(INT(SUBSTITUTE(E14,"Connecteur ","")),Mesures_Dover!C23:C31,Mesures_Dover!D23:D31)</f>
        <v>#N/A</v>
      </c>
      <c r="F6" s="35" t="e">
        <f>_xlfn.XLOOKUP(INT(SUBSTITUTE(F14,"Connecteur ","")),Mesures_Dover!C23:C31,Mesures_Dover!D23:D31)</f>
        <v>#N/A</v>
      </c>
      <c r="G6" s="35" t="e">
        <f>_xlfn.XLOOKUP(INT(SUBSTITUTE(G14,"Connecteur ","")),Mesures_Dover!C23:C31,Mesures_Dover!D23:D31)</f>
        <v>#N/A</v>
      </c>
      <c r="H6" s="35" t="e">
        <f>_xlfn.XLOOKUP(INT(SUBSTITUTE(H14,"Connecteur ","")),Mesures_Dover!C23:C31,Mesures_Dover!D23:D31)</f>
        <v>#N/A</v>
      </c>
      <c r="I6" s="35" t="e">
        <f>_xlfn.XLOOKUP(INT(SUBSTITUTE(I14,"Connecteur ","")),Mesures_Dover!C23:C31,Mesures_Dover!D23:D31)</f>
        <v>#N/A</v>
      </c>
      <c r="J6" s="35" t="e">
        <f>_xlfn.XLOOKUP(INT(SUBSTITUTE(J14,"Connecteur ","")),Mesures_Dover!C23:C31,Mesures_Dover!D23:D31)</f>
        <v>#N/A</v>
      </c>
      <c r="K6" s="35" t="e">
        <f>_xlfn.XLOOKUP(INT(SUBSTITUTE(K14,"Connecteur ","")),Mesures_Dover!C23:C31,Mesures_Dover!D23:D31)</f>
        <v>#N/A</v>
      </c>
      <c r="L6" s="33"/>
    </row>
    <row r="7" spans="1:15" s="27" customFormat="1" x14ac:dyDescent="0.25">
      <c r="L7" s="33"/>
    </row>
    <row r="8" spans="1:15" s="27" customFormat="1" x14ac:dyDescent="0.25">
      <c r="L8" s="33"/>
    </row>
    <row r="9" spans="1:15" s="27" customFormat="1" x14ac:dyDescent="0.25">
      <c r="A9" s="1" t="s">
        <v>88</v>
      </c>
      <c r="B9" s="1"/>
      <c r="C9" s="1"/>
      <c r="D9" s="1"/>
      <c r="E9" s="1"/>
      <c r="F9" s="1"/>
      <c r="G9" s="1"/>
      <c r="H9" s="1"/>
      <c r="I9" s="1"/>
      <c r="J9" s="1"/>
      <c r="K9" s="1"/>
      <c r="L9" s="33"/>
    </row>
    <row r="10" spans="1:15" s="27" customFormat="1" x14ac:dyDescent="0.25">
      <c r="A10" s="33"/>
      <c r="B10" s="34" t="str" cm="1">
        <f t="array" ref="B10:K10">Valeurs_Brutes_Dover_3[#Headers]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322" t="s">
        <v>292</v>
      </c>
      <c r="B11" s="145" cm="1">
        <f t="array" ref="B11">Valeurs_Brutes_Dover_3[Date/Heure]</f>
        <v>0</v>
      </c>
      <c r="C11" s="130" t="e" cm="1">
        <f t="array" ref="C11:K11">Valeurs_Brutes_Dover_3[[Connecteur 1]:[Connecteur 9]] + C5:K5 +C6:K6</f>
        <v>#N/A</v>
      </c>
      <c r="D11" s="130" t="e">
        <v>#N/A</v>
      </c>
      <c r="E11" s="130" t="e">
        <v>#N/A</v>
      </c>
      <c r="F11" s="130" t="e">
        <v>#N/A</v>
      </c>
      <c r="G11" s="130" t="e">
        <v>#N/A</v>
      </c>
      <c r="H11" s="130" t="e">
        <v>#N/A</v>
      </c>
      <c r="I11" s="130" t="e">
        <v>#N/A</v>
      </c>
      <c r="J11" s="130" t="e">
        <v>#N/A</v>
      </c>
      <c r="K11" s="130" t="e">
        <v>#N/A</v>
      </c>
      <c r="L11" s="33"/>
    </row>
    <row r="12" spans="1:15" s="27" customFormat="1" ht="13.5" customHeight="1" x14ac:dyDescent="0.25">
      <c r="A12" s="323" t="s">
        <v>89</v>
      </c>
      <c r="B12" s="179"/>
      <c r="C12" s="191"/>
      <c r="D12" s="191"/>
      <c r="E12" s="191"/>
      <c r="F12" s="191"/>
      <c r="G12" s="191"/>
      <c r="H12" s="191"/>
      <c r="I12" s="191"/>
      <c r="J12" s="191"/>
      <c r="K12" s="191"/>
      <c r="L12" s="33"/>
    </row>
    <row r="13" spans="1:15" s="459" customFormat="1" x14ac:dyDescent="0.25"/>
    <row r="14" spans="1:15" s="27" customFormat="1" x14ac:dyDescent="0.25">
      <c r="C14" s="41" t="str" cm="1">
        <f t="array" ref="C14:K14">Valeurs_Brutes_Dover_3[[#Headers],[Connecteur 1]:[Connecteur 9]]</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M14" s="33"/>
    </row>
    <row r="15" spans="1:15" x14ac:dyDescent="0.25">
      <c r="B15" s="42" t="s">
        <v>90</v>
      </c>
      <c r="C15" s="43" t="e">
        <f t="shared" ref="C15:K15" si="0">MAX(C11:C12)</f>
        <v>#N/A</v>
      </c>
      <c r="D15" s="43" t="e">
        <f t="shared" si="0"/>
        <v>#N/A</v>
      </c>
      <c r="E15" s="43" t="e">
        <f t="shared" si="0"/>
        <v>#N/A</v>
      </c>
      <c r="F15" s="43" t="e">
        <f t="shared" si="0"/>
        <v>#N/A</v>
      </c>
      <c r="G15" s="43" t="e">
        <f t="shared" si="0"/>
        <v>#N/A</v>
      </c>
      <c r="H15" s="43" t="e">
        <f t="shared" si="0"/>
        <v>#N/A</v>
      </c>
      <c r="I15" s="43" t="e">
        <f t="shared" si="0"/>
        <v>#N/A</v>
      </c>
      <c r="J15" s="43" t="e">
        <f t="shared" si="0"/>
        <v>#N/A</v>
      </c>
      <c r="K15" s="43" t="e">
        <f t="shared" si="0"/>
        <v>#N/A</v>
      </c>
    </row>
    <row r="16" spans="1:15" s="27" customFormat="1" x14ac:dyDescent="0.25">
      <c r="B16" s="42" t="s">
        <v>91</v>
      </c>
      <c r="C16" s="43" t="e">
        <f ca="1">MAX(OFFSET(INDEX(Valeurs_Brutes_Dover_3[Connecteur 1],1),COUNT(Valeurs_Brutes_Dover_3[Connecteur 1])-30,0,30))</f>
        <v>#REF!</v>
      </c>
      <c r="D16" s="43" t="e">
        <f ca="1">MAX(OFFSET(INDEX(Valeurs_Brutes_Dover_3[Connecteur 2],1),COUNT(Valeurs_Brutes_Dover_3[Connecteur 2])-30,0,30))</f>
        <v>#REF!</v>
      </c>
      <c r="E16" s="43" t="e">
        <f ca="1">MAX(OFFSET(INDEX(Valeurs_Brutes_Dover_3[Connecteur 3],1),COUNT(Valeurs_Brutes_Dover_3[Connecteur 3])-30,0,30))</f>
        <v>#REF!</v>
      </c>
      <c r="F16" s="43" t="e">
        <f ca="1">MAX(OFFSET(INDEX(Valeurs_Brutes_Dover_3[Connecteur 4],1),COUNT(Valeurs_Brutes_Dover_3[Connecteur 4])-30,0,30))</f>
        <v>#REF!</v>
      </c>
      <c r="G16" s="43" t="e">
        <f ca="1">MAX(OFFSET(INDEX(Valeurs_Brutes_Dover_3[Connecteur 5],1),COUNT(Valeurs_Brutes_Dover_3[Connecteur 5])-30,0,30))</f>
        <v>#REF!</v>
      </c>
      <c r="H16" s="43" t="e">
        <f ca="1">MAX(OFFSET(INDEX(Valeurs_Brutes_Dover_3[Connecteur 6],1),COUNT(Valeurs_Brutes_Dover_3[Connecteur 6])-30,0,30))</f>
        <v>#REF!</v>
      </c>
      <c r="I16" s="43" t="e">
        <f ca="1">MAX(OFFSET(INDEX(Valeurs_Brutes_Dover_3[Connecteur 7],1),COUNT(Valeurs_Brutes_Dover_3[Connecteur 7])-30,0,30))</f>
        <v>#REF!</v>
      </c>
      <c r="J16" s="43" t="e">
        <f ca="1">MAX(OFFSET(INDEX(Valeurs_Brutes_Dover_3[Connecteur 8],1),COUNT(Valeurs_Brutes_Dover_3[Connecteur 8])-30,0,30))</f>
        <v>#REF!</v>
      </c>
      <c r="K16" s="43" t="e">
        <f ca="1">MAX(OFFSET(INDEX(Valeurs_Brutes_Dover_3[Connecteur 9],1),COUNT(Valeurs_Brutes_Dover_3[Connecteur 9])-30,0,30))</f>
        <v>#REF!</v>
      </c>
      <c r="L16" s="48">
        <f>Mesures_Dover!D19+Mesures_Dover!B20</f>
        <v>0</v>
      </c>
      <c r="N16" s="36" t="s">
        <v>7</v>
      </c>
      <c r="O16" s="48">
        <f>Mesures_Dover!D19</f>
        <v>0</v>
      </c>
    </row>
    <row r="17" spans="2:15" s="27" customFormat="1" x14ac:dyDescent="0.25">
      <c r="B17" s="42" t="s">
        <v>93</v>
      </c>
      <c r="C17" s="43" t="e">
        <f ca="1">MIN(OFFSET(INDEX(Valeurs_Brutes_Dover_3[Connecteur 1],1),COUNT(Valeurs_Brutes_Dover_3[Connecteur 1])-30,0,30))</f>
        <v>#REF!</v>
      </c>
      <c r="D17" s="43" t="e">
        <f ca="1">MIN(OFFSET(INDEX(Valeurs_Brutes_Dover_3[Connecteur 2],1),COUNT(Valeurs_Brutes_Dover_3[Connecteur 2])-30,0,30))</f>
        <v>#REF!</v>
      </c>
      <c r="E17" s="43" t="e">
        <f ca="1">MIN(OFFSET(INDEX(Valeurs_Brutes_Dover_3[Connecteur 3],1),COUNT(Valeurs_Brutes_Dover_3[Connecteur 3])-30,0,30))</f>
        <v>#REF!</v>
      </c>
      <c r="F17" s="43" t="e">
        <f ca="1">MIN(OFFSET(INDEX(Valeurs_Brutes_Dover_3[Connecteur 4],1),COUNT(Valeurs_Brutes_Dover_3[Connecteur 4])-30,0,30))</f>
        <v>#REF!</v>
      </c>
      <c r="G17" s="43" t="e">
        <f ca="1">MIN(OFFSET(INDEX(Valeurs_Brutes_Dover_3[Connecteur 5],1),COUNT(Valeurs_Brutes_Dover_3[Connecteur 5])-30,0,30))</f>
        <v>#REF!</v>
      </c>
      <c r="H17" s="43" t="e">
        <f ca="1">MIN(OFFSET(INDEX(Valeurs_Brutes_Dover_3[Connecteur 6],1),COUNT(Valeurs_Brutes_Dover_3[Connecteur 6])-30,0,30))</f>
        <v>#REF!</v>
      </c>
      <c r="I17" s="43" t="e">
        <f ca="1">MIN(OFFSET(INDEX(Valeurs_Brutes_Dover_3[Connecteur 7],1),COUNT(Valeurs_Brutes_Dover_3[Connecteur 7])-30,0,30))</f>
        <v>#REF!</v>
      </c>
      <c r="J17" s="43" t="e">
        <f ca="1">MIN(OFFSET(INDEX(Valeurs_Brutes_Dover_3[Connecteur 8],1),COUNT(Valeurs_Brutes_Dover_3[Connecteur 8])-30,0,30))</f>
        <v>#REF!</v>
      </c>
      <c r="K17" s="43" t="e">
        <f ca="1">MIN(OFFSET(INDEX(Valeurs_Brutes_Dover_3[Connecteur 9],1),COUNT(Valeurs_Brutes_Dover_3[Connecteur 9])-30,0,30))</f>
        <v>#REF!</v>
      </c>
      <c r="L17" s="48">
        <f>Mesures_Dover!D19-Mesures_Dover!B20</f>
        <v>0</v>
      </c>
      <c r="N17" s="36" t="s">
        <v>92</v>
      </c>
      <c r="O17" s="35" t="str">
        <f>"+" &amp; Mesures_Dover!B20 &amp; "°C"</f>
        <v>+°C</v>
      </c>
    </row>
    <row r="18" spans="2:15" s="27" customFormat="1" x14ac:dyDescent="0.25">
      <c r="B18" s="42" t="s">
        <v>95</v>
      </c>
      <c r="C18" s="43" t="e">
        <f ca="1">AVERAGE(OFFSET(INDEX(Valeurs_Brutes_Dover_3[Connecteur 1],1),COUNT(Valeurs_Brutes_Dover_3[Connecteur 1])-30,0,30))</f>
        <v>#REF!</v>
      </c>
      <c r="D18" s="43" t="e">
        <f ca="1">AVERAGE(OFFSET(INDEX(Valeurs_Brutes_Dover_3[Connecteur 2],1),COUNT(Valeurs_Brutes_Dover_3[Connecteur 2])-30,0,30))</f>
        <v>#REF!</v>
      </c>
      <c r="E18" s="43" t="e">
        <f ca="1">AVERAGE(OFFSET(INDEX(Valeurs_Brutes_Dover_3[Connecteur 3],1),COUNT(Valeurs_Brutes_Dover_3[Connecteur 3])-30,0,30))</f>
        <v>#REF!</v>
      </c>
      <c r="F18" s="43" t="e">
        <f ca="1">AVERAGE(OFFSET(INDEX(Valeurs_Brutes_Dover_3[Connecteur 4],1),COUNT(Valeurs_Brutes_Dover_3[Connecteur 4])-30,0,30))</f>
        <v>#REF!</v>
      </c>
      <c r="G18" s="43" t="e">
        <f ca="1">AVERAGE(OFFSET(INDEX(Valeurs_Brutes_Dover_3[Connecteur 5],1),COUNT(Valeurs_Brutes_Dover_3[Connecteur 5])-30,0,30))</f>
        <v>#REF!</v>
      </c>
      <c r="H18" s="43" t="e">
        <f ca="1">AVERAGE(OFFSET(INDEX(Valeurs_Brutes_Dover_3[Connecteur 6],1),COUNT(Valeurs_Brutes_Dover_3[Connecteur 6])-30,0,30))</f>
        <v>#REF!</v>
      </c>
      <c r="I18" s="43" t="e">
        <f ca="1">AVERAGE(OFFSET(INDEX(Valeurs_Brutes_Dover_3[Connecteur 7],1),COUNT(Valeurs_Brutes_Dover_3[Connecteur 7])-30,0,30))</f>
        <v>#REF!</v>
      </c>
      <c r="J18" s="43" t="e">
        <f ca="1">AVERAGE(OFFSET(INDEX(Valeurs_Brutes_Dover_3[Connecteur 8],1),COUNT(Valeurs_Brutes_Dover_3[Connecteur 8])-30,0,30))</f>
        <v>#REF!</v>
      </c>
      <c r="K18" s="43" t="e">
        <f ca="1">AVERAGE(OFFSET(INDEX(Valeurs_Brutes_Dover_3[Connecteur 9],1),COUNT(Valeurs_Brutes_Dover_3[Connecteur 9])-30,0,30))</f>
        <v>#REF!</v>
      </c>
      <c r="L18" s="33"/>
      <c r="M18" s="33"/>
      <c r="N18" s="36" t="s">
        <v>94</v>
      </c>
      <c r="O18" s="35" t="str">
        <f>"-" &amp; Mesures_Dover!B20 &amp; "°C"</f>
        <v>-°C</v>
      </c>
    </row>
    <row r="19" spans="2:15" s="27" customFormat="1" x14ac:dyDescent="0.25">
      <c r="B19" s="42" t="s">
        <v>96</v>
      </c>
      <c r="C19" s="45" t="e">
        <f ca="1">C16-C17</f>
        <v>#REF!</v>
      </c>
      <c r="D19" s="45" t="e">
        <f t="shared" ref="D19:K19" ca="1" si="1">D16-D17</f>
        <v>#REF!</v>
      </c>
      <c r="E19" s="45" t="e">
        <f t="shared" ca="1" si="1"/>
        <v>#REF!</v>
      </c>
      <c r="F19" s="45" t="e">
        <f t="shared" ca="1" si="1"/>
        <v>#REF!</v>
      </c>
      <c r="G19" s="45" t="e">
        <f t="shared" ca="1" si="1"/>
        <v>#REF!</v>
      </c>
      <c r="H19" s="45" t="e">
        <f t="shared" ca="1" si="1"/>
        <v>#REF!</v>
      </c>
      <c r="I19" s="45" t="e">
        <f t="shared" ca="1" si="1"/>
        <v>#REF!</v>
      </c>
      <c r="J19" s="45" t="e">
        <f t="shared" ca="1" si="1"/>
        <v>#REF!</v>
      </c>
      <c r="K19" s="45" t="e">
        <f t="shared" ca="1" si="1"/>
        <v>#REF!</v>
      </c>
      <c r="L19" s="33"/>
    </row>
    <row r="20" spans="2:15" s="27" customFormat="1" x14ac:dyDescent="0.25">
      <c r="B20" s="42" t="s">
        <v>97</v>
      </c>
      <c r="C20" s="493" t="e">
        <f ca="1">ABS(MAX(C16:K16)-MIN(C17:K17))</f>
        <v>#REF!</v>
      </c>
      <c r="D20" s="494"/>
      <c r="E20" s="494"/>
      <c r="F20" s="494"/>
      <c r="G20" s="494"/>
      <c r="H20" s="494"/>
      <c r="I20" s="494"/>
      <c r="J20" s="494"/>
      <c r="K20" s="495"/>
      <c r="L20" s="33"/>
    </row>
    <row r="21" spans="2:15" s="27" customFormat="1" x14ac:dyDescent="0.25">
      <c r="B21" s="42" t="s">
        <v>98</v>
      </c>
      <c r="C21" s="493" t="e">
        <f ca="1">AVERAGE(C18:K18)</f>
        <v>#REF!</v>
      </c>
      <c r="D21" s="494"/>
      <c r="E21" s="494"/>
      <c r="F21" s="494"/>
      <c r="G21" s="494"/>
      <c r="H21" s="494"/>
      <c r="I21" s="494"/>
      <c r="J21" s="494"/>
      <c r="K21" s="495"/>
      <c r="L21" s="33"/>
    </row>
    <row r="22" spans="2:15" s="27" customFormat="1" x14ac:dyDescent="0.25">
      <c r="B22" s="36" t="s">
        <v>99</v>
      </c>
      <c r="C22" s="46" t="e">
        <f ca="1">STDEV(OFFSET(INDEX(Valeurs_Brutes_Dover_3[Connecteur 1],1),COUNT(Valeurs_Brutes_Dover_3[Connecteur 1])-30,0,30))+C5+C6</f>
        <v>#REF!</v>
      </c>
      <c r="D22" s="46" t="e">
        <f ca="1">STDEV(OFFSET(INDEX(Valeurs_Brutes_Dover_3[Connecteur 2],1),COUNT(Valeurs_Brutes_Dover_3[Connecteur 2])-30,0,30))+D5+D6</f>
        <v>#REF!</v>
      </c>
      <c r="E22" s="46" t="e">
        <f ca="1">STDEV(OFFSET(INDEX(Valeurs_Brutes_Dover_3[Connecteur 3],1),COUNT(Valeurs_Brutes_Dover_3[Connecteur 3])-30,0,30))+E5+E6</f>
        <v>#REF!</v>
      </c>
      <c r="F22" s="46" t="e">
        <f ca="1">STDEV(OFFSET(INDEX(Valeurs_Brutes_Dover_3[Connecteur 4],1),COUNT(Valeurs_Brutes_Dover_3[Connecteur 4])-30,0,30))+F5+F6</f>
        <v>#REF!</v>
      </c>
      <c r="G22" s="46" t="e">
        <f ca="1">STDEV(OFFSET(INDEX(Valeurs_Brutes_Dover_3[Connecteur 5],1),COUNT(Valeurs_Brutes_Dover_3[Connecteur 5])-30,0,30))+G5+G6</f>
        <v>#REF!</v>
      </c>
      <c r="H22" s="46" t="e">
        <f ca="1">STDEV(OFFSET(INDEX(Valeurs_Brutes_Dover_3[Connecteur 6],1),COUNT(Valeurs_Brutes_Dover_3[Connecteur 6])-30,0,30))+H5+H6</f>
        <v>#REF!</v>
      </c>
      <c r="I22" s="46" t="e">
        <f ca="1">STDEV(OFFSET(INDEX(Valeurs_Brutes_Dover_3[Connecteur 7],1),COUNT(Valeurs_Brutes_Dover_3[Connecteur 7])-30,0,30))+I5+I6</f>
        <v>#REF!</v>
      </c>
      <c r="J22" s="46" t="e">
        <f ca="1">STDEV(OFFSET(INDEX(Valeurs_Brutes_Dover_3[Connecteur 8],1),COUNT(Valeurs_Brutes_Dover_3[Connecteur 8])-30,0,30))+J5+J6</f>
        <v>#REF!</v>
      </c>
      <c r="K22" s="46" t="e">
        <f ca="1">STDEV(OFFSET(INDEX(Valeurs_Brutes_Dover_3[Connecteur 9],1),COUNT(Valeurs_Brutes_Dover_3[Connecteur 9])-30,0,30))+K5+K6</f>
        <v>#REF!</v>
      </c>
      <c r="L22" s="33"/>
    </row>
  </sheetData>
  <sheetProtection algorithmName="SHA-512" hashValue="vU8tzSb74GGgATZ4ZcGRNryQ4IkakLSdHz6Z5yOf5fb5y2Tx5syEZY3qYdYOGDdusV5VmCaBIIKVWY3frq4k3A==" saltValue="IkAjBtYKHKXUT2M/yrl9hg==" spinCount="100000" sheet="1" objects="1" scenarios="1"/>
  <mergeCells count="4">
    <mergeCell ref="C21:K21"/>
    <mergeCell ref="C20:K20"/>
    <mergeCell ref="A1:O3"/>
    <mergeCell ref="A13:XFD13"/>
  </mergeCells>
  <conditionalFormatting sqref="C16:K16">
    <cfRule type="cellIs" dxfId="12" priority="3" operator="greaterThan">
      <formula>$L$16</formula>
    </cfRule>
  </conditionalFormatting>
  <conditionalFormatting sqref="C17:K17">
    <cfRule type="cellIs" dxfId="11" priority="4" operator="lessThan">
      <formula>$L$17</formula>
    </cfRule>
  </conditionalFormatting>
  <conditionalFormatting sqref="C15:K15">
    <cfRule type="cellIs" dxfId="10" priority="1" operator="greaterThan">
      <formula>$L$16</formula>
    </cfRule>
  </conditionalFormatting>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369" zoomScale="70" zoomScaleNormal="100" zoomScaleSheetLayoutView="70" zoomScalePageLayoutView="60" workbookViewId="0">
      <selection activeCell="H404" sqref="H404"/>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502" t="s">
        <v>251</v>
      </c>
      <c r="C4" s="503"/>
      <c r="D4" s="503"/>
      <c r="E4" s="503"/>
      <c r="F4" s="503"/>
    </row>
    <row r="5" spans="2:9" ht="26.25" x14ac:dyDescent="0.25">
      <c r="B5" s="503"/>
      <c r="C5" s="503"/>
      <c r="D5" s="503"/>
      <c r="E5" s="503"/>
      <c r="F5" s="503"/>
      <c r="G5" s="88"/>
      <c r="H5" s="88"/>
      <c r="I5" s="89"/>
    </row>
    <row r="6" spans="2:9" ht="58.5" customHeight="1" x14ac:dyDescent="0.25">
      <c r="B6" s="503"/>
      <c r="C6" s="503"/>
      <c r="D6" s="503"/>
      <c r="E6" s="503"/>
      <c r="F6" s="503"/>
    </row>
    <row r="10" spans="2:9" ht="21" x14ac:dyDescent="0.25">
      <c r="C10" s="383" t="s">
        <v>138</v>
      </c>
      <c r="D10" s="383"/>
      <c r="E10" s="476">
        <f>Mesures_Dover!D5</f>
        <v>0</v>
      </c>
      <c r="F10" s="476"/>
    </row>
    <row r="11" spans="2:9" ht="21" x14ac:dyDescent="0.25">
      <c r="C11" s="90"/>
      <c r="D11" s="90"/>
      <c r="E11" s="91"/>
      <c r="F11" s="91"/>
    </row>
    <row r="12" spans="2:9" x14ac:dyDescent="0.25">
      <c r="C12" s="92" t="s">
        <v>1</v>
      </c>
      <c r="D12" s="147">
        <f>Mesures_Dover!C7</f>
        <v>0</v>
      </c>
      <c r="F12" s="92" t="s">
        <v>18</v>
      </c>
      <c r="G12" s="147">
        <f>Mesures_Dover!G7</f>
        <v>0</v>
      </c>
    </row>
    <row r="13" spans="2:9" ht="15.75" x14ac:dyDescent="0.25">
      <c r="C13" s="94" t="s">
        <v>2</v>
      </c>
      <c r="D13" s="148">
        <f>Mesures_Dover!C8</f>
        <v>0</v>
      </c>
      <c r="F13" s="96" t="s">
        <v>19</v>
      </c>
      <c r="G13" s="148">
        <f>Mesures_Dover!G8</f>
        <v>0</v>
      </c>
    </row>
    <row r="14" spans="2:9" ht="15.75" x14ac:dyDescent="0.25">
      <c r="C14" s="97"/>
      <c r="D14" s="98"/>
      <c r="G14" s="99"/>
    </row>
    <row r="15" spans="2:9" ht="15.75" x14ac:dyDescent="0.25">
      <c r="C15" s="100" t="s">
        <v>139</v>
      </c>
      <c r="D15" s="101">
        <f>Mesures_Dover!C14</f>
        <v>0</v>
      </c>
      <c r="F15" s="92" t="s">
        <v>140</v>
      </c>
      <c r="G15" s="9">
        <f>Mesures_Dover!C15</f>
        <v>0</v>
      </c>
    </row>
    <row r="16" spans="2:9" ht="15.75" x14ac:dyDescent="0.25">
      <c r="C16" s="100" t="s">
        <v>141</v>
      </c>
      <c r="D16" s="103">
        <f>Mesures_Dover!G11</f>
        <v>15</v>
      </c>
      <c r="F16" s="92" t="s">
        <v>142</v>
      </c>
      <c r="G16" s="9">
        <f>Mesures_Dover!G12</f>
        <v>0</v>
      </c>
    </row>
    <row r="17" spans="1:9" ht="15.75" x14ac:dyDescent="0.25">
      <c r="C17" s="97"/>
      <c r="D17" s="98"/>
      <c r="F17" s="97"/>
      <c r="G17" s="1"/>
    </row>
    <row r="18" spans="1:9" ht="15.75" x14ac:dyDescent="0.25">
      <c r="C18" s="100" t="s">
        <v>143</v>
      </c>
      <c r="D18" s="149">
        <f>Mesures_Dover!C11</f>
        <v>0</v>
      </c>
      <c r="F18" s="92" t="s">
        <v>144</v>
      </c>
      <c r="G18" s="156">
        <f>Mesures_Dover!G10</f>
        <v>0</v>
      </c>
    </row>
    <row r="19" spans="1:9" ht="15.75" x14ac:dyDescent="0.25">
      <c r="C19" s="94" t="s">
        <v>145</v>
      </c>
      <c r="D19" s="149">
        <f>Mesures_Dover!C11</f>
        <v>0</v>
      </c>
    </row>
    <row r="20" spans="1:9" ht="15.75" x14ac:dyDescent="0.25">
      <c r="C20" s="97"/>
      <c r="D20" s="98"/>
    </row>
    <row r="21" spans="1:9" ht="15.75" x14ac:dyDescent="0.25">
      <c r="C21" s="97"/>
      <c r="D21" s="98"/>
    </row>
    <row r="28" spans="1:9" ht="36" x14ac:dyDescent="0.55000000000000004">
      <c r="A28" s="464" t="s">
        <v>146</v>
      </c>
      <c r="B28" s="464"/>
    </row>
    <row r="30" spans="1:9" x14ac:dyDescent="0.25">
      <c r="A30" s="385" t="s">
        <v>252</v>
      </c>
      <c r="B30" s="385"/>
      <c r="C30" s="385"/>
      <c r="D30" s="385"/>
      <c r="E30" s="385"/>
      <c r="F30" s="385"/>
      <c r="G30" s="385"/>
      <c r="H30" s="385"/>
      <c r="I30" s="385"/>
    </row>
    <row r="31" spans="1:9" x14ac:dyDescent="0.25">
      <c r="A31" s="385"/>
      <c r="B31" s="385"/>
      <c r="C31" s="385"/>
      <c r="D31" s="385"/>
      <c r="E31" s="385"/>
      <c r="F31" s="385"/>
      <c r="G31" s="385"/>
      <c r="H31" s="385"/>
      <c r="I31" s="385"/>
    </row>
    <row r="32" spans="1:9" x14ac:dyDescent="0.25">
      <c r="A32" s="385"/>
      <c r="B32" s="385"/>
      <c r="C32" s="385"/>
      <c r="D32" s="385"/>
      <c r="E32" s="385"/>
      <c r="F32" s="385"/>
      <c r="G32" s="385"/>
      <c r="H32" s="385"/>
      <c r="I32" s="385"/>
    </row>
    <row r="33" spans="1:9" x14ac:dyDescent="0.25">
      <c r="A33" s="385"/>
      <c r="B33" s="385"/>
      <c r="C33" s="385"/>
      <c r="D33" s="385"/>
      <c r="E33" s="385"/>
      <c r="F33" s="385"/>
      <c r="G33" s="385"/>
      <c r="H33" s="385"/>
      <c r="I33" s="385"/>
    </row>
    <row r="34" spans="1:9" x14ac:dyDescent="0.25">
      <c r="A34" s="385"/>
      <c r="B34" s="385"/>
      <c r="C34" s="385"/>
      <c r="D34" s="385"/>
      <c r="E34" s="385"/>
      <c r="F34" s="385"/>
      <c r="G34" s="385"/>
      <c r="H34" s="385"/>
      <c r="I34" s="385"/>
    </row>
    <row r="35" spans="1:9" x14ac:dyDescent="0.25">
      <c r="A35" s="385"/>
      <c r="B35" s="385"/>
      <c r="C35" s="385"/>
      <c r="D35" s="385"/>
      <c r="E35" s="385"/>
      <c r="F35" s="385"/>
      <c r="G35" s="385"/>
      <c r="H35" s="385"/>
      <c r="I35" s="385"/>
    </row>
    <row r="36" spans="1:9" x14ac:dyDescent="0.25">
      <c r="A36" s="385"/>
      <c r="B36" s="385"/>
      <c r="C36" s="385"/>
      <c r="D36" s="385"/>
      <c r="E36" s="385"/>
      <c r="F36" s="385"/>
      <c r="G36" s="385"/>
      <c r="H36" s="385"/>
      <c r="I36" s="385"/>
    </row>
    <row r="37" spans="1:9" x14ac:dyDescent="0.25">
      <c r="A37" s="385"/>
      <c r="B37" s="385"/>
      <c r="C37" s="385"/>
      <c r="D37" s="385"/>
      <c r="E37" s="385"/>
      <c r="F37" s="385"/>
      <c r="G37" s="385"/>
      <c r="H37" s="385"/>
      <c r="I37" s="385"/>
    </row>
    <row r="38" spans="1:9" x14ac:dyDescent="0.25">
      <c r="A38" s="385"/>
      <c r="B38" s="385"/>
      <c r="C38" s="385"/>
      <c r="D38" s="385"/>
      <c r="E38" s="385"/>
      <c r="F38" s="385"/>
      <c r="G38" s="385"/>
      <c r="H38" s="385"/>
      <c r="I38" s="385"/>
    </row>
    <row r="39" spans="1:9" x14ac:dyDescent="0.25">
      <c r="A39" s="385"/>
      <c r="B39" s="385"/>
      <c r="C39" s="385"/>
      <c r="D39" s="385"/>
      <c r="E39" s="385"/>
      <c r="F39" s="385"/>
      <c r="G39" s="385"/>
      <c r="H39" s="385"/>
      <c r="I39" s="385"/>
    </row>
    <row r="40" spans="1:9" x14ac:dyDescent="0.25">
      <c r="A40" s="385"/>
      <c r="B40" s="385"/>
      <c r="C40" s="385"/>
      <c r="D40" s="385"/>
      <c r="E40" s="385"/>
      <c r="F40" s="385"/>
      <c r="G40" s="385"/>
      <c r="H40" s="385"/>
      <c r="I40" s="385"/>
    </row>
    <row r="41" spans="1:9" x14ac:dyDescent="0.25">
      <c r="A41" s="385"/>
      <c r="B41" s="385"/>
      <c r="C41" s="385"/>
      <c r="D41" s="385"/>
      <c r="E41" s="385"/>
      <c r="F41" s="385"/>
      <c r="G41" s="385"/>
      <c r="H41" s="385"/>
      <c r="I41" s="385"/>
    </row>
    <row r="42" spans="1:9" x14ac:dyDescent="0.25">
      <c r="A42" s="385"/>
      <c r="B42" s="385"/>
      <c r="C42" s="385"/>
      <c r="D42" s="385"/>
      <c r="E42" s="385"/>
      <c r="F42" s="385"/>
      <c r="G42" s="385"/>
      <c r="H42" s="385"/>
      <c r="I42" s="385"/>
    </row>
    <row r="43" spans="1:9" x14ac:dyDescent="0.25">
      <c r="A43" s="385"/>
      <c r="B43" s="385"/>
      <c r="C43" s="385"/>
      <c r="D43" s="385"/>
      <c r="E43" s="385"/>
      <c r="F43" s="385"/>
      <c r="G43" s="385"/>
      <c r="H43" s="385"/>
      <c r="I43" s="385"/>
    </row>
    <row r="44" spans="1:9" x14ac:dyDescent="0.25">
      <c r="A44" s="385"/>
      <c r="B44" s="385"/>
      <c r="C44" s="385"/>
      <c r="D44" s="385"/>
      <c r="E44" s="385"/>
      <c r="F44" s="385"/>
      <c r="G44" s="385"/>
      <c r="H44" s="385"/>
      <c r="I44" s="385"/>
    </row>
    <row r="45" spans="1:9" x14ac:dyDescent="0.25">
      <c r="A45" s="385"/>
      <c r="B45" s="385"/>
      <c r="C45" s="385"/>
      <c r="D45" s="385"/>
      <c r="E45" s="385"/>
      <c r="F45" s="385"/>
      <c r="G45" s="385"/>
      <c r="H45" s="385"/>
      <c r="I45" s="385"/>
    </row>
    <row r="46" spans="1:9" x14ac:dyDescent="0.25">
      <c r="A46" s="385"/>
      <c r="B46" s="385"/>
      <c r="C46" s="385"/>
      <c r="D46" s="385"/>
      <c r="E46" s="385"/>
      <c r="F46" s="385"/>
      <c r="G46" s="385"/>
      <c r="H46" s="385"/>
      <c r="I46" s="385"/>
    </row>
    <row r="47" spans="1:9" x14ac:dyDescent="0.25">
      <c r="A47" s="385"/>
      <c r="B47" s="385"/>
      <c r="C47" s="385"/>
      <c r="D47" s="385"/>
      <c r="E47" s="385"/>
      <c r="F47" s="385"/>
      <c r="G47" s="385"/>
      <c r="H47" s="385"/>
      <c r="I47" s="385"/>
    </row>
    <row r="51" spans="2:6" ht="36" x14ac:dyDescent="0.25">
      <c r="C51" s="466" t="s">
        <v>148</v>
      </c>
      <c r="D51" s="466"/>
      <c r="E51" s="466"/>
      <c r="F51" s="466"/>
    </row>
    <row r="52" spans="2:6" ht="17.25" x14ac:dyDescent="0.25">
      <c r="B52" s="105"/>
    </row>
    <row r="53" spans="2:6" ht="18.75" x14ac:dyDescent="0.25">
      <c r="B53" s="164" t="s">
        <v>253</v>
      </c>
      <c r="C53" s="165"/>
      <c r="E53" s="166"/>
      <c r="F53" s="166"/>
    </row>
    <row r="54" spans="2:6" ht="15.75" x14ac:dyDescent="0.25">
      <c r="C54" s="166"/>
      <c r="D54" s="166"/>
      <c r="E54" s="166"/>
      <c r="F54" s="166"/>
    </row>
    <row r="55" spans="2:6" ht="18.75" x14ac:dyDescent="0.25">
      <c r="B55" s="386" t="s">
        <v>254</v>
      </c>
      <c r="C55" s="386"/>
      <c r="D55" s="166"/>
      <c r="E55" s="166"/>
      <c r="F55" s="167" t="s">
        <v>255</v>
      </c>
    </row>
    <row r="56" spans="2:6" ht="15.75" x14ac:dyDescent="0.25">
      <c r="B56" s="158" t="s">
        <v>256</v>
      </c>
      <c r="C56" s="158" t="s">
        <v>257</v>
      </c>
      <c r="E56" s="166"/>
      <c r="F56" s="166" t="s">
        <v>258</v>
      </c>
    </row>
    <row r="57" spans="2:6" ht="15.75" x14ac:dyDescent="0.25">
      <c r="B57" s="158" t="s">
        <v>259</v>
      </c>
      <c r="C57" s="158" t="s">
        <v>260</v>
      </c>
      <c r="E57" s="166"/>
      <c r="F57" s="166" t="s">
        <v>261</v>
      </c>
    </row>
    <row r="58" spans="2:6" ht="15.75" x14ac:dyDescent="0.25">
      <c r="B58" s="158" t="s">
        <v>262</v>
      </c>
      <c r="C58" t="s">
        <v>263</v>
      </c>
      <c r="E58" s="166"/>
      <c r="F58" s="166" t="s">
        <v>264</v>
      </c>
    </row>
    <row r="59" spans="2:6" ht="15.75" x14ac:dyDescent="0.25">
      <c r="B59" s="158" t="s">
        <v>265</v>
      </c>
      <c r="C59" s="158">
        <v>250</v>
      </c>
      <c r="E59" s="166"/>
      <c r="F59" s="166"/>
    </row>
    <row r="60" spans="2:6" ht="15.75" x14ac:dyDescent="0.25">
      <c r="B60" s="158" t="s">
        <v>266</v>
      </c>
      <c r="C60" s="168">
        <v>44158</v>
      </c>
      <c r="E60" s="166"/>
      <c r="F60" s="166"/>
    </row>
    <row r="61" spans="2:6" ht="15.75" x14ac:dyDescent="0.25">
      <c r="B61" s="158" t="s">
        <v>267</v>
      </c>
      <c r="C61" s="158" t="s">
        <v>268</v>
      </c>
      <c r="E61" s="166"/>
      <c r="F61" s="166"/>
    </row>
    <row r="62" spans="2:6" ht="15.75" x14ac:dyDescent="0.25">
      <c r="B62" s="158" t="s">
        <v>269</v>
      </c>
      <c r="C62" s="158" t="s">
        <v>270</v>
      </c>
      <c r="E62" s="166"/>
      <c r="F62" s="166"/>
    </row>
    <row r="63" spans="2:6" ht="15.75" x14ac:dyDescent="0.25">
      <c r="B63" s="158" t="s">
        <v>271</v>
      </c>
      <c r="C63" s="158"/>
    </row>
    <row r="65" spans="2:9" ht="15.75" x14ac:dyDescent="0.25">
      <c r="B65" s="158" t="s">
        <v>272</v>
      </c>
    </row>
    <row r="67" spans="2:9" x14ac:dyDescent="0.25">
      <c r="B67" s="169" t="s">
        <v>273</v>
      </c>
      <c r="C67" s="170" t="s">
        <v>274</v>
      </c>
      <c r="D67" s="171" t="s">
        <v>274</v>
      </c>
    </row>
    <row r="69" spans="2:9" ht="21" x14ac:dyDescent="0.25">
      <c r="B69" s="172" t="s">
        <v>275</v>
      </c>
      <c r="D69" s="107"/>
      <c r="E69" s="107"/>
      <c r="F69" s="107"/>
      <c r="G69" s="107"/>
      <c r="H69" s="107"/>
      <c r="I69" s="108"/>
    </row>
    <row r="70" spans="2:9" x14ac:dyDescent="0.25">
      <c r="B70" s="173" t="s">
        <v>276</v>
      </c>
      <c r="C70" s="173">
        <v>117</v>
      </c>
    </row>
    <row r="71" spans="2:9" x14ac:dyDescent="0.25">
      <c r="B71" s="173" t="s">
        <v>277</v>
      </c>
      <c r="C71" s="174">
        <v>64</v>
      </c>
    </row>
    <row r="72" spans="2:9" x14ac:dyDescent="0.25">
      <c r="B72" s="173" t="s">
        <v>278</v>
      </c>
      <c r="C72" s="173">
        <v>93</v>
      </c>
    </row>
    <row r="73" spans="2:9" x14ac:dyDescent="0.25">
      <c r="B73" s="174" t="s">
        <v>279</v>
      </c>
      <c r="C73" s="173">
        <f>+C70*C71*C72*10^-6</f>
        <v>0.696384</v>
      </c>
    </row>
    <row r="74" spans="2:9" x14ac:dyDescent="0.25">
      <c r="B74" s="89"/>
    </row>
    <row r="75" spans="2:9" x14ac:dyDescent="0.25">
      <c r="B75" s="172" t="s">
        <v>280</v>
      </c>
    </row>
    <row r="76" spans="2:9" x14ac:dyDescent="0.25">
      <c r="B76" s="173" t="s">
        <v>276</v>
      </c>
      <c r="C76" s="173">
        <v>100</v>
      </c>
    </row>
    <row r="77" spans="2:9" x14ac:dyDescent="0.25">
      <c r="B77" s="173" t="s">
        <v>277</v>
      </c>
      <c r="C77" s="174">
        <v>45</v>
      </c>
    </row>
    <row r="78" spans="2:9" x14ac:dyDescent="0.25">
      <c r="B78" s="173" t="s">
        <v>278</v>
      </c>
      <c r="C78" s="173">
        <v>60</v>
      </c>
    </row>
    <row r="79" spans="2:9" x14ac:dyDescent="0.25">
      <c r="B79" s="174" t="s">
        <v>279</v>
      </c>
      <c r="C79" s="173">
        <f>+C76*C77*C78*10^-6</f>
        <v>0.26999999999999996</v>
      </c>
    </row>
    <row r="85" spans="1:9" ht="36" x14ac:dyDescent="0.25">
      <c r="C85" s="466" t="s">
        <v>170</v>
      </c>
      <c r="D85" s="466"/>
      <c r="E85" s="466"/>
      <c r="F85" s="466"/>
      <c r="G85" s="466"/>
    </row>
    <row r="87" spans="1:9" ht="26.25" x14ac:dyDescent="0.25">
      <c r="B87" s="109" t="s">
        <v>171</v>
      </c>
    </row>
    <row r="89" spans="1:9" ht="21" x14ac:dyDescent="0.25">
      <c r="B89" s="107" t="s">
        <v>237</v>
      </c>
      <c r="C89" s="107"/>
      <c r="E89" s="107"/>
      <c r="F89" s="107"/>
      <c r="G89" s="107"/>
      <c r="H89" s="108"/>
    </row>
    <row r="90" spans="1:9" ht="21" x14ac:dyDescent="0.25">
      <c r="B90" s="107" t="s">
        <v>173</v>
      </c>
      <c r="C90" s="107"/>
      <c r="E90" s="107"/>
      <c r="F90" s="107"/>
      <c r="G90" s="107"/>
      <c r="H90" s="108"/>
    </row>
    <row r="91" spans="1:9" ht="21" x14ac:dyDescent="0.25">
      <c r="B91" s="107" t="s">
        <v>238</v>
      </c>
      <c r="C91" s="107"/>
      <c r="E91" s="107"/>
      <c r="F91" s="107"/>
      <c r="G91" s="107"/>
      <c r="H91" s="108"/>
    </row>
    <row r="92" spans="1:9" ht="21" x14ac:dyDescent="0.25">
      <c r="B92" s="107" t="s">
        <v>239</v>
      </c>
      <c r="C92" s="107"/>
      <c r="E92" s="107"/>
      <c r="F92" s="107"/>
      <c r="G92" s="107"/>
      <c r="H92" s="108"/>
    </row>
    <row r="93" spans="1:9" ht="21" x14ac:dyDescent="0.25">
      <c r="B93" s="110"/>
      <c r="C93" s="110"/>
      <c r="E93" s="107"/>
      <c r="F93" s="107"/>
      <c r="G93" s="107"/>
      <c r="H93" s="108"/>
    </row>
    <row r="94" spans="1:9" ht="17.25" x14ac:dyDescent="0.25">
      <c r="A94" s="111"/>
      <c r="C94" s="445" t="s">
        <v>10</v>
      </c>
      <c r="D94" s="455"/>
      <c r="E94" s="455"/>
      <c r="F94" s="455"/>
      <c r="G94" s="455"/>
      <c r="H94" s="446"/>
      <c r="I94" s="111"/>
    </row>
    <row r="95" spans="1:9" ht="30" x14ac:dyDescent="0.25">
      <c r="A95" s="111"/>
      <c r="B95" s="111"/>
      <c r="C95" s="449"/>
      <c r="D95" s="449"/>
      <c r="E95" s="3" t="s">
        <v>15</v>
      </c>
      <c r="F95" s="20" t="s">
        <v>17</v>
      </c>
      <c r="G95" s="20" t="s">
        <v>24</v>
      </c>
      <c r="H95" s="20" t="s">
        <v>25</v>
      </c>
      <c r="I95" s="114"/>
    </row>
    <row r="96" spans="1:9" ht="17.25" x14ac:dyDescent="0.25">
      <c r="A96" s="111"/>
      <c r="B96" s="111"/>
      <c r="C96" s="445" t="str">
        <f>Mesures_Dover!A40</f>
        <v xml:space="preserve">Sonde </v>
      </c>
      <c r="D96" s="446"/>
      <c r="E96" s="10" cm="1">
        <f t="array" ref="E96:H104">Mesures_Dover!C40:F48</f>
        <v>0</v>
      </c>
      <c r="F96" s="10">
        <v>0</v>
      </c>
      <c r="G96" s="10">
        <v>0</v>
      </c>
      <c r="H96" s="10">
        <v>0</v>
      </c>
      <c r="I96" s="111"/>
    </row>
    <row r="97" spans="1:9" ht="17.25" x14ac:dyDescent="0.25">
      <c r="A97" s="111"/>
      <c r="B97" s="111"/>
      <c r="C97" s="445" t="str">
        <f>Mesures_Dover!A41</f>
        <v xml:space="preserve">Sonde </v>
      </c>
      <c r="D97" s="446"/>
      <c r="E97" s="10">
        <v>0</v>
      </c>
      <c r="F97" s="10">
        <v>0</v>
      </c>
      <c r="G97" s="10">
        <v>0</v>
      </c>
      <c r="H97" s="10">
        <v>0</v>
      </c>
      <c r="I97" s="111"/>
    </row>
    <row r="98" spans="1:9" ht="17.25" x14ac:dyDescent="0.25">
      <c r="A98" s="111"/>
      <c r="B98" s="111"/>
      <c r="C98" s="445" t="str">
        <f>Mesures_Dover!A42</f>
        <v xml:space="preserve">Sonde </v>
      </c>
      <c r="D98" s="446"/>
      <c r="E98" s="10">
        <v>0</v>
      </c>
      <c r="F98" s="10">
        <v>0</v>
      </c>
      <c r="G98" s="10">
        <v>0</v>
      </c>
      <c r="H98" s="10">
        <v>0</v>
      </c>
      <c r="I98" s="111"/>
    </row>
    <row r="99" spans="1:9" ht="17.25" x14ac:dyDescent="0.25">
      <c r="A99" s="111"/>
      <c r="B99" s="111"/>
      <c r="C99" s="445" t="str">
        <f>Mesures_Dover!A43</f>
        <v xml:space="preserve">Sonde </v>
      </c>
      <c r="D99" s="446"/>
      <c r="E99" s="10">
        <v>0</v>
      </c>
      <c r="F99" s="10">
        <v>0</v>
      </c>
      <c r="G99" s="10">
        <v>0</v>
      </c>
      <c r="H99" s="10">
        <v>0</v>
      </c>
      <c r="I99" s="111"/>
    </row>
    <row r="100" spans="1:9" ht="17.25" x14ac:dyDescent="0.25">
      <c r="A100" s="111"/>
      <c r="B100" s="111"/>
      <c r="C100" s="445" t="str">
        <f>Mesures_Dover!A44</f>
        <v xml:space="preserve">Sonde </v>
      </c>
      <c r="D100" s="446"/>
      <c r="E100" s="10">
        <v>0</v>
      </c>
      <c r="F100" s="10">
        <v>0</v>
      </c>
      <c r="G100" s="10">
        <v>0</v>
      </c>
      <c r="H100" s="10">
        <v>0</v>
      </c>
      <c r="I100" s="111"/>
    </row>
    <row r="101" spans="1:9" ht="17.25" x14ac:dyDescent="0.25">
      <c r="A101" s="111"/>
      <c r="B101" s="111"/>
      <c r="C101" s="445" t="str">
        <f>Mesures_Dover!A45</f>
        <v xml:space="preserve">Sonde </v>
      </c>
      <c r="D101" s="446"/>
      <c r="E101" s="10">
        <v>0</v>
      </c>
      <c r="F101" s="10">
        <v>0</v>
      </c>
      <c r="G101" s="10">
        <v>0</v>
      </c>
      <c r="H101" s="10">
        <v>0</v>
      </c>
      <c r="I101" s="111"/>
    </row>
    <row r="102" spans="1:9" ht="17.25" x14ac:dyDescent="0.25">
      <c r="A102" s="111"/>
      <c r="B102" s="111"/>
      <c r="C102" s="445" t="str">
        <f>Mesures_Dover!A46</f>
        <v xml:space="preserve">Sonde </v>
      </c>
      <c r="D102" s="446"/>
      <c r="E102" s="10">
        <v>0</v>
      </c>
      <c r="F102" s="10">
        <v>0</v>
      </c>
      <c r="G102" s="10">
        <v>0</v>
      </c>
      <c r="H102" s="10">
        <v>0</v>
      </c>
      <c r="I102" s="111"/>
    </row>
    <row r="103" spans="1:9" ht="17.25" x14ac:dyDescent="0.25">
      <c r="A103" s="111"/>
      <c r="B103" s="111"/>
      <c r="C103" s="445" t="str">
        <f>Mesures_Dover!A47</f>
        <v xml:space="preserve">Sonde </v>
      </c>
      <c r="D103" s="446"/>
      <c r="E103" s="10">
        <v>0</v>
      </c>
      <c r="F103" s="10">
        <v>0</v>
      </c>
      <c r="G103" s="10">
        <v>0</v>
      </c>
      <c r="H103" s="10">
        <v>0</v>
      </c>
      <c r="I103" s="111"/>
    </row>
    <row r="104" spans="1:9" ht="17.25" x14ac:dyDescent="0.25">
      <c r="A104" s="111"/>
      <c r="B104" s="111"/>
      <c r="C104" s="445" t="str">
        <f>Mesures_Dover!A48</f>
        <v xml:space="preserve">Sonde </v>
      </c>
      <c r="D104" s="446"/>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469" t="s">
        <v>176</v>
      </c>
      <c r="C112" s="469"/>
      <c r="D112" s="469"/>
      <c r="E112" s="469"/>
      <c r="F112" s="469"/>
    </row>
    <row r="114" spans="2:9" ht="26.25" x14ac:dyDescent="0.25">
      <c r="B114" s="109" t="s">
        <v>177</v>
      </c>
    </row>
    <row r="115" spans="2:9" ht="21" x14ac:dyDescent="0.3">
      <c r="E115" s="107" t="s">
        <v>178</v>
      </c>
      <c r="F115" s="107"/>
      <c r="G115" s="116">
        <f>Mesures_Dover!K44</f>
        <v>0</v>
      </c>
    </row>
    <row r="116" spans="2:9" ht="21" x14ac:dyDescent="0.3">
      <c r="B116" s="117" t="s">
        <v>179</v>
      </c>
      <c r="C116" s="107" t="s">
        <v>180</v>
      </c>
      <c r="E116" s="107" t="s">
        <v>181</v>
      </c>
      <c r="F116" s="107"/>
      <c r="G116" s="116">
        <f>Mesures_Dover!L44</f>
        <v>0</v>
      </c>
    </row>
    <row r="117" spans="2:9" ht="21" x14ac:dyDescent="0.25">
      <c r="B117" s="117" t="s">
        <v>182</v>
      </c>
      <c r="C117" s="110" t="s">
        <v>183</v>
      </c>
      <c r="E117" s="107" t="s">
        <v>184</v>
      </c>
      <c r="F117" s="107"/>
      <c r="G117" s="118">
        <f>Mesures_Dover!M44</f>
        <v>0</v>
      </c>
    </row>
    <row r="118" spans="2:9" ht="21" x14ac:dyDescent="0.35">
      <c r="B118" s="119" t="s">
        <v>185</v>
      </c>
      <c r="C118" s="120" t="s">
        <v>186</v>
      </c>
      <c r="E118" s="107" t="s">
        <v>187</v>
      </c>
      <c r="F118" s="107"/>
      <c r="G118" s="121" t="e">
        <f>"±" &amp;  SUBSTITUTE(ROUND(AVERAGE(Mesures_Dover!D23:F31),2),"-"," ") &amp; "°C"</f>
        <v>#DIV/0!</v>
      </c>
    </row>
    <row r="123" spans="2:9" ht="36" x14ac:dyDescent="0.25">
      <c r="C123" s="466" t="s">
        <v>188</v>
      </c>
      <c r="D123" s="466"/>
      <c r="E123" s="466"/>
      <c r="F123" s="466"/>
    </row>
    <row r="124" spans="2:9" ht="36" x14ac:dyDescent="0.25">
      <c r="B124" s="104"/>
      <c r="C124" s="104"/>
      <c r="D124" s="104"/>
    </row>
    <row r="125" spans="2:9" x14ac:dyDescent="0.25">
      <c r="B125" s="342"/>
      <c r="C125" s="342"/>
      <c r="D125" s="342"/>
      <c r="E125" s="342"/>
      <c r="F125" s="342"/>
      <c r="G125" s="342"/>
      <c r="H125" s="342"/>
      <c r="I125" s="342"/>
    </row>
    <row r="126" spans="2:9" x14ac:dyDescent="0.25">
      <c r="B126" s="342"/>
      <c r="C126" s="342"/>
      <c r="D126" s="342"/>
      <c r="E126" s="342"/>
      <c r="F126" s="342"/>
      <c r="G126" s="342"/>
      <c r="H126" s="342"/>
      <c r="I126" s="342"/>
    </row>
    <row r="127" spans="2:9" x14ac:dyDescent="0.25">
      <c r="B127" s="342"/>
      <c r="C127" s="342"/>
      <c r="D127" s="342"/>
      <c r="E127" s="342"/>
      <c r="F127" s="342"/>
      <c r="G127" s="342"/>
      <c r="H127" s="342"/>
      <c r="I127" s="342"/>
    </row>
    <row r="128" spans="2:9" x14ac:dyDescent="0.25">
      <c r="B128" s="342"/>
      <c r="C128" s="342"/>
      <c r="D128" s="342"/>
      <c r="E128" s="342"/>
      <c r="F128" s="342"/>
      <c r="G128" s="342"/>
      <c r="H128" s="342"/>
      <c r="I128" s="342"/>
    </row>
    <row r="129" spans="2:9" x14ac:dyDescent="0.25">
      <c r="B129" s="342"/>
      <c r="C129" s="342"/>
      <c r="D129" s="342"/>
      <c r="E129" s="342"/>
      <c r="F129" s="342"/>
      <c r="G129" s="342"/>
      <c r="H129" s="342"/>
      <c r="I129" s="342"/>
    </row>
    <row r="130" spans="2:9" x14ac:dyDescent="0.25">
      <c r="B130" s="342"/>
      <c r="C130" s="342"/>
      <c r="D130" s="342"/>
      <c r="E130" s="342"/>
      <c r="F130" s="342"/>
      <c r="G130" s="342"/>
      <c r="H130" s="342"/>
      <c r="I130" s="342"/>
    </row>
    <row r="131" spans="2:9" x14ac:dyDescent="0.25">
      <c r="B131" s="342"/>
      <c r="C131" s="342"/>
      <c r="D131" s="342"/>
      <c r="E131" s="342"/>
      <c r="F131" s="342"/>
      <c r="G131" s="342"/>
      <c r="H131" s="342"/>
      <c r="I131" s="342"/>
    </row>
    <row r="132" spans="2:9" x14ac:dyDescent="0.25">
      <c r="B132" s="342"/>
      <c r="C132" s="342"/>
      <c r="D132" s="342"/>
      <c r="E132" s="342"/>
      <c r="F132" s="342"/>
      <c r="G132" s="342"/>
      <c r="H132" s="342"/>
      <c r="I132" s="342"/>
    </row>
    <row r="133" spans="2:9" x14ac:dyDescent="0.25">
      <c r="B133" s="342"/>
      <c r="C133" s="342"/>
      <c r="D133" s="342"/>
      <c r="E133" s="342"/>
      <c r="F133" s="342"/>
      <c r="G133" s="342"/>
      <c r="H133" s="342"/>
      <c r="I133" s="342"/>
    </row>
    <row r="134" spans="2:9" x14ac:dyDescent="0.25">
      <c r="B134" s="342"/>
      <c r="C134" s="342"/>
      <c r="D134" s="342"/>
      <c r="E134" s="342"/>
      <c r="F134" s="342"/>
      <c r="G134" s="342"/>
      <c r="H134" s="342"/>
      <c r="I134" s="342"/>
    </row>
    <row r="135" spans="2:9" x14ac:dyDescent="0.25">
      <c r="B135" s="342"/>
      <c r="C135" s="342"/>
      <c r="D135" s="342"/>
      <c r="E135" s="342"/>
      <c r="F135" s="342"/>
      <c r="G135" s="342"/>
      <c r="H135" s="342"/>
      <c r="I135" s="342"/>
    </row>
    <row r="136" spans="2:9" x14ac:dyDescent="0.25">
      <c r="B136" s="342"/>
      <c r="C136" s="342"/>
      <c r="D136" s="342"/>
      <c r="E136" s="342"/>
      <c r="F136" s="342"/>
      <c r="G136" s="342"/>
      <c r="H136" s="342"/>
      <c r="I136" s="342"/>
    </row>
    <row r="137" spans="2:9" x14ac:dyDescent="0.25">
      <c r="B137" s="342"/>
      <c r="C137" s="342"/>
      <c r="D137" s="342"/>
      <c r="E137" s="342"/>
      <c r="F137" s="342"/>
      <c r="G137" s="342"/>
      <c r="H137" s="342"/>
      <c r="I137" s="342"/>
    </row>
    <row r="138" spans="2:9" x14ac:dyDescent="0.25">
      <c r="B138" s="342"/>
      <c r="C138" s="342"/>
      <c r="D138" s="342"/>
      <c r="E138" s="342"/>
      <c r="F138" s="342"/>
      <c r="G138" s="342"/>
      <c r="H138" s="342"/>
      <c r="I138" s="342"/>
    </row>
    <row r="139" spans="2:9" x14ac:dyDescent="0.25">
      <c r="B139" s="342"/>
      <c r="C139" s="342"/>
      <c r="D139" s="342"/>
      <c r="E139" s="342"/>
      <c r="F139" s="342"/>
      <c r="G139" s="342"/>
      <c r="H139" s="342"/>
      <c r="I139" s="342"/>
    </row>
    <row r="140" spans="2:9" x14ac:dyDescent="0.25">
      <c r="B140" s="342"/>
      <c r="C140" s="342"/>
      <c r="D140" s="342"/>
      <c r="E140" s="342"/>
      <c r="F140" s="342"/>
      <c r="G140" s="342"/>
      <c r="H140" s="342"/>
      <c r="I140" s="342"/>
    </row>
    <row r="141" spans="2:9" x14ac:dyDescent="0.25">
      <c r="B141" s="342"/>
      <c r="C141" s="342"/>
      <c r="D141" s="342"/>
      <c r="E141" s="342"/>
      <c r="F141" s="342"/>
      <c r="G141" s="342"/>
      <c r="H141" s="342"/>
      <c r="I141" s="342"/>
    </row>
    <row r="142" spans="2:9" x14ac:dyDescent="0.25">
      <c r="B142" s="342"/>
      <c r="C142" s="342"/>
      <c r="D142" s="342"/>
      <c r="E142" s="342"/>
      <c r="F142" s="342"/>
      <c r="G142" s="342"/>
      <c r="H142" s="342"/>
      <c r="I142" s="342"/>
    </row>
    <row r="143" spans="2:9" x14ac:dyDescent="0.25">
      <c r="B143" s="342"/>
      <c r="C143" s="342"/>
      <c r="D143" s="342"/>
      <c r="E143" s="342"/>
      <c r="F143" s="342"/>
      <c r="G143" s="342"/>
      <c r="H143" s="342"/>
      <c r="I143" s="342"/>
    </row>
    <row r="144" spans="2:9" x14ac:dyDescent="0.25">
      <c r="B144" s="342"/>
      <c r="C144" s="342"/>
      <c r="D144" s="342"/>
      <c r="E144" s="342"/>
      <c r="F144" s="342"/>
      <c r="G144" s="342"/>
      <c r="H144" s="342"/>
      <c r="I144" s="342"/>
    </row>
    <row r="145" spans="2:9" x14ac:dyDescent="0.25">
      <c r="B145" s="342"/>
      <c r="C145" s="342"/>
      <c r="D145" s="342"/>
      <c r="E145" s="342"/>
      <c r="F145" s="342"/>
      <c r="G145" s="342"/>
      <c r="H145" s="342"/>
      <c r="I145" s="342"/>
    </row>
    <row r="146" spans="2:9" x14ac:dyDescent="0.25">
      <c r="B146" s="342"/>
      <c r="C146" s="342"/>
      <c r="D146" s="342"/>
      <c r="E146" s="342"/>
      <c r="F146" s="342"/>
      <c r="G146" s="342"/>
      <c r="H146" s="342"/>
      <c r="I146" s="342"/>
    </row>
    <row r="147" spans="2:9" x14ac:dyDescent="0.25">
      <c r="B147" s="342"/>
      <c r="C147" s="342"/>
      <c r="D147" s="342"/>
      <c r="E147" s="342"/>
      <c r="F147" s="342"/>
      <c r="G147" s="342"/>
      <c r="H147" s="342"/>
      <c r="I147" s="342"/>
    </row>
    <row r="148" spans="2:9" x14ac:dyDescent="0.25">
      <c r="B148" s="342"/>
      <c r="C148" s="342"/>
      <c r="D148" s="342"/>
      <c r="E148" s="342"/>
      <c r="F148" s="342"/>
      <c r="G148" s="342"/>
      <c r="H148" s="342"/>
      <c r="I148" s="342"/>
    </row>
    <row r="149" spans="2:9" x14ac:dyDescent="0.25">
      <c r="B149" s="342"/>
      <c r="C149" s="342"/>
      <c r="D149" s="342"/>
      <c r="E149" s="342"/>
      <c r="F149" s="342"/>
      <c r="G149" s="342"/>
      <c r="H149" s="342"/>
      <c r="I149" s="342"/>
    </row>
    <row r="150" spans="2:9" x14ac:dyDescent="0.25">
      <c r="B150" s="342"/>
      <c r="C150" s="342"/>
      <c r="D150" s="342"/>
      <c r="E150" s="342"/>
      <c r="F150" s="342"/>
      <c r="G150" s="342"/>
      <c r="H150" s="342"/>
      <c r="I150" s="342"/>
    </row>
    <row r="151" spans="2:9" x14ac:dyDescent="0.25">
      <c r="B151" s="342"/>
      <c r="C151" s="342"/>
      <c r="D151" s="342"/>
      <c r="E151" s="342"/>
      <c r="F151" s="342"/>
      <c r="G151" s="342"/>
      <c r="H151" s="342"/>
      <c r="I151" s="342"/>
    </row>
    <row r="152" spans="2:9" x14ac:dyDescent="0.25">
      <c r="B152" s="342"/>
      <c r="C152" s="342"/>
      <c r="D152" s="342"/>
      <c r="E152" s="342"/>
      <c r="F152" s="342"/>
      <c r="G152" s="342"/>
      <c r="H152" s="342"/>
      <c r="I152" s="342"/>
    </row>
    <row r="153" spans="2:9" x14ac:dyDescent="0.25">
      <c r="B153" s="342"/>
      <c r="C153" s="342"/>
      <c r="D153" s="342"/>
      <c r="E153" s="342"/>
      <c r="F153" s="342"/>
      <c r="G153" s="342"/>
      <c r="H153" s="342"/>
      <c r="I153" s="342"/>
    </row>
    <row r="154" spans="2:9" x14ac:dyDescent="0.25">
      <c r="B154" s="342"/>
      <c r="C154" s="342"/>
      <c r="D154" s="342"/>
      <c r="E154" s="342"/>
      <c r="F154" s="342"/>
      <c r="G154" s="342"/>
      <c r="H154" s="342"/>
      <c r="I154" s="342"/>
    </row>
    <row r="155" spans="2:9" x14ac:dyDescent="0.25">
      <c r="B155" s="342"/>
      <c r="C155" s="342"/>
      <c r="D155" s="342"/>
      <c r="E155" s="342"/>
      <c r="F155" s="342"/>
      <c r="G155" s="342"/>
      <c r="H155" s="342"/>
      <c r="I155" s="342"/>
    </row>
    <row r="156" spans="2:9" x14ac:dyDescent="0.25">
      <c r="B156" s="342"/>
      <c r="C156" s="342"/>
      <c r="D156" s="342"/>
      <c r="E156" s="342"/>
      <c r="F156" s="342"/>
      <c r="G156" s="342"/>
      <c r="H156" s="342"/>
      <c r="I156" s="342"/>
    </row>
    <row r="159" spans="2:9" ht="36" x14ac:dyDescent="0.25">
      <c r="C159" s="466" t="s">
        <v>240</v>
      </c>
      <c r="D159" s="466"/>
      <c r="E159" s="466"/>
      <c r="F159" s="466"/>
      <c r="G159" s="466"/>
      <c r="H159" s="466"/>
    </row>
    <row r="162" spans="1:3" ht="15.75" thickBot="1" x14ac:dyDescent="0.3"/>
    <row r="163" spans="1:3" ht="15.75" thickBot="1" x14ac:dyDescent="0.3">
      <c r="A163" s="12" t="s">
        <v>9</v>
      </c>
      <c r="B163" s="13" t="s">
        <v>12</v>
      </c>
      <c r="C163" s="13" t="s">
        <v>14</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466" t="str">
        <f>"6. Résultats et exploitation des résultats à " &amp; Mesures_Dover!B19 &amp; "°C"</f>
        <v>6. Résultats et exploitation des résultats à °C</v>
      </c>
      <c r="D188" s="466"/>
      <c r="E188" s="466"/>
      <c r="F188" s="466"/>
      <c r="G188" s="466"/>
      <c r="H188" s="466"/>
    </row>
    <row r="192" spans="1:9" x14ac:dyDescent="0.25">
      <c r="A192" s="122" t="str" cm="1">
        <f t="array" ref="A192:A193">Mesures_Dover!A19:A20</f>
        <v>Consigne</v>
      </c>
      <c r="B192" s="151" cm="1">
        <f t="array" ref="B192:B193">Mesures_Dover!B19:B20</f>
        <v>0</v>
      </c>
      <c r="G192" s="470" t="s">
        <v>191</v>
      </c>
      <c r="H192" s="471"/>
      <c r="I192" s="472"/>
    </row>
    <row r="193" spans="1:9" x14ac:dyDescent="0.25">
      <c r="A193" s="122" t="str">
        <v>Tolérances +/-</v>
      </c>
      <c r="B193" s="151">
        <v>0</v>
      </c>
      <c r="G193" s="22" t="s">
        <v>192</v>
      </c>
      <c r="H193" s="22" t="s">
        <v>193</v>
      </c>
      <c r="I193" s="22" t="s">
        <v>194</v>
      </c>
    </row>
    <row r="194" spans="1:9" x14ac:dyDescent="0.25">
      <c r="G194" s="125">
        <f>INDEX(Valeurs_Brutes_Dover_1[Date/Heure],1)</f>
        <v>0</v>
      </c>
      <c r="H194" s="125" cm="1">
        <f t="array" ref="H194">INDEX(Valeurs_Brutes_Dover_1[Date/Heure],COUNTA(Valeurs_Brutes_Dover_1[Date/Heure]))</f>
        <v>0</v>
      </c>
      <c r="I194" s="125">
        <f>H194-G194</f>
        <v>0</v>
      </c>
    </row>
    <row r="197" spans="1:9" ht="23.25" x14ac:dyDescent="0.25">
      <c r="B197" s="473" t="s">
        <v>195</v>
      </c>
      <c r="C197" s="473"/>
    </row>
    <row r="200" spans="1:9" ht="30" x14ac:dyDescent="0.25">
      <c r="B200" s="126" t="s">
        <v>196</v>
      </c>
      <c r="C200" s="127" t="s">
        <v>197</v>
      </c>
      <c r="D200" s="127" t="s">
        <v>112</v>
      </c>
      <c r="E200" s="128" t="s">
        <v>198</v>
      </c>
      <c r="F200" s="127" t="s">
        <v>199</v>
      </c>
    </row>
    <row r="201" spans="1:9" x14ac:dyDescent="0.25">
      <c r="B201" s="129" t="s">
        <v>200</v>
      </c>
      <c r="C201" s="130" t="str">
        <f>Mesures_Dover!B19 &amp; "°C"</f>
        <v>°C</v>
      </c>
      <c r="D201" s="130" t="s">
        <v>201</v>
      </c>
      <c r="E201" s="130" t="s">
        <v>201</v>
      </c>
      <c r="F201" s="131" t="s">
        <v>201</v>
      </c>
    </row>
    <row r="202" spans="1:9" x14ac:dyDescent="0.25">
      <c r="B202" s="129" t="s">
        <v>202</v>
      </c>
      <c r="C202" s="130" t="str">
        <f>Mesures_Dover!B19 &amp; "°C"</f>
        <v>°C</v>
      </c>
      <c r="D202" s="130" t="s">
        <v>201</v>
      </c>
      <c r="E202" s="130" t="s">
        <v>201</v>
      </c>
      <c r="F202" s="131" t="s">
        <v>201</v>
      </c>
    </row>
    <row r="203" spans="1:9" x14ac:dyDescent="0.25">
      <c r="A203" s="474" t="s">
        <v>203</v>
      </c>
      <c r="B203" s="129" t="s">
        <v>204</v>
      </c>
      <c r="C203" s="132" t="e">
        <f ca="1">MAX(Dover_1!C16:K16)</f>
        <v>#REF!</v>
      </c>
      <c r="D203" s="130" t="e">
        <f ca="1">_xlfn.XLOOKUP(INT(SUBSTITUTE(E203,"Connecteur ","")),Mesures_Dover!C23:C31,Mesures_Dover!A23:A31)</f>
        <v>#REF!</v>
      </c>
      <c r="E203" s="130" t="e" cm="1">
        <f t="array" aca="1" ref="E203" ca="1">_xlfn.XLOOKUP(MAX(Dover_1!C16:K16),Dover_1!C16:K16,_xlfn.ANCHORARRAY(Dover_1!C14))</f>
        <v>#REF!</v>
      </c>
      <c r="F203" s="130" t="e">
        <f ca="1">_xlfn.XLOOKUP(INT(SUBSTITUTE(E203,"Connecteur ","")),Mesures_Dover!C23:C31,Mesures_Dover!B23:B31)</f>
        <v>#REF!</v>
      </c>
    </row>
    <row r="204" spans="1:9" x14ac:dyDescent="0.25">
      <c r="A204" s="474"/>
      <c r="B204" s="129" t="s">
        <v>205</v>
      </c>
      <c r="C204" s="132" t="e">
        <f ca="1">MIN(Dover_1!C16:K16)</f>
        <v>#REF!</v>
      </c>
      <c r="D204" s="130" t="e">
        <f ca="1">_xlfn.XLOOKUP(INT(SUBSTITUTE(E204,"Connecteur ","")),Mesures_Dover!C23:C31,Mesures_Dover!A23:A31)</f>
        <v>#REF!</v>
      </c>
      <c r="E204" s="130" t="e" cm="1">
        <f t="array" aca="1" ref="E204" ca="1">_xlfn.XLOOKUP(MIN(Dover_1!C16:K16),Dover_1!C16:K16,_xlfn.ANCHORARRAY(Dover_1!C14))</f>
        <v>#REF!</v>
      </c>
      <c r="F204" s="131" t="e">
        <f ca="1">_xlfn.XLOOKUP(INT(SUBSTITUTE(E204,"Connecteur ","")),Mesures_Dover!C23:C31,Mesures_Dover!B23:B31)</f>
        <v>#REF!</v>
      </c>
    </row>
    <row r="205" spans="1:9" x14ac:dyDescent="0.25">
      <c r="A205" s="474"/>
      <c r="B205" s="129" t="s">
        <v>206</v>
      </c>
      <c r="C205" s="132" t="e">
        <f ca="1">MIN(Dover_1!C17:K17)</f>
        <v>#REF!</v>
      </c>
      <c r="D205" s="130" t="e">
        <f ca="1">_xlfn.XLOOKUP(INT(SUBSTITUTE(E205,"Connecteur ","")),Mesures_Dover!C23:C31,Mesures_Dover!A23:A31)</f>
        <v>#REF!</v>
      </c>
      <c r="E205" s="130" t="e">
        <f ca="1">_xlfn.XLOOKUP(MIN(Dover_1!C17:K17),Dover_1!C17:K17,Dover_1!C10:K10)</f>
        <v>#REF!</v>
      </c>
      <c r="F205" s="131" t="e">
        <f ca="1">_xlfn.XLOOKUP(INT(SUBSTITUTE(E205,"Connecteur ","")),Mesures_Dover!C23:C31,Mesures_Dover!B23:B31)</f>
        <v>#REF!</v>
      </c>
    </row>
    <row r="206" spans="1:9" x14ac:dyDescent="0.25">
      <c r="A206" s="474"/>
      <c r="B206" s="129" t="s">
        <v>207</v>
      </c>
      <c r="C206" s="132" t="e">
        <f ca="1">Dover_1!C21</f>
        <v>#REF!</v>
      </c>
      <c r="D206" s="130" t="s">
        <v>201</v>
      </c>
      <c r="E206" s="130" t="s">
        <v>201</v>
      </c>
      <c r="F206" s="131" t="s">
        <v>201</v>
      </c>
    </row>
    <row r="207" spans="1:9" x14ac:dyDescent="0.25">
      <c r="C207" s="89"/>
      <c r="D207" s="89"/>
      <c r="E207" s="89"/>
      <c r="F207" s="89"/>
    </row>
    <row r="218" spans="2:6" ht="36" x14ac:dyDescent="0.25">
      <c r="B218" s="466" t="str">
        <f>"7. Résultats et exploitation des résultats à " &amp; Mesures_Dover!B19 &amp; "°C"</f>
        <v>7. Résultats et exploitation des résultats à °C</v>
      </c>
      <c r="C218" s="466"/>
      <c r="D218" s="466"/>
      <c r="E218" s="466"/>
      <c r="F218" s="466"/>
    </row>
    <row r="221" spans="2:6" x14ac:dyDescent="0.25">
      <c r="B221" s="342" t="s">
        <v>209</v>
      </c>
      <c r="C221" s="342"/>
    </row>
    <row r="225" spans="1:10" x14ac:dyDescent="0.25">
      <c r="A225" s="1"/>
      <c r="B225" s="152" t="str" cm="1">
        <f t="array" ref="B225:J225">Valeurs_Brutes_Dover_1[[#Headers],[Connecteur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91</v>
      </c>
      <c r="B226" s="43" t="e">
        <f ca="1">Dover_1!C16</f>
        <v>#REF!</v>
      </c>
      <c r="C226" s="43" t="e">
        <f ca="1">Dover_1!D16</f>
        <v>#REF!</v>
      </c>
      <c r="D226" s="43" t="e">
        <f ca="1">Dover_1!E16</f>
        <v>#REF!</v>
      </c>
      <c r="E226" s="43" t="e">
        <f ca="1">Dover_1!F16</f>
        <v>#REF!</v>
      </c>
      <c r="F226" s="43" t="e">
        <f ca="1">Dover_1!G16</f>
        <v>#REF!</v>
      </c>
      <c r="G226" s="43" t="e">
        <f ca="1">Dover_1!H16</f>
        <v>#REF!</v>
      </c>
      <c r="H226" s="43" t="e">
        <f ca="1">Dover_1!I16</f>
        <v>#REF!</v>
      </c>
      <c r="I226" s="43" t="e">
        <f ca="1">Dover_1!J16</f>
        <v>#REF!</v>
      </c>
      <c r="J226" s="43" t="e">
        <f ca="1">Dover_1!K16</f>
        <v>#REF!</v>
      </c>
    </row>
    <row r="227" spans="1:10" x14ac:dyDescent="0.25">
      <c r="A227" s="42" t="s">
        <v>93</v>
      </c>
      <c r="B227" s="43" t="e">
        <f ca="1">Dover_1!C17</f>
        <v>#REF!</v>
      </c>
      <c r="C227" s="43" t="e">
        <f ca="1">Dover_1!D17</f>
        <v>#REF!</v>
      </c>
      <c r="D227" s="43" t="e">
        <f ca="1">Dover_1!E17</f>
        <v>#REF!</v>
      </c>
      <c r="E227" s="43" t="e">
        <f ca="1">Dover_1!F17</f>
        <v>#REF!</v>
      </c>
      <c r="F227" s="43" t="e">
        <f ca="1">Dover_1!G17</f>
        <v>#REF!</v>
      </c>
      <c r="G227" s="43" t="e">
        <f ca="1">Dover_1!H17</f>
        <v>#REF!</v>
      </c>
      <c r="H227" s="43" t="e">
        <f ca="1">Dover_1!I17</f>
        <v>#REF!</v>
      </c>
      <c r="I227" s="43" t="e">
        <f ca="1">Dover_1!J17</f>
        <v>#REF!</v>
      </c>
      <c r="J227" s="43" t="e">
        <f ca="1">Dover_1!K17</f>
        <v>#REF!</v>
      </c>
    </row>
    <row r="228" spans="1:10" x14ac:dyDescent="0.25">
      <c r="A228" s="42" t="s">
        <v>95</v>
      </c>
      <c r="B228" s="43" t="e">
        <f ca="1">Dover_1!C18</f>
        <v>#REF!</v>
      </c>
      <c r="C228" s="43" t="e">
        <f ca="1">Dover_1!D18</f>
        <v>#REF!</v>
      </c>
      <c r="D228" s="43" t="e">
        <f ca="1">Dover_1!E18</f>
        <v>#REF!</v>
      </c>
      <c r="E228" s="43" t="e">
        <f ca="1">Dover_1!F18</f>
        <v>#REF!</v>
      </c>
      <c r="F228" s="43" t="e">
        <f ca="1">Dover_1!G18</f>
        <v>#REF!</v>
      </c>
      <c r="G228" s="43" t="e">
        <f ca="1">Dover_1!H18</f>
        <v>#REF!</v>
      </c>
      <c r="H228" s="43" t="e">
        <f ca="1">Dover_1!I18</f>
        <v>#REF!</v>
      </c>
      <c r="I228" s="43" t="e">
        <f ca="1">Dover_1!J18</f>
        <v>#REF!</v>
      </c>
      <c r="J228" s="43" t="e">
        <f ca="1">Dover_1!K18</f>
        <v>#REF!</v>
      </c>
    </row>
    <row r="229" spans="1:10" x14ac:dyDescent="0.25">
      <c r="A229" s="42" t="s">
        <v>96</v>
      </c>
      <c r="B229" s="43" t="e">
        <f ca="1">Dover_1!C19</f>
        <v>#REF!</v>
      </c>
      <c r="C229" s="43" t="e">
        <f ca="1">Dover_1!D19</f>
        <v>#REF!</v>
      </c>
      <c r="D229" s="43" t="e">
        <f ca="1">Dover_1!E19</f>
        <v>#REF!</v>
      </c>
      <c r="E229" s="43" t="e">
        <f ca="1">Dover_1!F19</f>
        <v>#REF!</v>
      </c>
      <c r="F229" s="43" t="e">
        <f ca="1">Dover_1!G19</f>
        <v>#REF!</v>
      </c>
      <c r="G229" s="43" t="e">
        <f ca="1">Dover_1!H19</f>
        <v>#REF!</v>
      </c>
      <c r="H229" s="43" t="e">
        <f ca="1">Dover_1!I19</f>
        <v>#REF!</v>
      </c>
      <c r="I229" s="43" t="e">
        <f ca="1">Dover_1!J19</f>
        <v>#REF!</v>
      </c>
      <c r="J229" s="43" t="e">
        <f ca="1">Dover_1!K19</f>
        <v>#REF!</v>
      </c>
    </row>
    <row r="230" spans="1:10" x14ac:dyDescent="0.25">
      <c r="A230" s="42" t="s">
        <v>97</v>
      </c>
      <c r="B230" s="498" t="e">
        <f ca="1">Dover_1!C20</f>
        <v>#REF!</v>
      </c>
      <c r="C230" s="504"/>
      <c r="D230" s="504"/>
      <c r="E230" s="504"/>
      <c r="F230" s="504"/>
      <c r="G230" s="504"/>
      <c r="H230" s="504"/>
      <c r="I230" s="504"/>
      <c r="J230" s="504"/>
    </row>
    <row r="231" spans="1:10" x14ac:dyDescent="0.25">
      <c r="A231" s="42" t="s">
        <v>98</v>
      </c>
      <c r="B231" s="498" t="e">
        <f ca="1">Dover_1!C21</f>
        <v>#REF!</v>
      </c>
      <c r="C231" s="504"/>
      <c r="D231" s="504"/>
      <c r="E231" s="504"/>
      <c r="F231" s="504"/>
      <c r="G231" s="504"/>
      <c r="H231" s="504"/>
      <c r="I231" s="504"/>
      <c r="J231" s="504"/>
    </row>
    <row r="232" spans="1:10" x14ac:dyDescent="0.25">
      <c r="A232" s="36" t="s">
        <v>99</v>
      </c>
      <c r="B232" s="153" t="e" cm="1">
        <f t="array" aca="1" ref="B232:J232" ca="1">Dover_1!C22:K22</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tr">
        <f>"8. Résultats et exploitation des résultats à " &amp; Mesures_Dover!B19 &amp; "°C"</f>
        <v>8. Résultats et exploitation des résultats à °C</v>
      </c>
      <c r="D246" s="137"/>
      <c r="E246" s="137"/>
      <c r="F246" s="137"/>
    </row>
    <row r="249" spans="2:6" x14ac:dyDescent="0.25">
      <c r="B249" t="s">
        <v>216</v>
      </c>
    </row>
    <row r="284" spans="2:6" ht="36" x14ac:dyDescent="0.25">
      <c r="B284" s="466" t="str">
        <f>"9. Résultats et exploitation des résultats à " &amp; Mesures_Dover!C19 &amp; "°C"</f>
        <v>9. Résultats et exploitation des résultats à °C</v>
      </c>
      <c r="C284" s="466"/>
      <c r="D284" s="466"/>
      <c r="E284" s="466"/>
      <c r="F284" s="466"/>
    </row>
    <row r="291" spans="1:9" x14ac:dyDescent="0.25">
      <c r="A291" s="122" t="s">
        <v>241</v>
      </c>
      <c r="B291" s="151">
        <f>Mesures_Dover!C19</f>
        <v>0</v>
      </c>
      <c r="G291" s="470" t="s">
        <v>191</v>
      </c>
      <c r="H291" s="471"/>
      <c r="I291" s="472"/>
    </row>
    <row r="292" spans="1:9" x14ac:dyDescent="0.25">
      <c r="A292" s="122" t="s">
        <v>242</v>
      </c>
      <c r="B292" s="151">
        <f>Mesures_Dover!B20</f>
        <v>0</v>
      </c>
      <c r="G292" s="22" t="s">
        <v>192</v>
      </c>
      <c r="H292" s="22" t="s">
        <v>193</v>
      </c>
      <c r="I292" s="22" t="s">
        <v>194</v>
      </c>
    </row>
    <row r="293" spans="1:9" x14ac:dyDescent="0.25">
      <c r="G293" s="125">
        <f>INDEX(Valeurs_Brutes_Dover_2[Date/Heure],1)</f>
        <v>0</v>
      </c>
      <c r="H293" s="125" cm="1">
        <f t="array" ref="H293">INDEX(Valeurs_Brutes_Dover_2[Date/Heure],COUNTA(Valeurs_Brutes_Dover_2[Date/Heure]))</f>
        <v>0</v>
      </c>
      <c r="I293" s="125">
        <f>H293-G293</f>
        <v>0</v>
      </c>
    </row>
    <row r="296" spans="1:9" ht="23.25" x14ac:dyDescent="0.25">
      <c r="B296" s="473" t="s">
        <v>195</v>
      </c>
      <c r="C296" s="473"/>
    </row>
    <row r="299" spans="1:9" ht="30" x14ac:dyDescent="0.25">
      <c r="B299" s="126" t="s">
        <v>196</v>
      </c>
      <c r="C299" s="127" t="s">
        <v>197</v>
      </c>
      <c r="D299" s="127" t="s">
        <v>112</v>
      </c>
      <c r="E299" s="128" t="s">
        <v>198</v>
      </c>
      <c r="F299" s="127" t="s">
        <v>199</v>
      </c>
    </row>
    <row r="300" spans="1:9" x14ac:dyDescent="0.25">
      <c r="B300" s="129" t="s">
        <v>200</v>
      </c>
      <c r="C300" s="155" t="str">
        <f>Mesures_Dover!C19 &amp; "°C"</f>
        <v>°C</v>
      </c>
      <c r="D300" s="130" t="s">
        <v>201</v>
      </c>
      <c r="E300" s="130" t="s">
        <v>201</v>
      </c>
      <c r="F300" s="131" t="s">
        <v>201</v>
      </c>
    </row>
    <row r="301" spans="1:9" x14ac:dyDescent="0.25">
      <c r="B301" s="129" t="s">
        <v>202</v>
      </c>
      <c r="C301" s="155" t="str">
        <f>Mesures_Dover!C19 &amp; "°C"</f>
        <v>°C</v>
      </c>
      <c r="D301" s="130" t="s">
        <v>201</v>
      </c>
      <c r="E301" s="130" t="s">
        <v>201</v>
      </c>
      <c r="F301" s="131" t="s">
        <v>201</v>
      </c>
    </row>
    <row r="302" spans="1:9" x14ac:dyDescent="0.25">
      <c r="A302" s="474" t="s">
        <v>203</v>
      </c>
      <c r="B302" s="129" t="s">
        <v>204</v>
      </c>
      <c r="C302" s="132" t="e">
        <f ca="1">MAX(Dover_2!C16:K16)</f>
        <v>#REF!</v>
      </c>
      <c r="D302" s="130" t="e">
        <f ca="1">_xlfn.XLOOKUP(INT(SUBSTITUTE(E302,"Connecteur ","")),Mesures_Dover!C23:C31,Mesures_Dover!A23:A31)</f>
        <v>#REF!</v>
      </c>
      <c r="E302" s="130" t="e" cm="1">
        <f t="array" aca="1" ref="E302" ca="1">_xlfn.XLOOKUP(MAX(Dover_2!C16:K16),Dover_2!C16:K16,_xlfn.ANCHORARRAY(Dover_2!C14))</f>
        <v>#REF!</v>
      </c>
      <c r="F302" s="130" t="e">
        <f ca="1">_xlfn.XLOOKUP(INT(SUBSTITUTE(E302,"Connecteur ","")),Mesures_Dover!C23:C31,Mesures_Dover!B23:B31)</f>
        <v>#REF!</v>
      </c>
    </row>
    <row r="303" spans="1:9" x14ac:dyDescent="0.25">
      <c r="A303" s="474"/>
      <c r="B303" s="129" t="s">
        <v>205</v>
      </c>
      <c r="C303" s="132" t="e">
        <f ca="1">MIN(Dover_2!C16:K16)</f>
        <v>#REF!</v>
      </c>
      <c r="D303" s="130" t="e">
        <f ca="1">_xlfn.XLOOKUP(INT(SUBSTITUTE(E303,"Connecteur ","")),Mesures_Dover!C23:C31,Mesures_Dover!A23:A31)</f>
        <v>#REF!</v>
      </c>
      <c r="E303" s="130" t="e" cm="1">
        <f t="array" aca="1" ref="E303" ca="1">_xlfn.XLOOKUP(MIN(Dover_2!C16:K16),Dover_2!C16:K16,_xlfn.ANCHORARRAY(Dover_2!C14))</f>
        <v>#REF!</v>
      </c>
      <c r="F303" s="131" t="e">
        <f ca="1">_xlfn.XLOOKUP(INT(SUBSTITUTE(E303,"Connecteur ","")),Mesures_Dover!C23:C31,Mesures_Dover!B23:B31)</f>
        <v>#REF!</v>
      </c>
    </row>
    <row r="304" spans="1:9" x14ac:dyDescent="0.25">
      <c r="A304" s="474"/>
      <c r="B304" s="129" t="s">
        <v>206</v>
      </c>
      <c r="C304" s="132" t="e">
        <f ca="1">MIN(Dover_2!C16:K16)</f>
        <v>#REF!</v>
      </c>
      <c r="D304" s="130" t="e">
        <f ca="1">_xlfn.XLOOKUP(INT(SUBSTITUTE(E304,"Connecteur ","")),Mesures_Dover!C23:C31,Mesures_Dover!A23:A31)</f>
        <v>#REF!</v>
      </c>
      <c r="E304" s="130" t="e">
        <f ca="1">_xlfn.XLOOKUP(MIN(Dover_2!C17:K17),Dover_2!C17:K17,Dover_2!C10:K10)</f>
        <v>#REF!</v>
      </c>
      <c r="F304" s="131" t="e">
        <f ca="1">_xlfn.XLOOKUP(INT(SUBSTITUTE(E304,"Connecteur ","")),Mesures_Dover!C23:C31,Mesures_Dover!B23:B31)</f>
        <v>#REF!</v>
      </c>
    </row>
    <row r="305" spans="1:6" x14ac:dyDescent="0.25">
      <c r="A305" s="474"/>
      <c r="B305" s="129" t="s">
        <v>207</v>
      </c>
      <c r="C305" s="132" t="e">
        <f ca="1">AVERAGE(Dover_2!C16:K16)</f>
        <v>#REF!</v>
      </c>
      <c r="D305" s="130" t="s">
        <v>201</v>
      </c>
      <c r="E305" s="130" t="s">
        <v>201</v>
      </c>
      <c r="F305" s="131" t="s">
        <v>201</v>
      </c>
    </row>
    <row r="306" spans="1:6" x14ac:dyDescent="0.25">
      <c r="C306" s="89"/>
      <c r="D306" s="89"/>
      <c r="E306" s="89"/>
      <c r="F306" s="89"/>
    </row>
    <row r="316" spans="1:6" ht="36" x14ac:dyDescent="0.25">
      <c r="B316" s="466" t="str">
        <f>"10. Résultats et exploitation des résultats à " &amp; Mesures_Dover!C19 &amp; "°C"</f>
        <v>10. Résultats et exploitation des résultats à °C</v>
      </c>
      <c r="C316" s="466"/>
      <c r="D316" s="466"/>
      <c r="E316" s="466"/>
      <c r="F316" s="466"/>
    </row>
    <row r="319" spans="1:6" x14ac:dyDescent="0.25">
      <c r="B319" s="342" t="s">
        <v>209</v>
      </c>
      <c r="C319" s="342"/>
    </row>
    <row r="323" spans="1:10" x14ac:dyDescent="0.25">
      <c r="A323" s="1"/>
      <c r="B323" s="152" t="str" cm="1">
        <f t="array" ref="B323:J323">Valeurs_Brutes_Dover_2[[#Headers],[Connecteur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91</v>
      </c>
      <c r="B324" s="43" t="e" cm="1">
        <f t="array" aca="1" ref="B324:J327" ca="1">Dover_2!C16:K19</f>
        <v>#REF!</v>
      </c>
      <c r="C324" s="43" t="e">
        <f ca="1"/>
        <v>#REF!</v>
      </c>
      <c r="D324" s="43" t="e">
        <f ca="1"/>
        <v>#REF!</v>
      </c>
      <c r="E324" s="43" t="e">
        <f ca="1"/>
        <v>#REF!</v>
      </c>
      <c r="F324" s="43" t="e">
        <f ca="1"/>
        <v>#REF!</v>
      </c>
      <c r="G324" s="43" t="e">
        <f ca="1"/>
        <v>#REF!</v>
      </c>
      <c r="H324" s="43" t="e">
        <f ca="1"/>
        <v>#REF!</v>
      </c>
      <c r="I324" s="43" t="e">
        <f ca="1"/>
        <v>#REF!</v>
      </c>
      <c r="J324" s="43" t="e">
        <f ca="1"/>
        <v>#REF!</v>
      </c>
    </row>
    <row r="325" spans="1:10" x14ac:dyDescent="0.25">
      <c r="A325" s="42" t="s">
        <v>93</v>
      </c>
      <c r="B325" s="43" t="e">
        <f ca="1"/>
        <v>#REF!</v>
      </c>
      <c r="C325" s="43" t="e">
        <f ca="1"/>
        <v>#REF!</v>
      </c>
      <c r="D325" s="43" t="e">
        <f ca="1"/>
        <v>#REF!</v>
      </c>
      <c r="E325" s="43" t="e">
        <f ca="1"/>
        <v>#REF!</v>
      </c>
      <c r="F325" s="43" t="e">
        <f ca="1"/>
        <v>#REF!</v>
      </c>
      <c r="G325" s="43" t="e">
        <f ca="1"/>
        <v>#REF!</v>
      </c>
      <c r="H325" s="43" t="e">
        <f ca="1"/>
        <v>#REF!</v>
      </c>
      <c r="I325" s="43" t="e">
        <f ca="1"/>
        <v>#REF!</v>
      </c>
      <c r="J325" s="43" t="e">
        <f ca="1"/>
        <v>#REF!</v>
      </c>
    </row>
    <row r="326" spans="1:10" x14ac:dyDescent="0.25">
      <c r="A326" s="42" t="s">
        <v>95</v>
      </c>
      <c r="B326" s="43" t="e">
        <f ca="1"/>
        <v>#REF!</v>
      </c>
      <c r="C326" s="43" t="e">
        <f ca="1"/>
        <v>#REF!</v>
      </c>
      <c r="D326" s="43" t="e">
        <f ca="1"/>
        <v>#REF!</v>
      </c>
      <c r="E326" s="43" t="e">
        <f ca="1"/>
        <v>#REF!</v>
      </c>
      <c r="F326" s="43" t="e">
        <f ca="1"/>
        <v>#REF!</v>
      </c>
      <c r="G326" s="43" t="e">
        <f ca="1"/>
        <v>#REF!</v>
      </c>
      <c r="H326" s="43" t="e">
        <f ca="1"/>
        <v>#REF!</v>
      </c>
      <c r="I326" s="43" t="e">
        <f ca="1"/>
        <v>#REF!</v>
      </c>
      <c r="J326" s="43" t="e">
        <f ca="1"/>
        <v>#REF!</v>
      </c>
    </row>
    <row r="327" spans="1:10" x14ac:dyDescent="0.25">
      <c r="A327" s="42" t="s">
        <v>96</v>
      </c>
      <c r="B327" s="43" t="e">
        <f ca="1"/>
        <v>#REF!</v>
      </c>
      <c r="C327" s="43" t="e">
        <f ca="1"/>
        <v>#REF!</v>
      </c>
      <c r="D327" s="43" t="e">
        <f ca="1"/>
        <v>#REF!</v>
      </c>
      <c r="E327" s="43" t="e">
        <f ca="1"/>
        <v>#REF!</v>
      </c>
      <c r="F327" s="43" t="e">
        <f ca="1"/>
        <v>#REF!</v>
      </c>
      <c r="G327" s="43" t="e">
        <f ca="1"/>
        <v>#REF!</v>
      </c>
      <c r="H327" s="43" t="e">
        <f ca="1"/>
        <v>#REF!</v>
      </c>
      <c r="I327" s="43" t="e">
        <f ca="1"/>
        <v>#REF!</v>
      </c>
      <c r="J327" s="43" t="e">
        <f ca="1"/>
        <v>#REF!</v>
      </c>
    </row>
    <row r="328" spans="1:10" x14ac:dyDescent="0.25">
      <c r="A328" s="42" t="s">
        <v>97</v>
      </c>
      <c r="B328" s="498" t="e">
        <f ca="1">Dover_2!C20</f>
        <v>#REF!</v>
      </c>
      <c r="C328" s="504"/>
      <c r="D328" s="504"/>
      <c r="E328" s="504"/>
      <c r="F328" s="504"/>
      <c r="G328" s="504"/>
      <c r="H328" s="504"/>
      <c r="I328" s="504"/>
      <c r="J328" s="504"/>
    </row>
    <row r="329" spans="1:10" x14ac:dyDescent="0.25">
      <c r="A329" s="42" t="s">
        <v>98</v>
      </c>
      <c r="B329" s="498" t="e">
        <f ca="1">Dover_2!C21</f>
        <v>#REF!</v>
      </c>
      <c r="C329" s="504"/>
      <c r="D329" s="504"/>
      <c r="E329" s="504"/>
      <c r="F329" s="504"/>
      <c r="G329" s="504"/>
      <c r="H329" s="504"/>
      <c r="I329" s="504"/>
      <c r="J329" s="504"/>
    </row>
    <row r="330" spans="1:10" x14ac:dyDescent="0.25">
      <c r="A330" s="36" t="s">
        <v>99</v>
      </c>
      <c r="B330" s="153" t="e" cm="1">
        <f t="array" aca="1" ref="B330:J330" ca="1">Dover_2!C22:K22</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tr">
        <f>"11. Résultats et exploitation des résultats à " &amp; Mesures_Dover!C19 &amp; "°C"</f>
        <v>11. Résultats et exploitation des résultats à °C</v>
      </c>
      <c r="D342" s="137"/>
      <c r="E342" s="137"/>
      <c r="F342" s="137"/>
    </row>
    <row r="345" spans="2:6" x14ac:dyDescent="0.25">
      <c r="B345" t="s">
        <v>216</v>
      </c>
    </row>
    <row r="395" spans="3:3" ht="36" x14ac:dyDescent="0.25">
      <c r="C395" s="136" t="str">
        <f>"12. Résultats et exploitation des résultats à " &amp; Mesures_Dover!D19 &amp; "°C"</f>
        <v>12. Résultats et exploitation des résultats à °C</v>
      </c>
    </row>
    <row r="401" spans="1:9" x14ac:dyDescent="0.25">
      <c r="A401" s="122" t="s">
        <v>241</v>
      </c>
      <c r="B401" s="124">
        <v>150</v>
      </c>
      <c r="G401" s="470" t="s">
        <v>191</v>
      </c>
      <c r="H401" s="471"/>
      <c r="I401" s="472"/>
    </row>
    <row r="402" spans="1:9" x14ac:dyDescent="0.25">
      <c r="A402" s="122" t="s">
        <v>242</v>
      </c>
      <c r="B402" s="151">
        <f>Mesures_Dover!B20</f>
        <v>0</v>
      </c>
      <c r="G402" s="22" t="s">
        <v>192</v>
      </c>
      <c r="H402" s="22" t="s">
        <v>193</v>
      </c>
      <c r="I402" s="22" t="s">
        <v>194</v>
      </c>
    </row>
    <row r="403" spans="1:9" x14ac:dyDescent="0.25">
      <c r="G403" s="125">
        <f>Dover_3!B11</f>
        <v>0</v>
      </c>
      <c r="H403" s="125" cm="1">
        <f t="array" ref="H403">INDEX(Valeurs_Brutes_Dover_3[Date/Heure], COUNTA(Valeurs_Brutes_Dover_3[Connecteur 1]))</f>
        <v>0</v>
      </c>
      <c r="I403" s="125">
        <f>H403-G403</f>
        <v>0</v>
      </c>
    </row>
    <row r="406" spans="1:9" ht="23.25" x14ac:dyDescent="0.25">
      <c r="B406" s="473" t="s">
        <v>195</v>
      </c>
      <c r="C406" s="473"/>
    </row>
    <row r="409" spans="1:9" ht="30" x14ac:dyDescent="0.25">
      <c r="B409" s="126" t="s">
        <v>196</v>
      </c>
      <c r="C409" s="127" t="s">
        <v>197</v>
      </c>
      <c r="D409" s="127" t="s">
        <v>112</v>
      </c>
      <c r="E409" s="128" t="s">
        <v>198</v>
      </c>
      <c r="F409" s="127" t="s">
        <v>199</v>
      </c>
    </row>
    <row r="410" spans="1:9" x14ac:dyDescent="0.25">
      <c r="B410" s="129" t="s">
        <v>200</v>
      </c>
      <c r="C410" s="130" t="str">
        <f>"150°C"</f>
        <v>150°C</v>
      </c>
      <c r="D410" s="130" t="s">
        <v>201</v>
      </c>
      <c r="E410" s="130" t="s">
        <v>201</v>
      </c>
      <c r="F410" s="131" t="s">
        <v>201</v>
      </c>
    </row>
    <row r="411" spans="1:9" x14ac:dyDescent="0.25">
      <c r="B411" s="129" t="s">
        <v>202</v>
      </c>
      <c r="C411" s="130" t="str">
        <f>"150°C"</f>
        <v>150°C</v>
      </c>
      <c r="D411" s="130" t="s">
        <v>201</v>
      </c>
      <c r="E411" s="130" t="s">
        <v>201</v>
      </c>
      <c r="F411" s="131" t="s">
        <v>201</v>
      </c>
    </row>
    <row r="412" spans="1:9" x14ac:dyDescent="0.25">
      <c r="A412" s="474" t="s">
        <v>203</v>
      </c>
      <c r="B412" s="129" t="s">
        <v>204</v>
      </c>
      <c r="C412" s="132" t="e">
        <f ca="1">MAX(Dover_3!C16:K16)</f>
        <v>#REF!</v>
      </c>
      <c r="D412" s="130" t="e">
        <f ca="1">_xlfn.XLOOKUP(INT(SUBSTITUTE(E412,"Connecteur ","")),Mesures_Dover!C23:C31,Mesures_Dover!A23:A31)</f>
        <v>#REF!</v>
      </c>
      <c r="E412" s="130" t="e" cm="1">
        <f t="array" aca="1" ref="E412" ca="1">_xlfn.XLOOKUP(MAX(Dover_3!C16:K16),Dover_3!C16:K16,_xlfn.ANCHORARRAY(Dover_3!C14))</f>
        <v>#REF!</v>
      </c>
      <c r="F412" s="130" t="e">
        <f ca="1">_xlfn.XLOOKUP(INT(SUBSTITUTE(E412,"Connecteur ","")),Mesures_Dover!C23:C31,Mesures_Dover!B23:B31)</f>
        <v>#REF!</v>
      </c>
    </row>
    <row r="413" spans="1:9" x14ac:dyDescent="0.25">
      <c r="A413" s="474"/>
      <c r="B413" s="129" t="s">
        <v>205</v>
      </c>
      <c r="C413" s="132" t="e">
        <f ca="1">MIN(Dover_3!C16:K16)</f>
        <v>#REF!</v>
      </c>
      <c r="D413" s="130" t="e">
        <f ca="1">_xlfn.XLOOKUP(INT(SUBSTITUTE(E413,"Connecteur ","")),Mesures_Dover!C23:C31,Mesures_Dover!A23:A31)</f>
        <v>#REF!</v>
      </c>
      <c r="E413" s="130" t="e" cm="1">
        <f t="array" aca="1" ref="E413" ca="1">_xlfn.XLOOKUP(MIN(Dover_3!C16:K16),Dover_3!C16:K16,_xlfn.ANCHORARRAY(Dover_3!C14))</f>
        <v>#REF!</v>
      </c>
      <c r="F413" s="131" t="e">
        <f ca="1">_xlfn.XLOOKUP(INT(SUBSTITUTE(E413,"Connecteur ","")),Mesures_Dover!C23:C31,Mesures_Dover!B23:B31)</f>
        <v>#REF!</v>
      </c>
    </row>
    <row r="414" spans="1:9" x14ac:dyDescent="0.25">
      <c r="A414" s="474"/>
      <c r="B414" s="129" t="s">
        <v>206</v>
      </c>
      <c r="C414" s="132" t="e">
        <f ca="1">MIN(Dover_3!C17:O17)</f>
        <v>#REF!</v>
      </c>
      <c r="D414" s="130" t="e">
        <f ca="1">_xlfn.XLOOKUP(INT(SUBSTITUTE(E414,"Connecteur ","")),Mesures_Dover!C23:C31,Mesures_Dover!A23:A31)</f>
        <v>#REF!</v>
      </c>
      <c r="E414" s="130" t="e" cm="1">
        <f t="array" aca="1" ref="E414" ca="1">_xlfn.XLOOKUP(MAX(Dover_3!C17:K17),Dover_3!C17:K17,_xlfn.ANCHORARRAY(Dover_3!C14))</f>
        <v>#REF!</v>
      </c>
      <c r="F414" s="131" t="e">
        <f ca="1">_xlfn.XLOOKUP(INT(SUBSTITUTE(E414,"Connecteur ","")),Mesures_Dover!C23:C31,Mesures_Dover!B23:B31)</f>
        <v>#REF!</v>
      </c>
    </row>
    <row r="415" spans="1:9" x14ac:dyDescent="0.25">
      <c r="A415" s="474"/>
      <c r="B415" s="129" t="s">
        <v>207</v>
      </c>
      <c r="C415" s="132" t="e">
        <f ca="1">AVERAGE(Dover_3!C18:O18)</f>
        <v>#REF!</v>
      </c>
      <c r="D415" s="130" t="s">
        <v>201</v>
      </c>
      <c r="E415" s="130" t="s">
        <v>201</v>
      </c>
      <c r="F415" s="131" t="s">
        <v>201</v>
      </c>
    </row>
    <row r="416" spans="1:9" x14ac:dyDescent="0.25">
      <c r="C416" s="89"/>
      <c r="D416" s="89"/>
      <c r="E416" s="89"/>
      <c r="F416" s="89"/>
    </row>
    <row r="425" spans="1:10" ht="36" x14ac:dyDescent="0.25">
      <c r="B425" s="466" t="str">
        <f>"13. Résultats et exploitation des résultats à " &amp; Mesures_Dover!D19 &amp; "°C"</f>
        <v>13. Résultats et exploitation des résultats à °C</v>
      </c>
      <c r="C425" s="466"/>
      <c r="D425" s="466"/>
      <c r="E425" s="466"/>
      <c r="F425" s="466"/>
    </row>
    <row r="428" spans="1:10" x14ac:dyDescent="0.25">
      <c r="B428" s="342" t="s">
        <v>209</v>
      </c>
      <c r="C428" s="342"/>
    </row>
    <row r="432" spans="1:10" x14ac:dyDescent="0.25">
      <c r="A432" s="1"/>
      <c r="B432" s="152" t="str" cm="1">
        <f t="array" ref="B432:J432">Valeurs_Brutes_Dover_3[[#Headers],[Connecteur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91</v>
      </c>
      <c r="B433" s="43" t="e" cm="1">
        <f t="array" aca="1" ref="B433:J436" ca="1">Dover_3!C16:K19</f>
        <v>#REF!</v>
      </c>
      <c r="C433" s="43" t="e">
        <f ca="1"/>
        <v>#REF!</v>
      </c>
      <c r="D433" s="43" t="e">
        <f ca="1"/>
        <v>#REF!</v>
      </c>
      <c r="E433" s="43" t="e">
        <f ca="1"/>
        <v>#REF!</v>
      </c>
      <c r="F433" s="43" t="e">
        <f ca="1"/>
        <v>#REF!</v>
      </c>
      <c r="G433" s="43" t="e">
        <f ca="1"/>
        <v>#REF!</v>
      </c>
      <c r="H433" s="43" t="e">
        <f ca="1"/>
        <v>#REF!</v>
      </c>
      <c r="I433" s="43" t="e">
        <f ca="1"/>
        <v>#REF!</v>
      </c>
      <c r="J433" s="43" t="e">
        <f ca="1"/>
        <v>#REF!</v>
      </c>
    </row>
    <row r="434" spans="1:10" x14ac:dyDescent="0.25">
      <c r="A434" s="42" t="s">
        <v>93</v>
      </c>
      <c r="B434" s="43" t="e">
        <f ca="1"/>
        <v>#REF!</v>
      </c>
      <c r="C434" s="43" t="e">
        <f ca="1"/>
        <v>#REF!</v>
      </c>
      <c r="D434" s="43" t="e">
        <f ca="1"/>
        <v>#REF!</v>
      </c>
      <c r="E434" s="43" t="e">
        <f ca="1"/>
        <v>#REF!</v>
      </c>
      <c r="F434" s="43" t="e">
        <f ca="1"/>
        <v>#REF!</v>
      </c>
      <c r="G434" s="43" t="e">
        <f ca="1"/>
        <v>#REF!</v>
      </c>
      <c r="H434" s="43" t="e">
        <f ca="1"/>
        <v>#REF!</v>
      </c>
      <c r="I434" s="43" t="e">
        <f ca="1"/>
        <v>#REF!</v>
      </c>
      <c r="J434" s="43" t="e">
        <f ca="1"/>
        <v>#REF!</v>
      </c>
    </row>
    <row r="435" spans="1:10" x14ac:dyDescent="0.25">
      <c r="A435" s="42" t="s">
        <v>95</v>
      </c>
      <c r="B435" s="43" t="e">
        <f ca="1"/>
        <v>#REF!</v>
      </c>
      <c r="C435" s="43" t="e">
        <f ca="1"/>
        <v>#REF!</v>
      </c>
      <c r="D435" s="43" t="e">
        <f ca="1"/>
        <v>#REF!</v>
      </c>
      <c r="E435" s="43" t="e">
        <f ca="1"/>
        <v>#REF!</v>
      </c>
      <c r="F435" s="43" t="e">
        <f ca="1"/>
        <v>#REF!</v>
      </c>
      <c r="G435" s="43" t="e">
        <f ca="1"/>
        <v>#REF!</v>
      </c>
      <c r="H435" s="43" t="e">
        <f ca="1"/>
        <v>#REF!</v>
      </c>
      <c r="I435" s="43" t="e">
        <f ca="1"/>
        <v>#REF!</v>
      </c>
      <c r="J435" s="43" t="e">
        <f ca="1"/>
        <v>#REF!</v>
      </c>
    </row>
    <row r="436" spans="1:10" x14ac:dyDescent="0.25">
      <c r="A436" s="42" t="s">
        <v>96</v>
      </c>
      <c r="B436" s="43" t="e">
        <f ca="1"/>
        <v>#REF!</v>
      </c>
      <c r="C436" s="43" t="e">
        <f ca="1"/>
        <v>#REF!</v>
      </c>
      <c r="D436" s="43" t="e">
        <f ca="1"/>
        <v>#REF!</v>
      </c>
      <c r="E436" s="43" t="e">
        <f ca="1"/>
        <v>#REF!</v>
      </c>
      <c r="F436" s="43" t="e">
        <f ca="1"/>
        <v>#REF!</v>
      </c>
      <c r="G436" s="43" t="e">
        <f ca="1"/>
        <v>#REF!</v>
      </c>
      <c r="H436" s="43" t="e">
        <f ca="1"/>
        <v>#REF!</v>
      </c>
      <c r="I436" s="43" t="e">
        <f ca="1"/>
        <v>#REF!</v>
      </c>
      <c r="J436" s="43" t="e">
        <f ca="1"/>
        <v>#REF!</v>
      </c>
    </row>
    <row r="437" spans="1:10" x14ac:dyDescent="0.25">
      <c r="A437" s="42" t="s">
        <v>97</v>
      </c>
      <c r="B437" s="498" t="e">
        <f ca="1">Dover_3!C20</f>
        <v>#REF!</v>
      </c>
      <c r="C437" s="504"/>
      <c r="D437" s="504"/>
      <c r="E437" s="504"/>
      <c r="F437" s="504"/>
      <c r="G437" s="504"/>
      <c r="H437" s="504"/>
      <c r="I437" s="504"/>
      <c r="J437" s="504"/>
    </row>
    <row r="438" spans="1:10" x14ac:dyDescent="0.25">
      <c r="A438" s="42" t="s">
        <v>98</v>
      </c>
      <c r="B438" s="498" t="e">
        <f ca="1">Dover_3!C21</f>
        <v>#REF!</v>
      </c>
      <c r="C438" s="504"/>
      <c r="D438" s="504"/>
      <c r="E438" s="504"/>
      <c r="F438" s="504"/>
      <c r="G438" s="504"/>
      <c r="H438" s="504"/>
      <c r="I438" s="504"/>
      <c r="J438" s="504"/>
    </row>
    <row r="439" spans="1:10" x14ac:dyDescent="0.25">
      <c r="A439" s="36" t="s">
        <v>99</v>
      </c>
      <c r="B439" s="153" t="e" cm="1">
        <f t="array" aca="1" ref="B439:J439" ca="1">Dover_3!C22:K22</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tr">
        <f>"14. Résultats et exploitation des résultats à " &amp; Mesures_Dover!D19 &amp; "°C"</f>
        <v>14. Résultats et exploitation des résultats à °C</v>
      </c>
      <c r="D447" s="137"/>
      <c r="E447" s="137"/>
      <c r="F447" s="137"/>
    </row>
    <row r="450" spans="2:2" x14ac:dyDescent="0.25">
      <c r="B450" t="s">
        <v>216</v>
      </c>
    </row>
    <row r="489" spans="3:3" x14ac:dyDescent="0.25">
      <c r="C489" t="s">
        <v>335</v>
      </c>
    </row>
    <row r="497" spans="3:7" x14ac:dyDescent="0.25">
      <c r="C497" s="129" t="s">
        <v>219</v>
      </c>
      <c r="D497" s="129"/>
      <c r="E497" s="190" t="str">
        <f>Dover_1!O16 &amp; "°C"</f>
        <v>0°C</v>
      </c>
      <c r="F497" s="22" t="str">
        <f>Dover_2!O16 &amp; "°C"</f>
        <v>0°C</v>
      </c>
      <c r="G497" s="22" t="str">
        <f>Dover_3!O16 &amp; "°C"</f>
        <v>0°C</v>
      </c>
    </row>
    <row r="498" spans="3:7" x14ac:dyDescent="0.25">
      <c r="C498" s="461" t="s">
        <v>220</v>
      </c>
      <c r="D498" s="462"/>
      <c r="E498" s="155">
        <f>Dover_1!O16</f>
        <v>0</v>
      </c>
      <c r="F498" s="155">
        <f>Dover_2!O16</f>
        <v>0</v>
      </c>
      <c r="G498" s="155">
        <f>Dover_3!O16</f>
        <v>0</v>
      </c>
    </row>
    <row r="499" spans="3:7" x14ac:dyDescent="0.25">
      <c r="C499" s="461" t="s">
        <v>221</v>
      </c>
      <c r="D499" s="462"/>
      <c r="E499" s="132" t="e">
        <f ca="1">Dover_1!C20</f>
        <v>#REF!</v>
      </c>
      <c r="F499" s="132" t="e">
        <f ca="1">Dover_2!C20</f>
        <v>#REF!</v>
      </c>
      <c r="G499" s="132" t="e">
        <f ca="1">Dover_3!C20</f>
        <v>#REF!</v>
      </c>
    </row>
    <row r="500" spans="3:7" x14ac:dyDescent="0.25">
      <c r="C500" s="461" t="s">
        <v>222</v>
      </c>
      <c r="D500" s="462"/>
      <c r="E500" s="155">
        <f>Mesures_Dover!B20</f>
        <v>0</v>
      </c>
      <c r="F500" s="155">
        <f>Mesures_Dover!B20</f>
        <v>0</v>
      </c>
      <c r="G500" s="155">
        <f>Mesures_Dover!B20</f>
        <v>0</v>
      </c>
    </row>
    <row r="501" spans="3:7" x14ac:dyDescent="0.25">
      <c r="C501" s="461" t="s">
        <v>243</v>
      </c>
      <c r="D501" s="462"/>
      <c r="E501" s="130" t="e">
        <f ca="1">IF(MIN(Dover_1!C17:K17)&lt;Dover_1!L17,"NON CONFORME","CONFORME")</f>
        <v>#REF!</v>
      </c>
      <c r="F501" s="130" t="e">
        <f ca="1">IF(MIN(Dover_2!C17:K17)&lt;Dover_2!L17,"NON CONFORME","CONFORME")</f>
        <v>#REF!</v>
      </c>
      <c r="G501" s="130" t="e">
        <f ca="1">IF(MIN(Dover_3!C17:K17)&lt;Dover_3!L17,"NON CONFORME","CONFORME")</f>
        <v>#REF!</v>
      </c>
    </row>
    <row r="502" spans="3:7" x14ac:dyDescent="0.25">
      <c r="C502" s="461" t="s">
        <v>244</v>
      </c>
      <c r="D502" s="462"/>
      <c r="E502" s="130" t="e">
        <f ca="1">IF(MAX(Dover_1!C16:K16)&gt;Dover_1!L16,"NON CONFORME","CONFORME")</f>
        <v>#REF!</v>
      </c>
      <c r="F502" s="130" t="e">
        <f ca="1">IF(MAX(Dover_2!C16:K16)&gt;Dover_2!L16,"NON CONFORME","CONFORME")</f>
        <v>#REF!</v>
      </c>
      <c r="G502" s="130" t="e">
        <f ca="1">IF(MAX(Dover_3!C16:K16)&gt;Dover_3!L16,"NON CONFORME","CONFORME")</f>
        <v>#REF!</v>
      </c>
    </row>
    <row r="503" spans="3:7" x14ac:dyDescent="0.25">
      <c r="C503" s="461" t="s">
        <v>245</v>
      </c>
      <c r="D503" s="462"/>
      <c r="E503" s="130" t="e">
        <f ca="1">IF(OR(Dover_1!C21&lt;Dover_1!L17,Dover_1!C21&gt;Dover_1!L16),"NON CONFORME","CONFORME")</f>
        <v>#REF!</v>
      </c>
      <c r="F503" s="130" t="e">
        <f ca="1">IF(OR(Dover_2!C21&lt;Dover_2!L17,Dover_2!C21&gt;Dover_2!L16),"NON CONFORME","CONFORME")</f>
        <v>#REF!</v>
      </c>
      <c r="G503" s="130" t="e">
        <f ca="1">IF(OR(Dover_3!C21&lt;Dover_3!L17,Dover_3!C21&gt;Dover_3!L16),"NON CONFORME","CONFORME")</f>
        <v>#REF!</v>
      </c>
    </row>
    <row r="504" spans="3:7" x14ac:dyDescent="0.25">
      <c r="C504" s="461" t="s">
        <v>224</v>
      </c>
      <c r="D504" s="462"/>
      <c r="E504" s="130" t="e">
        <f ca="1">(MAX(Dover_1!C16:K16)- MIN(Dover_1!C17:K17))/2</f>
        <v>#REF!</v>
      </c>
      <c r="F504" s="130" t="e">
        <f ca="1">(MAX(Dover_2!C16:K16)- MIN(Dover_2!C17:K17))/2</f>
        <v>#REF!</v>
      </c>
      <c r="G504" s="130" t="e">
        <f ca="1">(MAX(Dover_3!C16:K16)- MIN(Dover_3!C17:K17))/2</f>
        <v>#REF!</v>
      </c>
    </row>
  </sheetData>
  <sheetProtection algorithmName="SHA-512" hashValue="ErazSVDg7wz3OoSiqeia2FLvVj0GwSOcs2rlKVr0EC/OsrzVRuRi/8FCV5iayHSteHvVzyIB6TQVEEsgnarGWA==" saltValue="MSM/0L6CfsEO4ozvQ5zEsQ==" spinCount="100000" sheet="1" objects="1" scenarios="1"/>
  <dataConsolidate/>
  <mergeCells count="54">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G401:I401"/>
    <mergeCell ref="B218:F218"/>
    <mergeCell ref="A412:A415"/>
    <mergeCell ref="B425:F425"/>
    <mergeCell ref="B428:C428"/>
    <mergeCell ref="A302:A305"/>
    <mergeCell ref="B316:F316"/>
    <mergeCell ref="B319:C319"/>
    <mergeCell ref="B328:J328"/>
    <mergeCell ref="B329:J329"/>
    <mergeCell ref="B221:C221"/>
    <mergeCell ref="G291:I291"/>
    <mergeCell ref="B296:C296"/>
    <mergeCell ref="B125:I140"/>
    <mergeCell ref="C159:H159"/>
    <mergeCell ref="C188:H188"/>
    <mergeCell ref="G192:I192"/>
    <mergeCell ref="B197:C197"/>
    <mergeCell ref="B284:F284"/>
    <mergeCell ref="A203:A206"/>
    <mergeCell ref="B112:F112"/>
    <mergeCell ref="C123:F123"/>
    <mergeCell ref="C99:D99"/>
    <mergeCell ref="C100:D100"/>
    <mergeCell ref="C101:D101"/>
    <mergeCell ref="C102:D102"/>
    <mergeCell ref="C103:D103"/>
    <mergeCell ref="C104:D104"/>
    <mergeCell ref="C98:D98"/>
    <mergeCell ref="B4:F6"/>
    <mergeCell ref="C10:D10"/>
    <mergeCell ref="E10:F10"/>
    <mergeCell ref="A28:B28"/>
    <mergeCell ref="A30:I47"/>
    <mergeCell ref="C51:F51"/>
    <mergeCell ref="C85:G85"/>
    <mergeCell ref="C94:H94"/>
    <mergeCell ref="C95:D95"/>
    <mergeCell ref="C96:D96"/>
    <mergeCell ref="C97:D97"/>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3"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62</vt:i4>
      </vt:variant>
    </vt:vector>
  </HeadingPairs>
  <TitlesOfParts>
    <vt:vector size="109" baseType="lpstr">
      <vt:lpstr>Group-1</vt:lpstr>
      <vt:lpstr>Entete</vt:lpstr>
      <vt:lpstr>Choose_TUS</vt:lpstr>
      <vt:lpstr>Mesures_Four</vt:lpstr>
      <vt:lpstr>transfert 80</vt:lpstr>
      <vt:lpstr>transfert 200</vt:lpstr>
      <vt:lpstr>transfert 385</vt:lpstr>
      <vt:lpstr>transfert 535</vt:lpstr>
      <vt:lpstr>Four 80</vt:lpstr>
      <vt:lpstr>Four 200</vt:lpstr>
      <vt:lpstr>Four 385</vt:lpstr>
      <vt:lpstr>Four 535</vt:lpstr>
      <vt:lpstr>80°C</vt:lpstr>
      <vt:lpstr>200°C</vt:lpstr>
      <vt:lpstr>385°C</vt:lpstr>
      <vt:lpstr>535°C</vt:lpstr>
      <vt:lpstr>Four_PV</vt:lpstr>
      <vt:lpstr>Mesures_Ressuage_BCH</vt:lpstr>
      <vt:lpstr>Donnee_Ressuage_BCH</vt:lpstr>
      <vt:lpstr>Ressuage_BCH</vt:lpstr>
      <vt:lpstr>Ressuage_PV_BCH</vt:lpstr>
      <vt:lpstr>Verif_periodique_Ressuage_BCH</vt:lpstr>
      <vt:lpstr>Mesures_Congel</vt:lpstr>
      <vt:lpstr>Donnee_Congel</vt:lpstr>
      <vt:lpstr>Congel</vt:lpstr>
      <vt:lpstr>Congel_PV</vt:lpstr>
      <vt:lpstr>Verif_periodique_Congel</vt:lpstr>
      <vt:lpstr>Mesures_Sechoir</vt:lpstr>
      <vt:lpstr>Donnee_Sechoir</vt:lpstr>
      <vt:lpstr>Sechoir</vt:lpstr>
      <vt:lpstr>Sechoir_PV</vt:lpstr>
      <vt:lpstr>Mesures_Omia</vt:lpstr>
      <vt:lpstr>Donnee_Omia_1</vt:lpstr>
      <vt:lpstr>Donnee_Omia_2</vt:lpstr>
      <vt:lpstr>Donnee_Omia_3</vt:lpstr>
      <vt:lpstr>Omia_1</vt:lpstr>
      <vt:lpstr>Omia_2</vt:lpstr>
      <vt:lpstr>Omia_3</vt:lpstr>
      <vt:lpstr>Omia_PV</vt:lpstr>
      <vt:lpstr>Mesures_Dover</vt:lpstr>
      <vt:lpstr>Donnee_Dover_1</vt:lpstr>
      <vt:lpstr>Donnee_Dover_2</vt:lpstr>
      <vt:lpstr>Donnee_Dover_3</vt:lpstr>
      <vt:lpstr>Dover_1</vt:lpstr>
      <vt:lpstr>Dover_2</vt:lpstr>
      <vt:lpstr>Dover_3</vt:lpstr>
      <vt:lpstr>Dover_PV</vt:lpstr>
      <vt:lpstr>DerniereLigne200</vt:lpstr>
      <vt:lpstr>DerniereLigne385</vt:lpstr>
      <vt:lpstr>DerniereLigne535</vt:lpstr>
      <vt:lpstr>DerniereLigne80</vt:lpstr>
      <vt:lpstr>Entete_Congel</vt:lpstr>
      <vt:lpstr>Entete_DOVER</vt:lpstr>
      <vt:lpstr>Entete_Etuve_Sechoir</vt:lpstr>
      <vt:lpstr>Entete_OMIA</vt:lpstr>
      <vt:lpstr>Entete_Ressuage_BCH</vt:lpstr>
      <vt:lpstr>Entêtes_Four</vt:lpstr>
      <vt:lpstr>Entêtes_Transfert</vt:lpstr>
      <vt:lpstr>MT1_200</vt:lpstr>
      <vt:lpstr>Congel!MT1_30</vt:lpstr>
      <vt:lpstr>Dover_1!MT1_30</vt:lpstr>
      <vt:lpstr>Dover_2!MT1_30</vt:lpstr>
      <vt:lpstr>Dover_3!MT1_30</vt:lpstr>
      <vt:lpstr>Omia_1!MT1_30</vt:lpstr>
      <vt:lpstr>Omia_2!MT1_30</vt:lpstr>
      <vt:lpstr>Omia_3!MT1_30</vt:lpstr>
      <vt:lpstr>Ressuage_BCH!MT1_30</vt:lpstr>
      <vt:lpstr>Sechoir!MT1_30</vt:lpstr>
      <vt:lpstr>MT1_385</vt:lpstr>
      <vt:lpstr>MT1_535</vt:lpstr>
      <vt:lpstr>MT1_80</vt:lpstr>
      <vt:lpstr>MT2_200</vt:lpstr>
      <vt:lpstr>Congel!MT2_30</vt:lpstr>
      <vt:lpstr>Dover_1!MT2_30</vt:lpstr>
      <vt:lpstr>Dover_2!MT2_30</vt:lpstr>
      <vt:lpstr>Dover_3!MT2_30</vt:lpstr>
      <vt:lpstr>Omia_1!MT2_30</vt:lpstr>
      <vt:lpstr>Omia_2!MT2_30</vt:lpstr>
      <vt:lpstr>Omia_3!MT2_30</vt:lpstr>
      <vt:lpstr>Ressuage_BCH!MT2_30</vt:lpstr>
      <vt:lpstr>Sechoir!MT2_30</vt:lpstr>
      <vt:lpstr>MT2_385</vt:lpstr>
      <vt:lpstr>MT2_535</vt:lpstr>
      <vt:lpstr>MT2_80</vt:lpstr>
      <vt:lpstr>NomDoc</vt:lpstr>
      <vt:lpstr>PremiereLigne200</vt:lpstr>
      <vt:lpstr>PremiereLigne385</vt:lpstr>
      <vt:lpstr>PremiereLigne535</vt:lpstr>
      <vt:lpstr>PremiereLigne80</vt:lpstr>
      <vt:lpstr>Congel!test_propagation</vt:lpstr>
      <vt:lpstr>Dover_1!test_propagation</vt:lpstr>
      <vt:lpstr>Dover_2!test_propagation</vt:lpstr>
      <vt:lpstr>Dover_3!test_propagation</vt:lpstr>
      <vt:lpstr>Omia_1!test_propagation</vt:lpstr>
      <vt:lpstr>Omia_2!test_propagation</vt:lpstr>
      <vt:lpstr>Ressuage_BCH!test_propagation</vt:lpstr>
      <vt:lpstr>Sechoir!test_propagation</vt:lpstr>
      <vt:lpstr>test_propagation</vt:lpstr>
      <vt:lpstr>VerifPropagation200</vt:lpstr>
      <vt:lpstr>VerifPropagation385</vt:lpstr>
      <vt:lpstr>VerifPropagation535</vt:lpstr>
      <vt:lpstr>VerifPropagation80</vt:lpstr>
      <vt:lpstr>Congel_PV!Zone_d_impression</vt:lpstr>
      <vt:lpstr>Dover_PV!Zone_d_impression</vt:lpstr>
      <vt:lpstr>Four_PV!Zone_d_impression</vt:lpstr>
      <vt:lpstr>Omia_PV!Zone_d_impression</vt:lpstr>
      <vt:lpstr>Ressuage_PV_BCH!Zone_d_impression</vt:lpstr>
      <vt:lpstr>Sechoir_PV!Zone_d_impression</vt:lpstr>
      <vt:lpstr>Verif_periodique_Ressuage_BCH!Zone_d_impression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2015-06-05T18:19:34Z</dcterms:created>
  <dcterms:modified xsi:type="dcterms:W3CDTF">2024-02-16T08:02:42Z</dcterms:modified>
</cp:coreProperties>
</file>